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Lenovo\Desktop\traxel 100\"/>
    </mc:Choice>
  </mc:AlternateContent>
  <xr:revisionPtr revIDLastSave="0" documentId="13_ncr:1_{4C181E57-4A8D-404A-81DE-AD91743EB939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Lembar Kerja" sheetId="1" r:id="rId1"/>
    <sheet name="Riwayat Revisi" sheetId="21" state="hidden" r:id="rId2"/>
    <sheet name="ID" sheetId="2" r:id="rId3"/>
    <sheet name="Uncertainty Budget" sheetId="3" r:id="rId4"/>
    <sheet name="Lembar Penyelia" sheetId="4" r:id="rId5"/>
    <sheet name="LHK" sheetId="5" r:id="rId6"/>
    <sheet name="LH" sheetId="27" r:id="rId7"/>
    <sheet name="SERTIFIKAT" sheetId="28" state="hidden" r:id="rId8"/>
    <sheet name="Data Standar" sheetId="23" state="hidden" r:id="rId9"/>
    <sheet name="DB Thermo" sheetId="24" state="hidden" r:id="rId10"/>
    <sheet name="DB Kelistrikan" sheetId="25" state="hidden" r:id="rId11"/>
    <sheet name="Data Alat" sheetId="26" state="hidden" r:id="rId12"/>
  </sheets>
  <externalReferences>
    <externalReference r:id="rId13"/>
    <externalReference r:id="rId14"/>
  </externalReferences>
  <definedNames>
    <definedName name="_xlnm.Print_Area" localSheetId="2">ID!$A$1:$P$141</definedName>
    <definedName name="_xlnm.Print_Area" localSheetId="0">'Lembar Kerja'!$A$1:$O$140</definedName>
    <definedName name="_xlnm.Print_Area" localSheetId="4">'Lembar Penyelia'!$A$1:$L$68</definedName>
    <definedName name="_xlnm.Print_Area" localSheetId="6">LH!$A$1:$N$96</definedName>
    <definedName name="_xlnm.Print_Area" localSheetId="5">LHK!$A$1:$N$96</definedName>
    <definedName name="_xlnm.Print_Area" localSheetId="7">SERTIFIKAT!$A$1:$F$31</definedName>
    <definedName name="_xlnm.Print_Area" localSheetId="3">'Uncertainty Budget'!$A$1:$N$20</definedName>
  </definedNames>
  <calcPr calcId="191029"/>
</workbook>
</file>

<file path=xl/calcChain.xml><?xml version="1.0" encoding="utf-8"?>
<calcChain xmlns="http://schemas.openxmlformats.org/spreadsheetml/2006/main">
  <c r="A67" i="26" l="1"/>
  <c r="C292" i="23"/>
  <c r="C298" i="23"/>
  <c r="C299" i="23"/>
  <c r="C300" i="23"/>
  <c r="C301" i="23"/>
  <c r="C302" i="23"/>
  <c r="C303" i="23"/>
  <c r="C304" i="23"/>
  <c r="C305" i="23"/>
  <c r="C311" i="23"/>
  <c r="C312" i="23"/>
  <c r="C313" i="23"/>
  <c r="C314" i="23"/>
  <c r="C315" i="23"/>
  <c r="C316" i="23"/>
  <c r="C317" i="23"/>
  <c r="C318" i="23"/>
  <c r="C324" i="23"/>
  <c r="C325" i="23"/>
  <c r="C326" i="23"/>
  <c r="C327" i="23"/>
  <c r="C328" i="23"/>
  <c r="C329" i="23"/>
  <c r="C330" i="23"/>
  <c r="C331" i="23"/>
  <c r="C337" i="23"/>
  <c r="C338" i="23"/>
  <c r="C339" i="23"/>
  <c r="C340" i="23"/>
  <c r="C341" i="23"/>
  <c r="C342" i="23"/>
  <c r="C343" i="23"/>
  <c r="C344" i="23"/>
  <c r="C350" i="23"/>
  <c r="C351" i="23"/>
  <c r="C352" i="23"/>
  <c r="C353" i="23"/>
  <c r="C354" i="23"/>
  <c r="C355" i="23"/>
  <c r="C356" i="23"/>
  <c r="C357" i="23"/>
  <c r="J78" i="27"/>
  <c r="J79" i="27" s="1"/>
  <c r="I70" i="27" l="1"/>
  <c r="F346" i="23"/>
  <c r="D81" i="2" l="1"/>
  <c r="K6" i="23"/>
  <c r="C28" i="27" l="1"/>
  <c r="L29" i="2"/>
  <c r="L28" i="27" l="1"/>
  <c r="L28" i="2"/>
  <c r="B43" i="28"/>
  <c r="B44" i="28" s="1"/>
  <c r="D19" i="28"/>
  <c r="D18" i="28"/>
  <c r="D17" i="28"/>
  <c r="D16" i="28"/>
  <c r="D15" i="28"/>
  <c r="D4" i="28"/>
  <c r="D10" i="28"/>
  <c r="D9" i="28"/>
  <c r="D8" i="28"/>
  <c r="A3" i="28"/>
  <c r="A2" i="28" l="1"/>
  <c r="E24" i="28"/>
  <c r="A20" i="28"/>
  <c r="A19" i="28"/>
  <c r="A18" i="28"/>
  <c r="A17" i="28"/>
  <c r="A15" i="28"/>
  <c r="D21" i="28"/>
  <c r="F6" i="28"/>
  <c r="B62" i="27" l="1"/>
  <c r="M46" i="27"/>
  <c r="K44" i="27"/>
  <c r="B33" i="27"/>
  <c r="B24" i="27"/>
  <c r="B20" i="27"/>
  <c r="M272" i="25" l="1"/>
  <c r="M271" i="25"/>
  <c r="M270" i="25"/>
  <c r="M269" i="25"/>
  <c r="M268" i="25"/>
  <c r="A298" i="25"/>
  <c r="K310" i="25"/>
  <c r="J310" i="25"/>
  <c r="I310" i="25"/>
  <c r="K309" i="25"/>
  <c r="J309" i="25"/>
  <c r="I309" i="25"/>
  <c r="K308" i="25"/>
  <c r="J308" i="25"/>
  <c r="I308" i="25"/>
  <c r="K307" i="25"/>
  <c r="J307" i="25"/>
  <c r="I307" i="25"/>
  <c r="K306" i="25"/>
  <c r="J306" i="25"/>
  <c r="I306" i="25"/>
  <c r="K305" i="25"/>
  <c r="J305" i="25"/>
  <c r="I305" i="25"/>
  <c r="K304" i="25"/>
  <c r="J304" i="25"/>
  <c r="I304" i="25"/>
  <c r="K303" i="25"/>
  <c r="J303" i="25"/>
  <c r="I303" i="25"/>
  <c r="K302" i="25"/>
  <c r="J302" i="25"/>
  <c r="I302" i="25"/>
  <c r="K301" i="25"/>
  <c r="J301" i="25"/>
  <c r="I301" i="25"/>
  <c r="K300" i="25"/>
  <c r="J300" i="25"/>
  <c r="I300" i="25"/>
  <c r="K299" i="25"/>
  <c r="J299" i="25"/>
  <c r="I299" i="25"/>
  <c r="A289" i="25"/>
  <c r="A283" i="25"/>
  <c r="A275" i="25"/>
  <c r="O269" i="25"/>
  <c r="A267" i="25"/>
  <c r="Q262" i="25"/>
  <c r="O262" i="25"/>
  <c r="N262" i="25"/>
  <c r="M262" i="25"/>
  <c r="L262" i="25"/>
  <c r="H262" i="25"/>
  <c r="F262" i="25"/>
  <c r="E262" i="25"/>
  <c r="D262" i="25"/>
  <c r="C262" i="25"/>
  <c r="Q261" i="25"/>
  <c r="O261" i="25"/>
  <c r="N261" i="25"/>
  <c r="M261" i="25"/>
  <c r="L261" i="25"/>
  <c r="H261" i="25"/>
  <c r="F261" i="25"/>
  <c r="E261" i="25"/>
  <c r="D261" i="25"/>
  <c r="C261" i="25"/>
  <c r="Q260" i="25"/>
  <c r="O260" i="25"/>
  <c r="N260" i="25"/>
  <c r="M260" i="25"/>
  <c r="L260" i="25"/>
  <c r="H260" i="25"/>
  <c r="F260" i="25"/>
  <c r="E260" i="25"/>
  <c r="D260" i="25"/>
  <c r="C260" i="25"/>
  <c r="O259" i="25"/>
  <c r="N259" i="25"/>
  <c r="M259" i="25"/>
  <c r="L259" i="25"/>
  <c r="F259" i="25"/>
  <c r="E259" i="25"/>
  <c r="D259" i="25"/>
  <c r="C259" i="25"/>
  <c r="O258" i="25"/>
  <c r="N258" i="25"/>
  <c r="M258" i="25"/>
  <c r="L258" i="25"/>
  <c r="F258" i="25"/>
  <c r="E258" i="25"/>
  <c r="D258" i="25"/>
  <c r="C258" i="25"/>
  <c r="O257" i="25"/>
  <c r="N257" i="25"/>
  <c r="M257" i="25"/>
  <c r="L257" i="25"/>
  <c r="F257" i="25"/>
  <c r="E257" i="25"/>
  <c r="D257" i="25"/>
  <c r="C257" i="25"/>
  <c r="O256" i="25"/>
  <c r="N256" i="25"/>
  <c r="M256" i="25"/>
  <c r="L256" i="25"/>
  <c r="F256" i="25"/>
  <c r="E256" i="25"/>
  <c r="D256" i="25"/>
  <c r="C256" i="25"/>
  <c r="O255" i="25"/>
  <c r="N255" i="25"/>
  <c r="M255" i="25"/>
  <c r="L255" i="25"/>
  <c r="F255" i="25"/>
  <c r="E255" i="25"/>
  <c r="D255" i="25"/>
  <c r="C255" i="25"/>
  <c r="O254" i="25"/>
  <c r="N254" i="25"/>
  <c r="M254" i="25"/>
  <c r="L254" i="25"/>
  <c r="F254" i="25"/>
  <c r="E254" i="25"/>
  <c r="D254" i="25"/>
  <c r="C254" i="25"/>
  <c r="O253" i="25"/>
  <c r="N253" i="25"/>
  <c r="M253" i="25"/>
  <c r="L253" i="25"/>
  <c r="F253" i="25"/>
  <c r="E253" i="25"/>
  <c r="D253" i="25"/>
  <c r="C253" i="25"/>
  <c r="O252" i="25"/>
  <c r="N252" i="25"/>
  <c r="M252" i="25"/>
  <c r="L252" i="25"/>
  <c r="F252" i="25"/>
  <c r="E252" i="25"/>
  <c r="D252" i="25"/>
  <c r="C252" i="25"/>
  <c r="O251" i="25"/>
  <c r="N251" i="25"/>
  <c r="M251" i="25"/>
  <c r="L251" i="25"/>
  <c r="H251" i="25"/>
  <c r="F251" i="25"/>
  <c r="E251" i="25"/>
  <c r="D251" i="25"/>
  <c r="C251" i="25"/>
  <c r="Q249" i="25"/>
  <c r="O249" i="25"/>
  <c r="N249" i="25"/>
  <c r="M249" i="25"/>
  <c r="L249" i="25"/>
  <c r="H249" i="25"/>
  <c r="F249" i="25"/>
  <c r="E249" i="25"/>
  <c r="D249" i="25"/>
  <c r="C249" i="25"/>
  <c r="Q248" i="25"/>
  <c r="O248" i="25"/>
  <c r="N248" i="25"/>
  <c r="M248" i="25"/>
  <c r="L248" i="25"/>
  <c r="H248" i="25"/>
  <c r="F248" i="25"/>
  <c r="E248" i="25"/>
  <c r="D248" i="25"/>
  <c r="C248" i="25"/>
  <c r="Q247" i="25"/>
  <c r="O247" i="25"/>
  <c r="N247" i="25"/>
  <c r="M247" i="25"/>
  <c r="L247" i="25"/>
  <c r="H247" i="25"/>
  <c r="F247" i="25"/>
  <c r="E247" i="25"/>
  <c r="D247" i="25"/>
  <c r="C247" i="25"/>
  <c r="O246" i="25"/>
  <c r="N246" i="25"/>
  <c r="M246" i="25"/>
  <c r="L246" i="25"/>
  <c r="F246" i="25"/>
  <c r="E246" i="25"/>
  <c r="D246" i="25"/>
  <c r="C246" i="25"/>
  <c r="O245" i="25"/>
  <c r="N245" i="25"/>
  <c r="M245" i="25"/>
  <c r="L245" i="25"/>
  <c r="F245" i="25"/>
  <c r="E245" i="25"/>
  <c r="D245" i="25"/>
  <c r="C245" i="25"/>
  <c r="O244" i="25"/>
  <c r="N244" i="25"/>
  <c r="M244" i="25"/>
  <c r="L244" i="25"/>
  <c r="F244" i="25"/>
  <c r="E244" i="25"/>
  <c r="D244" i="25"/>
  <c r="C244" i="25"/>
  <c r="O243" i="25"/>
  <c r="N243" i="25"/>
  <c r="M243" i="25"/>
  <c r="L243" i="25"/>
  <c r="F243" i="25"/>
  <c r="E243" i="25"/>
  <c r="D243" i="25"/>
  <c r="C243" i="25"/>
  <c r="O242" i="25"/>
  <c r="N242" i="25"/>
  <c r="M242" i="25"/>
  <c r="L242" i="25"/>
  <c r="F242" i="25"/>
  <c r="E242" i="25"/>
  <c r="D242" i="25"/>
  <c r="C242" i="25"/>
  <c r="O241" i="25"/>
  <c r="N241" i="25"/>
  <c r="M241" i="25"/>
  <c r="L241" i="25"/>
  <c r="F241" i="25"/>
  <c r="E241" i="25"/>
  <c r="D241" i="25"/>
  <c r="C241" i="25"/>
  <c r="O240" i="25"/>
  <c r="N240" i="25"/>
  <c r="M240" i="25"/>
  <c r="L240" i="25"/>
  <c r="F240" i="25"/>
  <c r="E240" i="25"/>
  <c r="D240" i="25"/>
  <c r="C240" i="25"/>
  <c r="O239" i="25"/>
  <c r="N239" i="25"/>
  <c r="M239" i="25"/>
  <c r="L239" i="25"/>
  <c r="F239" i="25"/>
  <c r="E239" i="25"/>
  <c r="D239" i="25"/>
  <c r="C239" i="25"/>
  <c r="O238" i="25"/>
  <c r="N238" i="25"/>
  <c r="M238" i="25"/>
  <c r="L238" i="25"/>
  <c r="H238" i="25"/>
  <c r="F238" i="25"/>
  <c r="E238" i="25"/>
  <c r="D238" i="25"/>
  <c r="C238" i="25"/>
  <c r="Q236" i="25"/>
  <c r="O236" i="25"/>
  <c r="N236" i="25"/>
  <c r="M236" i="25"/>
  <c r="L236" i="25"/>
  <c r="H236" i="25"/>
  <c r="F236" i="25"/>
  <c r="E236" i="25"/>
  <c r="D236" i="25"/>
  <c r="C236" i="25"/>
  <c r="Q235" i="25"/>
  <c r="O235" i="25"/>
  <c r="N235" i="25"/>
  <c r="M235" i="25"/>
  <c r="L235" i="25"/>
  <c r="H235" i="25"/>
  <c r="F235" i="25"/>
  <c r="E235" i="25"/>
  <c r="D235" i="25"/>
  <c r="C235" i="25"/>
  <c r="Q234" i="25"/>
  <c r="O234" i="25"/>
  <c r="N234" i="25"/>
  <c r="M234" i="25"/>
  <c r="L234" i="25"/>
  <c r="H234" i="25"/>
  <c r="F234" i="25"/>
  <c r="E234" i="25"/>
  <c r="D234" i="25"/>
  <c r="C234" i="25"/>
  <c r="O233" i="25"/>
  <c r="N233" i="25"/>
  <c r="M233" i="25"/>
  <c r="L233" i="25"/>
  <c r="F233" i="25"/>
  <c r="E233" i="25"/>
  <c r="D233" i="25"/>
  <c r="C233" i="25"/>
  <c r="O232" i="25"/>
  <c r="N232" i="25"/>
  <c r="M232" i="25"/>
  <c r="L232" i="25"/>
  <c r="F232" i="25"/>
  <c r="E232" i="25"/>
  <c r="D232" i="25"/>
  <c r="C232" i="25"/>
  <c r="O231" i="25"/>
  <c r="N231" i="25"/>
  <c r="M231" i="25"/>
  <c r="L231" i="25"/>
  <c r="F231" i="25"/>
  <c r="E231" i="25"/>
  <c r="D231" i="25"/>
  <c r="C231" i="25"/>
  <c r="O230" i="25"/>
  <c r="N230" i="25"/>
  <c r="M230" i="25"/>
  <c r="L230" i="25"/>
  <c r="F230" i="25"/>
  <c r="E230" i="25"/>
  <c r="D230" i="25"/>
  <c r="C230" i="25"/>
  <c r="O229" i="25"/>
  <c r="N229" i="25"/>
  <c r="M229" i="25"/>
  <c r="L229" i="25"/>
  <c r="F229" i="25"/>
  <c r="E229" i="25"/>
  <c r="D229" i="25"/>
  <c r="C229" i="25"/>
  <c r="O228" i="25"/>
  <c r="N228" i="25"/>
  <c r="M228" i="25"/>
  <c r="L228" i="25"/>
  <c r="F228" i="25"/>
  <c r="E228" i="25"/>
  <c r="D228" i="25"/>
  <c r="C228" i="25"/>
  <c r="O227" i="25"/>
  <c r="N227" i="25"/>
  <c r="M227" i="25"/>
  <c r="L227" i="25"/>
  <c r="F227" i="25"/>
  <c r="E227" i="25"/>
  <c r="D227" i="25"/>
  <c r="C227" i="25"/>
  <c r="O226" i="25"/>
  <c r="N226" i="25"/>
  <c r="M226" i="25"/>
  <c r="L226" i="25"/>
  <c r="F226" i="25"/>
  <c r="E226" i="25"/>
  <c r="D226" i="25"/>
  <c r="C226" i="25"/>
  <c r="O225" i="25"/>
  <c r="N225" i="25"/>
  <c r="M225" i="25"/>
  <c r="L225" i="25"/>
  <c r="H225" i="25"/>
  <c r="F225" i="25"/>
  <c r="E225" i="25"/>
  <c r="D225" i="25"/>
  <c r="C225" i="25"/>
  <c r="Q223" i="25"/>
  <c r="O223" i="25"/>
  <c r="N223" i="25"/>
  <c r="M223" i="25"/>
  <c r="L223" i="25"/>
  <c r="H223" i="25"/>
  <c r="F223" i="25"/>
  <c r="E223" i="25"/>
  <c r="D223" i="25"/>
  <c r="C223" i="25"/>
  <c r="Q222" i="25"/>
  <c r="O222" i="25"/>
  <c r="N222" i="25"/>
  <c r="M222" i="25"/>
  <c r="L222" i="25"/>
  <c r="H222" i="25"/>
  <c r="F222" i="25"/>
  <c r="E222" i="25"/>
  <c r="D222" i="25"/>
  <c r="C222" i="25"/>
  <c r="Q221" i="25"/>
  <c r="O221" i="25"/>
  <c r="N221" i="25"/>
  <c r="M221" i="25"/>
  <c r="L221" i="25"/>
  <c r="H221" i="25"/>
  <c r="F221" i="25"/>
  <c r="E221" i="25"/>
  <c r="D221" i="25"/>
  <c r="C221" i="25"/>
  <c r="O220" i="25"/>
  <c r="N220" i="25"/>
  <c r="M220" i="25"/>
  <c r="L220" i="25"/>
  <c r="F220" i="25"/>
  <c r="E220" i="25"/>
  <c r="D220" i="25"/>
  <c r="C220" i="25"/>
  <c r="O219" i="25"/>
  <c r="N219" i="25"/>
  <c r="M219" i="25"/>
  <c r="L219" i="25"/>
  <c r="F219" i="25"/>
  <c r="E219" i="25"/>
  <c r="D219" i="25"/>
  <c r="C219" i="25"/>
  <c r="O218" i="25"/>
  <c r="N218" i="25"/>
  <c r="M218" i="25"/>
  <c r="L218" i="25"/>
  <c r="F218" i="25"/>
  <c r="E218" i="25"/>
  <c r="D218" i="25"/>
  <c r="C218" i="25"/>
  <c r="O217" i="25"/>
  <c r="N217" i="25"/>
  <c r="M217" i="25"/>
  <c r="L217" i="25"/>
  <c r="F217" i="25"/>
  <c r="E217" i="25"/>
  <c r="D217" i="25"/>
  <c r="C217" i="25"/>
  <c r="O216" i="25"/>
  <c r="N216" i="25"/>
  <c r="M216" i="25"/>
  <c r="L216" i="25"/>
  <c r="F216" i="25"/>
  <c r="E216" i="25"/>
  <c r="D216" i="25"/>
  <c r="C216" i="25"/>
  <c r="O215" i="25"/>
  <c r="N215" i="25"/>
  <c r="M215" i="25"/>
  <c r="L215" i="25"/>
  <c r="F215" i="25"/>
  <c r="E215" i="25"/>
  <c r="D215" i="25"/>
  <c r="C215" i="25"/>
  <c r="O214" i="25"/>
  <c r="N214" i="25"/>
  <c r="M214" i="25"/>
  <c r="L214" i="25"/>
  <c r="F214" i="25"/>
  <c r="E214" i="25"/>
  <c r="D214" i="25"/>
  <c r="C214" i="25"/>
  <c r="O213" i="25"/>
  <c r="N213" i="25"/>
  <c r="M213" i="25"/>
  <c r="L213" i="25"/>
  <c r="F213" i="25"/>
  <c r="E213" i="25"/>
  <c r="D213" i="25"/>
  <c r="C213" i="25"/>
  <c r="O212" i="25"/>
  <c r="N212" i="25"/>
  <c r="M212" i="25"/>
  <c r="L212" i="25"/>
  <c r="H212" i="25"/>
  <c r="F212" i="25"/>
  <c r="E212" i="25"/>
  <c r="D212" i="25"/>
  <c r="C212" i="25"/>
  <c r="L210" i="25"/>
  <c r="C210" i="25"/>
  <c r="Q207" i="25"/>
  <c r="O207" i="25"/>
  <c r="N207" i="25"/>
  <c r="M207" i="25"/>
  <c r="L207" i="25"/>
  <c r="H207" i="25"/>
  <c r="F207" i="25"/>
  <c r="E207" i="25"/>
  <c r="D207" i="25"/>
  <c r="C207" i="25"/>
  <c r="Q206" i="25"/>
  <c r="O206" i="25"/>
  <c r="N206" i="25"/>
  <c r="M206" i="25"/>
  <c r="L206" i="25"/>
  <c r="H206" i="25"/>
  <c r="F206" i="25"/>
  <c r="E206" i="25"/>
  <c r="D206" i="25"/>
  <c r="C206" i="25"/>
  <c r="Q205" i="25"/>
  <c r="O205" i="25"/>
  <c r="N205" i="25"/>
  <c r="M205" i="25"/>
  <c r="L205" i="25"/>
  <c r="H205" i="25"/>
  <c r="F205" i="25"/>
  <c r="E205" i="25"/>
  <c r="D205" i="25"/>
  <c r="C205" i="25"/>
  <c r="O204" i="25"/>
  <c r="N204" i="25"/>
  <c r="M204" i="25"/>
  <c r="L204" i="25"/>
  <c r="F204" i="25"/>
  <c r="E204" i="25"/>
  <c r="D204" i="25"/>
  <c r="C204" i="25"/>
  <c r="O203" i="25"/>
  <c r="N203" i="25"/>
  <c r="M203" i="25"/>
  <c r="L203" i="25"/>
  <c r="F203" i="25"/>
  <c r="E203" i="25"/>
  <c r="D203" i="25"/>
  <c r="C203" i="25"/>
  <c r="O202" i="25"/>
  <c r="N202" i="25"/>
  <c r="M202" i="25"/>
  <c r="L202" i="25"/>
  <c r="F202" i="25"/>
  <c r="E202" i="25"/>
  <c r="D202" i="25"/>
  <c r="C202" i="25"/>
  <c r="O201" i="25"/>
  <c r="N201" i="25"/>
  <c r="M201" i="25"/>
  <c r="L201" i="25"/>
  <c r="F201" i="25"/>
  <c r="E201" i="25"/>
  <c r="D201" i="25"/>
  <c r="C201" i="25"/>
  <c r="O200" i="25"/>
  <c r="N200" i="25"/>
  <c r="M200" i="25"/>
  <c r="L200" i="25"/>
  <c r="F200" i="25"/>
  <c r="E200" i="25"/>
  <c r="D200" i="25"/>
  <c r="C200" i="25"/>
  <c r="O199" i="25"/>
  <c r="N199" i="25"/>
  <c r="M199" i="25"/>
  <c r="L199" i="25"/>
  <c r="F199" i="25"/>
  <c r="E199" i="25"/>
  <c r="D199" i="25"/>
  <c r="C199" i="25"/>
  <c r="O198" i="25"/>
  <c r="N198" i="25"/>
  <c r="M198" i="25"/>
  <c r="L198" i="25"/>
  <c r="F198" i="25"/>
  <c r="E198" i="25"/>
  <c r="D198" i="25"/>
  <c r="C198" i="25"/>
  <c r="Q197" i="25"/>
  <c r="O197" i="25"/>
  <c r="N197" i="25"/>
  <c r="M197" i="25"/>
  <c r="L197" i="25"/>
  <c r="H197" i="25"/>
  <c r="F197" i="25"/>
  <c r="E197" i="25"/>
  <c r="D197" i="25"/>
  <c r="C197" i="25"/>
  <c r="O196" i="25"/>
  <c r="N196" i="25"/>
  <c r="M196" i="25"/>
  <c r="L196" i="25"/>
  <c r="F196" i="25"/>
  <c r="E196" i="25"/>
  <c r="D196" i="25"/>
  <c r="C196" i="25"/>
  <c r="Q194" i="25"/>
  <c r="O194" i="25"/>
  <c r="N194" i="25"/>
  <c r="M194" i="25"/>
  <c r="L194" i="25"/>
  <c r="H194" i="25"/>
  <c r="F194" i="25"/>
  <c r="E194" i="25"/>
  <c r="D194" i="25"/>
  <c r="C194" i="25"/>
  <c r="Q193" i="25"/>
  <c r="O193" i="25"/>
  <c r="N193" i="25"/>
  <c r="M193" i="25"/>
  <c r="L193" i="25"/>
  <c r="H193" i="25"/>
  <c r="F193" i="25"/>
  <c r="E193" i="25"/>
  <c r="D193" i="25"/>
  <c r="C193" i="25"/>
  <c r="Q192" i="25"/>
  <c r="O192" i="25"/>
  <c r="N192" i="25"/>
  <c r="M192" i="25"/>
  <c r="L192" i="25"/>
  <c r="H192" i="25"/>
  <c r="F192" i="25"/>
  <c r="E192" i="25"/>
  <c r="D192" i="25"/>
  <c r="C192" i="25"/>
  <c r="O191" i="25"/>
  <c r="N191" i="25"/>
  <c r="M191" i="25"/>
  <c r="L191" i="25"/>
  <c r="F191" i="25"/>
  <c r="E191" i="25"/>
  <c r="D191" i="25"/>
  <c r="C191" i="25"/>
  <c r="O190" i="25"/>
  <c r="N190" i="25"/>
  <c r="M190" i="25"/>
  <c r="L190" i="25"/>
  <c r="F190" i="25"/>
  <c r="E190" i="25"/>
  <c r="D190" i="25"/>
  <c r="C190" i="25"/>
  <c r="O189" i="25"/>
  <c r="N189" i="25"/>
  <c r="M189" i="25"/>
  <c r="L189" i="25"/>
  <c r="F189" i="25"/>
  <c r="E189" i="25"/>
  <c r="D189" i="25"/>
  <c r="C189" i="25"/>
  <c r="O188" i="25"/>
  <c r="N188" i="25"/>
  <c r="M188" i="25"/>
  <c r="L188" i="25"/>
  <c r="F188" i="25"/>
  <c r="E188" i="25"/>
  <c r="D188" i="25"/>
  <c r="C188" i="25"/>
  <c r="O187" i="25"/>
  <c r="N187" i="25"/>
  <c r="M187" i="25"/>
  <c r="L187" i="25"/>
  <c r="F187" i="25"/>
  <c r="E187" i="25"/>
  <c r="D187" i="25"/>
  <c r="C187" i="25"/>
  <c r="O186" i="25"/>
  <c r="N186" i="25"/>
  <c r="M186" i="25"/>
  <c r="L186" i="25"/>
  <c r="F186" i="25"/>
  <c r="E186" i="25"/>
  <c r="D186" i="25"/>
  <c r="C186" i="25"/>
  <c r="O185" i="25"/>
  <c r="N185" i="25"/>
  <c r="M185" i="25"/>
  <c r="L185" i="25"/>
  <c r="F185" i="25"/>
  <c r="E185" i="25"/>
  <c r="D185" i="25"/>
  <c r="C185" i="25"/>
  <c r="O184" i="25"/>
  <c r="N184" i="25"/>
  <c r="M184" i="25"/>
  <c r="L184" i="25"/>
  <c r="F184" i="25"/>
  <c r="E184" i="25"/>
  <c r="D184" i="25"/>
  <c r="C184" i="25"/>
  <c r="O183" i="25"/>
  <c r="N183" i="25"/>
  <c r="M183" i="25"/>
  <c r="L183" i="25"/>
  <c r="F183" i="25"/>
  <c r="E183" i="25"/>
  <c r="D183" i="25"/>
  <c r="C183" i="25"/>
  <c r="Q181" i="25"/>
  <c r="O181" i="25"/>
  <c r="N181" i="25"/>
  <c r="M181" i="25"/>
  <c r="L181" i="25"/>
  <c r="H181" i="25"/>
  <c r="F181" i="25"/>
  <c r="E181" i="25"/>
  <c r="D181" i="25"/>
  <c r="C181" i="25"/>
  <c r="Q180" i="25"/>
  <c r="O180" i="25"/>
  <c r="N180" i="25"/>
  <c r="M180" i="25"/>
  <c r="L180" i="25"/>
  <c r="H180" i="25"/>
  <c r="F180" i="25"/>
  <c r="E180" i="25"/>
  <c r="D180" i="25"/>
  <c r="C180" i="25"/>
  <c r="Q179" i="25"/>
  <c r="O179" i="25"/>
  <c r="N179" i="25"/>
  <c r="M179" i="25"/>
  <c r="L179" i="25"/>
  <c r="H179" i="25"/>
  <c r="F179" i="25"/>
  <c r="E179" i="25"/>
  <c r="D179" i="25"/>
  <c r="C179" i="25"/>
  <c r="O178" i="25"/>
  <c r="N178" i="25"/>
  <c r="M178" i="25"/>
  <c r="L178" i="25"/>
  <c r="F178" i="25"/>
  <c r="E178" i="25"/>
  <c r="D178" i="25"/>
  <c r="C178" i="25"/>
  <c r="O177" i="25"/>
  <c r="N177" i="25"/>
  <c r="M177" i="25"/>
  <c r="L177" i="25"/>
  <c r="F177" i="25"/>
  <c r="E177" i="25"/>
  <c r="D177" i="25"/>
  <c r="C177" i="25"/>
  <c r="O176" i="25"/>
  <c r="N176" i="25"/>
  <c r="M176" i="25"/>
  <c r="L176" i="25"/>
  <c r="F176" i="25"/>
  <c r="E176" i="25"/>
  <c r="D176" i="25"/>
  <c r="C176" i="25"/>
  <c r="O175" i="25"/>
  <c r="N175" i="25"/>
  <c r="M175" i="25"/>
  <c r="L175" i="25"/>
  <c r="F175" i="25"/>
  <c r="E175" i="25"/>
  <c r="D175" i="25"/>
  <c r="C175" i="25"/>
  <c r="O174" i="25"/>
  <c r="N174" i="25"/>
  <c r="M174" i="25"/>
  <c r="L174" i="25"/>
  <c r="F174" i="25"/>
  <c r="E174" i="25"/>
  <c r="D174" i="25"/>
  <c r="C174" i="25"/>
  <c r="O173" i="25"/>
  <c r="N173" i="25"/>
  <c r="M173" i="25"/>
  <c r="L173" i="25"/>
  <c r="F173" i="25"/>
  <c r="E173" i="25"/>
  <c r="D173" i="25"/>
  <c r="C173" i="25"/>
  <c r="O172" i="25"/>
  <c r="N172" i="25"/>
  <c r="M172" i="25"/>
  <c r="L172" i="25"/>
  <c r="F172" i="25"/>
  <c r="E172" i="25"/>
  <c r="D172" i="25"/>
  <c r="C172" i="25"/>
  <c r="O171" i="25"/>
  <c r="N171" i="25"/>
  <c r="M171" i="25"/>
  <c r="L171" i="25"/>
  <c r="F171" i="25"/>
  <c r="E171" i="25"/>
  <c r="D171" i="25"/>
  <c r="C171" i="25"/>
  <c r="O170" i="25"/>
  <c r="N170" i="25"/>
  <c r="M170" i="25"/>
  <c r="L170" i="25"/>
  <c r="F170" i="25"/>
  <c r="E170" i="25"/>
  <c r="D170" i="25"/>
  <c r="C170" i="25"/>
  <c r="Q168" i="25"/>
  <c r="O168" i="25"/>
  <c r="N168" i="25"/>
  <c r="M168" i="25"/>
  <c r="L168" i="25"/>
  <c r="H168" i="25"/>
  <c r="F168" i="25"/>
  <c r="E168" i="25"/>
  <c r="D168" i="25"/>
  <c r="C168" i="25"/>
  <c r="Q167" i="25"/>
  <c r="O167" i="25"/>
  <c r="N167" i="25"/>
  <c r="M167" i="25"/>
  <c r="L167" i="25"/>
  <c r="H167" i="25"/>
  <c r="F167" i="25"/>
  <c r="E167" i="25"/>
  <c r="D167" i="25"/>
  <c r="C167" i="25"/>
  <c r="Q166" i="25"/>
  <c r="O166" i="25"/>
  <c r="N166" i="25"/>
  <c r="M166" i="25"/>
  <c r="L166" i="25"/>
  <c r="H166" i="25"/>
  <c r="F166" i="25"/>
  <c r="E166" i="25"/>
  <c r="D166" i="25"/>
  <c r="C166" i="25"/>
  <c r="O165" i="25"/>
  <c r="N165" i="25"/>
  <c r="M165" i="25"/>
  <c r="L165" i="25"/>
  <c r="F165" i="25"/>
  <c r="E165" i="25"/>
  <c r="D165" i="25"/>
  <c r="C165" i="25"/>
  <c r="O164" i="25"/>
  <c r="N164" i="25"/>
  <c r="M164" i="25"/>
  <c r="L164" i="25"/>
  <c r="F164" i="25"/>
  <c r="E164" i="25"/>
  <c r="D164" i="25"/>
  <c r="C164" i="25"/>
  <c r="O163" i="25"/>
  <c r="N163" i="25"/>
  <c r="M163" i="25"/>
  <c r="L163" i="25"/>
  <c r="F163" i="25"/>
  <c r="E163" i="25"/>
  <c r="D163" i="25"/>
  <c r="C163" i="25"/>
  <c r="O162" i="25"/>
  <c r="N162" i="25"/>
  <c r="M162" i="25"/>
  <c r="L162" i="25"/>
  <c r="F162" i="25"/>
  <c r="E162" i="25"/>
  <c r="D162" i="25"/>
  <c r="C162" i="25"/>
  <c r="O161" i="25"/>
  <c r="N161" i="25"/>
  <c r="M161" i="25"/>
  <c r="L161" i="25"/>
  <c r="F161" i="25"/>
  <c r="E161" i="25"/>
  <c r="D161" i="25"/>
  <c r="C161" i="25"/>
  <c r="O160" i="25"/>
  <c r="N160" i="25"/>
  <c r="M160" i="25"/>
  <c r="L160" i="25"/>
  <c r="F160" i="25"/>
  <c r="E160" i="25"/>
  <c r="D160" i="25"/>
  <c r="C160" i="25"/>
  <c r="O159" i="25"/>
  <c r="N159" i="25"/>
  <c r="M159" i="25"/>
  <c r="L159" i="25"/>
  <c r="F159" i="25"/>
  <c r="E159" i="25"/>
  <c r="D159" i="25"/>
  <c r="C159" i="25"/>
  <c r="O158" i="25"/>
  <c r="N158" i="25"/>
  <c r="M158" i="25"/>
  <c r="L158" i="25"/>
  <c r="F158" i="25"/>
  <c r="E158" i="25"/>
  <c r="D158" i="25"/>
  <c r="C158" i="25"/>
  <c r="O157" i="25"/>
  <c r="N157" i="25"/>
  <c r="M157" i="25"/>
  <c r="L157" i="25"/>
  <c r="F157" i="25"/>
  <c r="E157" i="25"/>
  <c r="D157" i="25"/>
  <c r="C157" i="25"/>
  <c r="Q155" i="25"/>
  <c r="O155" i="25"/>
  <c r="N155" i="25"/>
  <c r="M155" i="25"/>
  <c r="L155" i="25"/>
  <c r="H155" i="25"/>
  <c r="F155" i="25"/>
  <c r="E155" i="25"/>
  <c r="D155" i="25"/>
  <c r="C155" i="25"/>
  <c r="Q154" i="25"/>
  <c r="O154" i="25"/>
  <c r="N154" i="25"/>
  <c r="M154" i="25"/>
  <c r="L154" i="25"/>
  <c r="H154" i="25"/>
  <c r="F154" i="25"/>
  <c r="E154" i="25"/>
  <c r="D154" i="25"/>
  <c r="C154" i="25"/>
  <c r="Q153" i="25"/>
  <c r="O153" i="25"/>
  <c r="N153" i="25"/>
  <c r="M153" i="25"/>
  <c r="L153" i="25"/>
  <c r="H153" i="25"/>
  <c r="F153" i="25"/>
  <c r="E153" i="25"/>
  <c r="D153" i="25"/>
  <c r="C153" i="25"/>
  <c r="O152" i="25"/>
  <c r="N152" i="25"/>
  <c r="M152" i="25"/>
  <c r="L152" i="25"/>
  <c r="F152" i="25"/>
  <c r="E152" i="25"/>
  <c r="D152" i="25"/>
  <c r="C152" i="25"/>
  <c r="O151" i="25"/>
  <c r="N151" i="25"/>
  <c r="M151" i="25"/>
  <c r="L151" i="25"/>
  <c r="F151" i="25"/>
  <c r="E151" i="25"/>
  <c r="D151" i="25"/>
  <c r="C151" i="25"/>
  <c r="O150" i="25"/>
  <c r="N150" i="25"/>
  <c r="M150" i="25"/>
  <c r="L150" i="25"/>
  <c r="F150" i="25"/>
  <c r="E150" i="25"/>
  <c r="D150" i="25"/>
  <c r="C150" i="25"/>
  <c r="O149" i="25"/>
  <c r="N149" i="25"/>
  <c r="M149" i="25"/>
  <c r="L149" i="25"/>
  <c r="F149" i="25"/>
  <c r="E149" i="25"/>
  <c r="D149" i="25"/>
  <c r="C149" i="25"/>
  <c r="O148" i="25"/>
  <c r="N148" i="25"/>
  <c r="M148" i="25"/>
  <c r="L148" i="25"/>
  <c r="F148" i="25"/>
  <c r="E148" i="25"/>
  <c r="D148" i="25"/>
  <c r="C148" i="25"/>
  <c r="O147" i="25"/>
  <c r="N147" i="25"/>
  <c r="M147" i="25"/>
  <c r="L147" i="25"/>
  <c r="F147" i="25"/>
  <c r="E147" i="25"/>
  <c r="D147" i="25"/>
  <c r="C147" i="25"/>
  <c r="O146" i="25"/>
  <c r="N146" i="25"/>
  <c r="M146" i="25"/>
  <c r="L146" i="25"/>
  <c r="F146" i="25"/>
  <c r="E146" i="25"/>
  <c r="D146" i="25"/>
  <c r="C146" i="25"/>
  <c r="O145" i="25"/>
  <c r="N145" i="25"/>
  <c r="M145" i="25"/>
  <c r="L145" i="25"/>
  <c r="F145" i="25"/>
  <c r="E145" i="25"/>
  <c r="D145" i="25"/>
  <c r="C145" i="25"/>
  <c r="O144" i="25"/>
  <c r="N144" i="25"/>
  <c r="M144" i="25"/>
  <c r="L144" i="25"/>
  <c r="F144" i="25"/>
  <c r="E144" i="25"/>
  <c r="D144" i="25"/>
  <c r="C144" i="25"/>
  <c r="Q142" i="25"/>
  <c r="O142" i="25"/>
  <c r="N142" i="25"/>
  <c r="M142" i="25"/>
  <c r="L142" i="25"/>
  <c r="H142" i="25"/>
  <c r="F142" i="25"/>
  <c r="E142" i="25"/>
  <c r="D142" i="25"/>
  <c r="C142" i="25"/>
  <c r="Q141" i="25"/>
  <c r="O141" i="25"/>
  <c r="N141" i="25"/>
  <c r="M141" i="25"/>
  <c r="L141" i="25"/>
  <c r="H141" i="25"/>
  <c r="F141" i="25"/>
  <c r="E141" i="25"/>
  <c r="D141" i="25"/>
  <c r="C141" i="25"/>
  <c r="Q140" i="25"/>
  <c r="O140" i="25"/>
  <c r="N140" i="25"/>
  <c r="M140" i="25"/>
  <c r="L140" i="25"/>
  <c r="H140" i="25"/>
  <c r="F140" i="25"/>
  <c r="E140" i="25"/>
  <c r="D140" i="25"/>
  <c r="C140" i="25"/>
  <c r="O139" i="25"/>
  <c r="N139" i="25"/>
  <c r="M139" i="25"/>
  <c r="L139" i="25"/>
  <c r="F139" i="25"/>
  <c r="E139" i="25"/>
  <c r="D139" i="25"/>
  <c r="C139" i="25"/>
  <c r="O138" i="25"/>
  <c r="N138" i="25"/>
  <c r="M138" i="25"/>
  <c r="L138" i="25"/>
  <c r="F138" i="25"/>
  <c r="E138" i="25"/>
  <c r="D138" i="25"/>
  <c r="C138" i="25"/>
  <c r="O137" i="25"/>
  <c r="N137" i="25"/>
  <c r="M137" i="25"/>
  <c r="L137" i="25"/>
  <c r="F137" i="25"/>
  <c r="E137" i="25"/>
  <c r="D137" i="25"/>
  <c r="C137" i="25"/>
  <c r="O136" i="25"/>
  <c r="N136" i="25"/>
  <c r="M136" i="25"/>
  <c r="L136" i="25"/>
  <c r="F136" i="25"/>
  <c r="E136" i="25"/>
  <c r="D136" i="25"/>
  <c r="C136" i="25"/>
  <c r="O135" i="25"/>
  <c r="N135" i="25"/>
  <c r="M135" i="25"/>
  <c r="L135" i="25"/>
  <c r="F135" i="25"/>
  <c r="E135" i="25"/>
  <c r="D135" i="25"/>
  <c r="C135" i="25"/>
  <c r="O134" i="25"/>
  <c r="N134" i="25"/>
  <c r="M134" i="25"/>
  <c r="L134" i="25"/>
  <c r="F134" i="25"/>
  <c r="E134" i="25"/>
  <c r="D134" i="25"/>
  <c r="C134" i="25"/>
  <c r="O133" i="25"/>
  <c r="N133" i="25"/>
  <c r="M133" i="25"/>
  <c r="L133" i="25"/>
  <c r="F133" i="25"/>
  <c r="E133" i="25"/>
  <c r="D133" i="25"/>
  <c r="C133" i="25"/>
  <c r="Q132" i="25"/>
  <c r="O132" i="25"/>
  <c r="N132" i="25"/>
  <c r="M132" i="25"/>
  <c r="L132" i="25"/>
  <c r="F132" i="25"/>
  <c r="E132" i="25"/>
  <c r="D132" i="25"/>
  <c r="C132" i="25"/>
  <c r="O131" i="25"/>
  <c r="N131" i="25"/>
  <c r="M131" i="25"/>
  <c r="L131" i="25"/>
  <c r="F131" i="25"/>
  <c r="E131" i="25"/>
  <c r="D131" i="25"/>
  <c r="C131" i="25"/>
  <c r="L129" i="25"/>
  <c r="C129" i="25"/>
  <c r="J128" i="25"/>
  <c r="T124" i="25"/>
  <c r="P262" i="25" s="1"/>
  <c r="M124" i="25"/>
  <c r="P261" i="25" s="1"/>
  <c r="F124" i="25"/>
  <c r="P260" i="25" s="1"/>
  <c r="T123" i="25"/>
  <c r="P249" i="25" s="1"/>
  <c r="M123" i="25"/>
  <c r="P248" i="25" s="1"/>
  <c r="F123" i="25"/>
  <c r="P247" i="25" s="1"/>
  <c r="T122" i="25"/>
  <c r="P236" i="25" s="1"/>
  <c r="M122" i="25"/>
  <c r="P235" i="25" s="1"/>
  <c r="F122" i="25"/>
  <c r="P234" i="25" s="1"/>
  <c r="T121" i="25"/>
  <c r="P223" i="25" s="1"/>
  <c r="M121" i="25"/>
  <c r="P222" i="25" s="1"/>
  <c r="F121" i="25"/>
  <c r="P221" i="25" s="1"/>
  <c r="S120" i="25"/>
  <c r="R120" i="25"/>
  <c r="Q120" i="25"/>
  <c r="L120" i="25"/>
  <c r="K120" i="25"/>
  <c r="J120" i="25"/>
  <c r="E120" i="25"/>
  <c r="D120" i="25"/>
  <c r="C120" i="25"/>
  <c r="P119" i="25"/>
  <c r="T118" i="25"/>
  <c r="G262" i="25" s="1"/>
  <c r="M118" i="25"/>
  <c r="G261" i="25" s="1"/>
  <c r="F118" i="25"/>
  <c r="G260" i="25" s="1"/>
  <c r="T117" i="25"/>
  <c r="G249" i="25" s="1"/>
  <c r="M117" i="25"/>
  <c r="G248" i="25" s="1"/>
  <c r="F117" i="25"/>
  <c r="G247" i="25" s="1"/>
  <c r="T116" i="25"/>
  <c r="G236" i="25" s="1"/>
  <c r="M116" i="25"/>
  <c r="G235" i="25" s="1"/>
  <c r="F116" i="25"/>
  <c r="G234" i="25" s="1"/>
  <c r="T115" i="25"/>
  <c r="G223" i="25" s="1"/>
  <c r="M115" i="25"/>
  <c r="G222" i="25" s="1"/>
  <c r="F115" i="25"/>
  <c r="G221" i="25" s="1"/>
  <c r="S114" i="25"/>
  <c r="R114" i="25"/>
  <c r="Q114" i="25"/>
  <c r="L114" i="25"/>
  <c r="K114" i="25"/>
  <c r="J114" i="25"/>
  <c r="E114" i="25"/>
  <c r="D114" i="25"/>
  <c r="C114" i="25"/>
  <c r="P113" i="25"/>
  <c r="T112" i="25"/>
  <c r="P207" i="25" s="1"/>
  <c r="M112" i="25"/>
  <c r="P206" i="25" s="1"/>
  <c r="F112" i="25"/>
  <c r="P205" i="25" s="1"/>
  <c r="T111" i="25"/>
  <c r="P194" i="25" s="1"/>
  <c r="M111" i="25"/>
  <c r="P193" i="25" s="1"/>
  <c r="F111" i="25"/>
  <c r="P192" i="25" s="1"/>
  <c r="T110" i="25"/>
  <c r="P181" i="25" s="1"/>
  <c r="M110" i="25"/>
  <c r="P180" i="25" s="1"/>
  <c r="F110" i="25"/>
  <c r="P179" i="25" s="1"/>
  <c r="T109" i="25"/>
  <c r="P168" i="25" s="1"/>
  <c r="M109" i="25"/>
  <c r="P167" i="25" s="1"/>
  <c r="F109" i="25"/>
  <c r="P166" i="25" s="1"/>
  <c r="T108" i="25"/>
  <c r="P155" i="25" s="1"/>
  <c r="M108" i="25"/>
  <c r="P154" i="25" s="1"/>
  <c r="F108" i="25"/>
  <c r="P153" i="25" s="1"/>
  <c r="T107" i="25"/>
  <c r="P142" i="25" s="1"/>
  <c r="M107" i="25"/>
  <c r="P141" i="25" s="1"/>
  <c r="F107" i="25"/>
  <c r="P140" i="25" s="1"/>
  <c r="S106" i="25"/>
  <c r="R106" i="25"/>
  <c r="Q106" i="25"/>
  <c r="L106" i="25"/>
  <c r="K106" i="25"/>
  <c r="J106" i="25"/>
  <c r="E106" i="25"/>
  <c r="D106" i="25"/>
  <c r="C106" i="25"/>
  <c r="P105" i="25"/>
  <c r="I105" i="25"/>
  <c r="T104" i="25"/>
  <c r="G207" i="25" s="1"/>
  <c r="M104" i="25"/>
  <c r="G206" i="25" s="1"/>
  <c r="F104" i="25"/>
  <c r="G205" i="25" s="1"/>
  <c r="T103" i="25"/>
  <c r="G194" i="25" s="1"/>
  <c r="M103" i="25"/>
  <c r="G193" i="25" s="1"/>
  <c r="F103" i="25"/>
  <c r="G192" i="25" s="1"/>
  <c r="T102" i="25"/>
  <c r="G181" i="25" s="1"/>
  <c r="M102" i="25"/>
  <c r="G180" i="25" s="1"/>
  <c r="F102" i="25"/>
  <c r="G179" i="25" s="1"/>
  <c r="T101" i="25"/>
  <c r="G168" i="25" s="1"/>
  <c r="M101" i="25"/>
  <c r="G167" i="25" s="1"/>
  <c r="F101" i="25"/>
  <c r="G166" i="25" s="1"/>
  <c r="T100" i="25"/>
  <c r="G155" i="25" s="1"/>
  <c r="M100" i="25"/>
  <c r="G154" i="25" s="1"/>
  <c r="F100" i="25"/>
  <c r="G153" i="25" s="1"/>
  <c r="T99" i="25"/>
  <c r="G142" i="25" s="1"/>
  <c r="M99" i="25"/>
  <c r="G141" i="25" s="1"/>
  <c r="F99" i="25"/>
  <c r="G140" i="25" s="1"/>
  <c r="P97" i="25"/>
  <c r="I97" i="25"/>
  <c r="U93" i="25"/>
  <c r="Q259" i="25" s="1"/>
  <c r="T93" i="25"/>
  <c r="P259" i="25" s="1"/>
  <c r="N93" i="25"/>
  <c r="Q258" i="25" s="1"/>
  <c r="M93" i="25"/>
  <c r="P258" i="25" s="1"/>
  <c r="G93" i="25"/>
  <c r="Q257" i="25" s="1"/>
  <c r="F93" i="25"/>
  <c r="P257" i="25" s="1"/>
  <c r="U92" i="25"/>
  <c r="Q246" i="25" s="1"/>
  <c r="T92" i="25"/>
  <c r="P246" i="25" s="1"/>
  <c r="N92" i="25"/>
  <c r="Q245" i="25" s="1"/>
  <c r="M92" i="25"/>
  <c r="P245" i="25" s="1"/>
  <c r="G92" i="25"/>
  <c r="Q244" i="25" s="1"/>
  <c r="F92" i="25"/>
  <c r="P244" i="25" s="1"/>
  <c r="U91" i="25"/>
  <c r="Q233" i="25" s="1"/>
  <c r="T91" i="25"/>
  <c r="P233" i="25" s="1"/>
  <c r="N91" i="25"/>
  <c r="Q232" i="25" s="1"/>
  <c r="M91" i="25"/>
  <c r="P232" i="25" s="1"/>
  <c r="G91" i="25"/>
  <c r="Q231" i="25" s="1"/>
  <c r="F91" i="25"/>
  <c r="P231" i="25" s="1"/>
  <c r="U90" i="25"/>
  <c r="Q220" i="25" s="1"/>
  <c r="T90" i="25"/>
  <c r="P220" i="25" s="1"/>
  <c r="N90" i="25"/>
  <c r="Q219" i="25" s="1"/>
  <c r="M90" i="25"/>
  <c r="P219" i="25" s="1"/>
  <c r="G90" i="25"/>
  <c r="Q218" i="25" s="1"/>
  <c r="F90" i="25"/>
  <c r="P218" i="25" s="1"/>
  <c r="S89" i="25"/>
  <c r="R89" i="25"/>
  <c r="Q89" i="25"/>
  <c r="L89" i="25"/>
  <c r="K89" i="25"/>
  <c r="J89" i="25"/>
  <c r="E89" i="25"/>
  <c r="D89" i="25"/>
  <c r="C89" i="25"/>
  <c r="P88" i="25"/>
  <c r="U87" i="25"/>
  <c r="H259" i="25" s="1"/>
  <c r="T87" i="25"/>
  <c r="G259" i="25" s="1"/>
  <c r="N87" i="25"/>
  <c r="H258" i="25" s="1"/>
  <c r="M87" i="25"/>
  <c r="G258" i="25" s="1"/>
  <c r="G87" i="25"/>
  <c r="H257" i="25" s="1"/>
  <c r="F87" i="25"/>
  <c r="G257" i="25" s="1"/>
  <c r="U86" i="25"/>
  <c r="H246" i="25" s="1"/>
  <c r="T86" i="25"/>
  <c r="G246" i="25" s="1"/>
  <c r="N86" i="25"/>
  <c r="H245" i="25" s="1"/>
  <c r="M86" i="25"/>
  <c r="G245" i="25" s="1"/>
  <c r="G86" i="25"/>
  <c r="H244" i="25" s="1"/>
  <c r="F86" i="25"/>
  <c r="G244" i="25" s="1"/>
  <c r="U85" i="25"/>
  <c r="H233" i="25" s="1"/>
  <c r="T85" i="25"/>
  <c r="G233" i="25" s="1"/>
  <c r="N85" i="25"/>
  <c r="H232" i="25" s="1"/>
  <c r="M85" i="25"/>
  <c r="G232" i="25" s="1"/>
  <c r="G85" i="25"/>
  <c r="H231" i="25" s="1"/>
  <c r="F85" i="25"/>
  <c r="G231" i="25" s="1"/>
  <c r="U84" i="25"/>
  <c r="H220" i="25" s="1"/>
  <c r="T84" i="25"/>
  <c r="G220" i="25" s="1"/>
  <c r="N84" i="25"/>
  <c r="H219" i="25" s="1"/>
  <c r="M84" i="25"/>
  <c r="G219" i="25" s="1"/>
  <c r="G84" i="25"/>
  <c r="H218" i="25" s="1"/>
  <c r="F84" i="25"/>
  <c r="G218" i="25" s="1"/>
  <c r="S83" i="25"/>
  <c r="R83" i="25"/>
  <c r="Q83" i="25"/>
  <c r="L83" i="25"/>
  <c r="K83" i="25"/>
  <c r="J83" i="25"/>
  <c r="E83" i="25"/>
  <c r="D83" i="25"/>
  <c r="C83" i="25"/>
  <c r="P82" i="25"/>
  <c r="U81" i="25"/>
  <c r="Q204" i="25" s="1"/>
  <c r="T81" i="25"/>
  <c r="P204" i="25" s="1"/>
  <c r="N81" i="25"/>
  <c r="Q203" i="25" s="1"/>
  <c r="M81" i="25"/>
  <c r="P203" i="25" s="1"/>
  <c r="G81" i="25"/>
  <c r="Q202" i="25" s="1"/>
  <c r="F81" i="25"/>
  <c r="P202" i="25" s="1"/>
  <c r="U80" i="25"/>
  <c r="Q191" i="25" s="1"/>
  <c r="T80" i="25"/>
  <c r="P191" i="25" s="1"/>
  <c r="N80" i="25"/>
  <c r="Q190" i="25" s="1"/>
  <c r="M80" i="25"/>
  <c r="P190" i="25" s="1"/>
  <c r="G80" i="25"/>
  <c r="Q189" i="25" s="1"/>
  <c r="F80" i="25"/>
  <c r="P189" i="25" s="1"/>
  <c r="U79" i="25"/>
  <c r="Q178" i="25" s="1"/>
  <c r="T79" i="25"/>
  <c r="P178" i="25" s="1"/>
  <c r="N79" i="25"/>
  <c r="Q177" i="25" s="1"/>
  <c r="M79" i="25"/>
  <c r="P177" i="25" s="1"/>
  <c r="G79" i="25"/>
  <c r="Q176" i="25" s="1"/>
  <c r="F79" i="25"/>
  <c r="P176" i="25" s="1"/>
  <c r="U78" i="25"/>
  <c r="Q165" i="25" s="1"/>
  <c r="T78" i="25"/>
  <c r="P165" i="25" s="1"/>
  <c r="N78" i="25"/>
  <c r="Q164" i="25" s="1"/>
  <c r="M78" i="25"/>
  <c r="P164" i="25" s="1"/>
  <c r="G78" i="25"/>
  <c r="Q163" i="25" s="1"/>
  <c r="F78" i="25"/>
  <c r="P163" i="25" s="1"/>
  <c r="U77" i="25"/>
  <c r="Q152" i="25" s="1"/>
  <c r="T77" i="25"/>
  <c r="P152" i="25" s="1"/>
  <c r="N77" i="25"/>
  <c r="Q151" i="25" s="1"/>
  <c r="M77" i="25"/>
  <c r="P151" i="25" s="1"/>
  <c r="G77" i="25"/>
  <c r="Q150" i="25" s="1"/>
  <c r="F77" i="25"/>
  <c r="P150" i="25" s="1"/>
  <c r="U76" i="25"/>
  <c r="Q139" i="25" s="1"/>
  <c r="T76" i="25"/>
  <c r="P139" i="25" s="1"/>
  <c r="N76" i="25"/>
  <c r="Q138" i="25" s="1"/>
  <c r="M76" i="25"/>
  <c r="P138" i="25" s="1"/>
  <c r="G76" i="25"/>
  <c r="Q137" i="25" s="1"/>
  <c r="F76" i="25"/>
  <c r="P137" i="25" s="1"/>
  <c r="S75" i="25"/>
  <c r="R75" i="25"/>
  <c r="Q75" i="25"/>
  <c r="L75" i="25"/>
  <c r="K75" i="25"/>
  <c r="J75" i="25"/>
  <c r="E75" i="25"/>
  <c r="D75" i="25"/>
  <c r="C75" i="25"/>
  <c r="P74" i="25"/>
  <c r="I74" i="25"/>
  <c r="U73" i="25"/>
  <c r="H204" i="25" s="1"/>
  <c r="T73" i="25"/>
  <c r="G204" i="25" s="1"/>
  <c r="N73" i="25"/>
  <c r="H203" i="25" s="1"/>
  <c r="M73" i="25"/>
  <c r="G203" i="25" s="1"/>
  <c r="G73" i="25"/>
  <c r="H202" i="25" s="1"/>
  <c r="F73" i="25"/>
  <c r="G202" i="25" s="1"/>
  <c r="U72" i="25"/>
  <c r="H191" i="25" s="1"/>
  <c r="T72" i="25"/>
  <c r="G191" i="25" s="1"/>
  <c r="N72" i="25"/>
  <c r="H190" i="25" s="1"/>
  <c r="M72" i="25"/>
  <c r="G190" i="25" s="1"/>
  <c r="G72" i="25"/>
  <c r="H189" i="25" s="1"/>
  <c r="F72" i="25"/>
  <c r="G189" i="25" s="1"/>
  <c r="U71" i="25"/>
  <c r="H178" i="25" s="1"/>
  <c r="T71" i="25"/>
  <c r="G178" i="25" s="1"/>
  <c r="N71" i="25"/>
  <c r="H177" i="25" s="1"/>
  <c r="M71" i="25"/>
  <c r="G177" i="25" s="1"/>
  <c r="G71" i="25"/>
  <c r="H176" i="25" s="1"/>
  <c r="F71" i="25"/>
  <c r="G176" i="25" s="1"/>
  <c r="U70" i="25"/>
  <c r="H165" i="25" s="1"/>
  <c r="T70" i="25"/>
  <c r="G165" i="25" s="1"/>
  <c r="N70" i="25"/>
  <c r="H164" i="25" s="1"/>
  <c r="M70" i="25"/>
  <c r="G164" i="25" s="1"/>
  <c r="G70" i="25"/>
  <c r="H163" i="25" s="1"/>
  <c r="F70" i="25"/>
  <c r="G163" i="25" s="1"/>
  <c r="U69" i="25"/>
  <c r="H152" i="25" s="1"/>
  <c r="T69" i="25"/>
  <c r="G152" i="25" s="1"/>
  <c r="N69" i="25"/>
  <c r="H151" i="25" s="1"/>
  <c r="M69" i="25"/>
  <c r="G151" i="25" s="1"/>
  <c r="G69" i="25"/>
  <c r="H150" i="25" s="1"/>
  <c r="F69" i="25"/>
  <c r="G150" i="25" s="1"/>
  <c r="U68" i="25"/>
  <c r="H139" i="25" s="1"/>
  <c r="T68" i="25"/>
  <c r="G139" i="25" s="1"/>
  <c r="N68" i="25"/>
  <c r="H138" i="25" s="1"/>
  <c r="M68" i="25"/>
  <c r="G138" i="25" s="1"/>
  <c r="G68" i="25"/>
  <c r="H137" i="25" s="1"/>
  <c r="F68" i="25"/>
  <c r="G137" i="25" s="1"/>
  <c r="P66" i="25"/>
  <c r="I66" i="25"/>
  <c r="U62" i="25"/>
  <c r="Q256" i="25" s="1"/>
  <c r="T62" i="25"/>
  <c r="P256" i="25" s="1"/>
  <c r="N62" i="25"/>
  <c r="Q255" i="25" s="1"/>
  <c r="M62" i="25"/>
  <c r="P255" i="25" s="1"/>
  <c r="G62" i="25"/>
  <c r="Q254" i="25" s="1"/>
  <c r="F62" i="25"/>
  <c r="P254" i="25" s="1"/>
  <c r="U61" i="25"/>
  <c r="Q243" i="25" s="1"/>
  <c r="T61" i="25"/>
  <c r="P243" i="25" s="1"/>
  <c r="N61" i="25"/>
  <c r="Q242" i="25" s="1"/>
  <c r="M61" i="25"/>
  <c r="P242" i="25" s="1"/>
  <c r="G61" i="25"/>
  <c r="Q241" i="25" s="1"/>
  <c r="F61" i="25"/>
  <c r="P241" i="25" s="1"/>
  <c r="U60" i="25"/>
  <c r="Q230" i="25" s="1"/>
  <c r="T60" i="25"/>
  <c r="P230" i="25" s="1"/>
  <c r="N60" i="25"/>
  <c r="Q229" i="25" s="1"/>
  <c r="M60" i="25"/>
  <c r="P229" i="25" s="1"/>
  <c r="G60" i="25"/>
  <c r="Q228" i="25" s="1"/>
  <c r="F60" i="25"/>
  <c r="P228" i="25" s="1"/>
  <c r="U59" i="25"/>
  <c r="Q217" i="25" s="1"/>
  <c r="T59" i="25"/>
  <c r="P217" i="25" s="1"/>
  <c r="N59" i="25"/>
  <c r="Q216" i="25" s="1"/>
  <c r="M59" i="25"/>
  <c r="P216" i="25" s="1"/>
  <c r="G59" i="25"/>
  <c r="Q215" i="25" s="1"/>
  <c r="F59" i="25"/>
  <c r="P215" i="25" s="1"/>
  <c r="S58" i="25"/>
  <c r="R58" i="25"/>
  <c r="Q58" i="25"/>
  <c r="L58" i="25"/>
  <c r="K58" i="25"/>
  <c r="J58" i="25"/>
  <c r="E58" i="25"/>
  <c r="D58" i="25"/>
  <c r="C58" i="25"/>
  <c r="B57" i="25"/>
  <c r="I57" i="25" s="1"/>
  <c r="P57" i="25" s="1"/>
  <c r="U56" i="25"/>
  <c r="H256" i="25" s="1"/>
  <c r="T56" i="25"/>
  <c r="G256" i="25" s="1"/>
  <c r="N56" i="25"/>
  <c r="H255" i="25" s="1"/>
  <c r="M56" i="25"/>
  <c r="G255" i="25" s="1"/>
  <c r="G56" i="25"/>
  <c r="H254" i="25" s="1"/>
  <c r="F56" i="25"/>
  <c r="G254" i="25" s="1"/>
  <c r="U55" i="25"/>
  <c r="H243" i="25" s="1"/>
  <c r="T55" i="25"/>
  <c r="G243" i="25" s="1"/>
  <c r="N55" i="25"/>
  <c r="H242" i="25" s="1"/>
  <c r="M55" i="25"/>
  <c r="G242" i="25" s="1"/>
  <c r="G55" i="25"/>
  <c r="H241" i="25" s="1"/>
  <c r="F55" i="25"/>
  <c r="G241" i="25" s="1"/>
  <c r="U54" i="25"/>
  <c r="H230" i="25" s="1"/>
  <c r="T54" i="25"/>
  <c r="G230" i="25" s="1"/>
  <c r="N54" i="25"/>
  <c r="H229" i="25" s="1"/>
  <c r="M54" i="25"/>
  <c r="G229" i="25" s="1"/>
  <c r="G54" i="25"/>
  <c r="H228" i="25" s="1"/>
  <c r="F54" i="25"/>
  <c r="G228" i="25" s="1"/>
  <c r="U53" i="25"/>
  <c r="H217" i="25" s="1"/>
  <c r="T53" i="25"/>
  <c r="G217" i="25" s="1"/>
  <c r="N53" i="25"/>
  <c r="H216" i="25" s="1"/>
  <c r="M53" i="25"/>
  <c r="G216" i="25" s="1"/>
  <c r="G53" i="25"/>
  <c r="H215" i="25" s="1"/>
  <c r="F53" i="25"/>
  <c r="G215" i="25" s="1"/>
  <c r="S52" i="25"/>
  <c r="R52" i="25"/>
  <c r="Q52" i="25"/>
  <c r="L52" i="25"/>
  <c r="K52" i="25"/>
  <c r="J52" i="25"/>
  <c r="E52" i="25"/>
  <c r="D52" i="25"/>
  <c r="C52" i="25"/>
  <c r="B51" i="25"/>
  <c r="I51" i="25" s="1"/>
  <c r="P51" i="25" s="1"/>
  <c r="U50" i="25"/>
  <c r="Q201" i="25" s="1"/>
  <c r="T50" i="25"/>
  <c r="P201" i="25" s="1"/>
  <c r="N50" i="25"/>
  <c r="Q200" i="25" s="1"/>
  <c r="M50" i="25"/>
  <c r="P200" i="25" s="1"/>
  <c r="G50" i="25"/>
  <c r="Q199" i="25" s="1"/>
  <c r="F50" i="25"/>
  <c r="P199" i="25" s="1"/>
  <c r="U49" i="25"/>
  <c r="Q188" i="25" s="1"/>
  <c r="T49" i="25"/>
  <c r="P188" i="25" s="1"/>
  <c r="N49" i="25"/>
  <c r="Q187" i="25" s="1"/>
  <c r="M49" i="25"/>
  <c r="P187" i="25" s="1"/>
  <c r="G49" i="25"/>
  <c r="Q186" i="25" s="1"/>
  <c r="F49" i="25"/>
  <c r="P186" i="25" s="1"/>
  <c r="U48" i="25"/>
  <c r="Q175" i="25" s="1"/>
  <c r="T48" i="25"/>
  <c r="P175" i="25" s="1"/>
  <c r="N48" i="25"/>
  <c r="Q174" i="25" s="1"/>
  <c r="M48" i="25"/>
  <c r="P174" i="25" s="1"/>
  <c r="G48" i="25"/>
  <c r="Q173" i="25" s="1"/>
  <c r="F48" i="25"/>
  <c r="P173" i="25" s="1"/>
  <c r="U47" i="25"/>
  <c r="Q162" i="25" s="1"/>
  <c r="T47" i="25"/>
  <c r="P162" i="25" s="1"/>
  <c r="N47" i="25"/>
  <c r="Q161" i="25" s="1"/>
  <c r="M47" i="25"/>
  <c r="P161" i="25" s="1"/>
  <c r="G47" i="25"/>
  <c r="Q160" i="25" s="1"/>
  <c r="F47" i="25"/>
  <c r="P160" i="25" s="1"/>
  <c r="U46" i="25"/>
  <c r="Q149" i="25" s="1"/>
  <c r="T46" i="25"/>
  <c r="P149" i="25" s="1"/>
  <c r="N46" i="25"/>
  <c r="Q148" i="25" s="1"/>
  <c r="M46" i="25"/>
  <c r="P148" i="25" s="1"/>
  <c r="G46" i="25"/>
  <c r="Q147" i="25" s="1"/>
  <c r="F46" i="25"/>
  <c r="P147" i="25" s="1"/>
  <c r="U45" i="25"/>
  <c r="Q136" i="25" s="1"/>
  <c r="T45" i="25"/>
  <c r="P136" i="25" s="1"/>
  <c r="N45" i="25"/>
  <c r="Q135" i="25" s="1"/>
  <c r="M45" i="25"/>
  <c r="P135" i="25" s="1"/>
  <c r="G45" i="25"/>
  <c r="Q134" i="25" s="1"/>
  <c r="F45" i="25"/>
  <c r="P134" i="25" s="1"/>
  <c r="S44" i="25"/>
  <c r="R44" i="25"/>
  <c r="Q44" i="25"/>
  <c r="L44" i="25"/>
  <c r="K44" i="25"/>
  <c r="J44" i="25"/>
  <c r="E44" i="25"/>
  <c r="D44" i="25"/>
  <c r="C44" i="25"/>
  <c r="B43" i="25"/>
  <c r="I43" i="25" s="1"/>
  <c r="P43" i="25" s="1"/>
  <c r="U42" i="25"/>
  <c r="H201" i="25" s="1"/>
  <c r="T42" i="25"/>
  <c r="G201" i="25" s="1"/>
  <c r="N42" i="25"/>
  <c r="H200" i="25" s="1"/>
  <c r="M42" i="25"/>
  <c r="G200" i="25" s="1"/>
  <c r="G42" i="25"/>
  <c r="H199" i="25" s="1"/>
  <c r="F42" i="25"/>
  <c r="G199" i="25" s="1"/>
  <c r="U41" i="25"/>
  <c r="H188" i="25" s="1"/>
  <c r="T41" i="25"/>
  <c r="G188" i="25" s="1"/>
  <c r="N41" i="25"/>
  <c r="H187" i="25" s="1"/>
  <c r="M41" i="25"/>
  <c r="G187" i="25" s="1"/>
  <c r="G41" i="25"/>
  <c r="H186" i="25" s="1"/>
  <c r="F41" i="25"/>
  <c r="G186" i="25" s="1"/>
  <c r="U40" i="25"/>
  <c r="H175" i="25" s="1"/>
  <c r="T40" i="25"/>
  <c r="G175" i="25" s="1"/>
  <c r="N40" i="25"/>
  <c r="H174" i="25" s="1"/>
  <c r="M40" i="25"/>
  <c r="G174" i="25" s="1"/>
  <c r="G40" i="25"/>
  <c r="H173" i="25" s="1"/>
  <c r="F40" i="25"/>
  <c r="G173" i="25" s="1"/>
  <c r="U39" i="25"/>
  <c r="H162" i="25" s="1"/>
  <c r="T39" i="25"/>
  <c r="G162" i="25" s="1"/>
  <c r="N39" i="25"/>
  <c r="H161" i="25" s="1"/>
  <c r="M39" i="25"/>
  <c r="G161" i="25" s="1"/>
  <c r="G39" i="25"/>
  <c r="H160" i="25" s="1"/>
  <c r="F39" i="25"/>
  <c r="G160" i="25" s="1"/>
  <c r="U38" i="25"/>
  <c r="H149" i="25" s="1"/>
  <c r="T38" i="25"/>
  <c r="G149" i="25" s="1"/>
  <c r="N38" i="25"/>
  <c r="H148" i="25" s="1"/>
  <c r="M38" i="25"/>
  <c r="G148" i="25" s="1"/>
  <c r="G38" i="25"/>
  <c r="H147" i="25" s="1"/>
  <c r="F38" i="25"/>
  <c r="G147" i="25" s="1"/>
  <c r="U37" i="25"/>
  <c r="H136" i="25" s="1"/>
  <c r="T37" i="25"/>
  <c r="G136" i="25" s="1"/>
  <c r="N37" i="25"/>
  <c r="H135" i="25" s="1"/>
  <c r="M37" i="25"/>
  <c r="G135" i="25" s="1"/>
  <c r="G37" i="25"/>
  <c r="H134" i="25" s="1"/>
  <c r="F37" i="25"/>
  <c r="G134" i="25" s="1"/>
  <c r="B35" i="25"/>
  <c r="I35" i="25" s="1"/>
  <c r="P35" i="25" s="1"/>
  <c r="U31" i="25"/>
  <c r="Q253" i="25" s="1"/>
  <c r="T31" i="25"/>
  <c r="P253" i="25" s="1"/>
  <c r="N31" i="25"/>
  <c r="Q252" i="25" s="1"/>
  <c r="M31" i="25"/>
  <c r="P252" i="25" s="1"/>
  <c r="G31" i="25"/>
  <c r="Q251" i="25" s="1"/>
  <c r="F31" i="25"/>
  <c r="P251" i="25" s="1"/>
  <c r="U30" i="25"/>
  <c r="Q240" i="25" s="1"/>
  <c r="T30" i="25"/>
  <c r="P240" i="25" s="1"/>
  <c r="N30" i="25"/>
  <c r="Q239" i="25" s="1"/>
  <c r="M30" i="25"/>
  <c r="P239" i="25" s="1"/>
  <c r="G30" i="25"/>
  <c r="Q238" i="25" s="1"/>
  <c r="F30" i="25"/>
  <c r="P238" i="25" s="1"/>
  <c r="U29" i="25"/>
  <c r="Q227" i="25" s="1"/>
  <c r="T29" i="25"/>
  <c r="P227" i="25" s="1"/>
  <c r="N29" i="25"/>
  <c r="Q226" i="25" s="1"/>
  <c r="M29" i="25"/>
  <c r="P226" i="25" s="1"/>
  <c r="G29" i="25"/>
  <c r="Q225" i="25" s="1"/>
  <c r="F29" i="25"/>
  <c r="P225" i="25" s="1"/>
  <c r="U28" i="25"/>
  <c r="Q214" i="25" s="1"/>
  <c r="T28" i="25"/>
  <c r="P214" i="25" s="1"/>
  <c r="N28" i="25"/>
  <c r="Q213" i="25" s="1"/>
  <c r="M28" i="25"/>
  <c r="P213" i="25" s="1"/>
  <c r="G28" i="25"/>
  <c r="Q212" i="25" s="1"/>
  <c r="F28" i="25"/>
  <c r="P212" i="25" s="1"/>
  <c r="S27" i="25"/>
  <c r="R27" i="25"/>
  <c r="Q27" i="25"/>
  <c r="L27" i="25"/>
  <c r="K27" i="25"/>
  <c r="J27" i="25"/>
  <c r="E27" i="25"/>
  <c r="D27" i="25"/>
  <c r="C27" i="25"/>
  <c r="P26" i="25"/>
  <c r="I26" i="25"/>
  <c r="U25" i="25"/>
  <c r="H253" i="25" s="1"/>
  <c r="T25" i="25"/>
  <c r="G253" i="25" s="1"/>
  <c r="N25" i="25"/>
  <c r="H252" i="25" s="1"/>
  <c r="M25" i="25"/>
  <c r="G252" i="25" s="1"/>
  <c r="F25" i="25"/>
  <c r="G251" i="25" s="1"/>
  <c r="U24" i="25"/>
  <c r="H240" i="25" s="1"/>
  <c r="T24" i="25"/>
  <c r="G240" i="25" s="1"/>
  <c r="N24" i="25"/>
  <c r="H239" i="25" s="1"/>
  <c r="M24" i="25"/>
  <c r="G239" i="25" s="1"/>
  <c r="F24" i="25"/>
  <c r="G238" i="25" s="1"/>
  <c r="U23" i="25"/>
  <c r="H227" i="25" s="1"/>
  <c r="T23" i="25"/>
  <c r="G227" i="25" s="1"/>
  <c r="N23" i="25"/>
  <c r="H226" i="25" s="1"/>
  <c r="M23" i="25"/>
  <c r="G226" i="25" s="1"/>
  <c r="F23" i="25"/>
  <c r="G225" i="25" s="1"/>
  <c r="U22" i="25"/>
  <c r="H214" i="25" s="1"/>
  <c r="T22" i="25"/>
  <c r="G214" i="25" s="1"/>
  <c r="N22" i="25"/>
  <c r="H213" i="25" s="1"/>
  <c r="M22" i="25"/>
  <c r="G213" i="25" s="1"/>
  <c r="F22" i="25"/>
  <c r="G212" i="25" s="1"/>
  <c r="S21" i="25"/>
  <c r="R21" i="25"/>
  <c r="Q21" i="25"/>
  <c r="L21" i="25"/>
  <c r="K21" i="25"/>
  <c r="J21" i="25"/>
  <c r="E21" i="25"/>
  <c r="D21" i="25"/>
  <c r="C21" i="25"/>
  <c r="P20" i="25"/>
  <c r="I20" i="25"/>
  <c r="U19" i="25"/>
  <c r="Q198" i="25" s="1"/>
  <c r="T19" i="25"/>
  <c r="P198" i="25" s="1"/>
  <c r="M19" i="25"/>
  <c r="P197" i="25" s="1"/>
  <c r="G19" i="25"/>
  <c r="Q196" i="25" s="1"/>
  <c r="F19" i="25"/>
  <c r="P196" i="25" s="1"/>
  <c r="U18" i="25"/>
  <c r="Q185" i="25" s="1"/>
  <c r="T18" i="25"/>
  <c r="P185" i="25" s="1"/>
  <c r="N18" i="25"/>
  <c r="Q184" i="25" s="1"/>
  <c r="M18" i="25"/>
  <c r="P184" i="25" s="1"/>
  <c r="G18" i="25"/>
  <c r="Q183" i="25" s="1"/>
  <c r="F18" i="25"/>
  <c r="P183" i="25" s="1"/>
  <c r="U17" i="25"/>
  <c r="Q172" i="25" s="1"/>
  <c r="T17" i="25"/>
  <c r="P172" i="25" s="1"/>
  <c r="N17" i="25"/>
  <c r="Q171" i="25" s="1"/>
  <c r="M17" i="25"/>
  <c r="P171" i="25" s="1"/>
  <c r="G17" i="25"/>
  <c r="Q170" i="25" s="1"/>
  <c r="F17" i="25"/>
  <c r="P170" i="25" s="1"/>
  <c r="U16" i="25"/>
  <c r="Q159" i="25" s="1"/>
  <c r="T16" i="25"/>
  <c r="P159" i="25" s="1"/>
  <c r="N16" i="25"/>
  <c r="Q158" i="25" s="1"/>
  <c r="M16" i="25"/>
  <c r="P158" i="25" s="1"/>
  <c r="G16" i="25"/>
  <c r="Q157" i="25" s="1"/>
  <c r="F16" i="25"/>
  <c r="P157" i="25" s="1"/>
  <c r="U15" i="25"/>
  <c r="Q146" i="25" s="1"/>
  <c r="T15" i="25"/>
  <c r="P146" i="25" s="1"/>
  <c r="N15" i="25"/>
  <c r="Q145" i="25" s="1"/>
  <c r="M15" i="25"/>
  <c r="P145" i="25" s="1"/>
  <c r="G15" i="25"/>
  <c r="Q144" i="25" s="1"/>
  <c r="F15" i="25"/>
  <c r="P144" i="25" s="1"/>
  <c r="U14" i="25"/>
  <c r="Q133" i="25" s="1"/>
  <c r="T14" i="25"/>
  <c r="P133" i="25" s="1"/>
  <c r="M14" i="25"/>
  <c r="P132" i="25" s="1"/>
  <c r="G14" i="25"/>
  <c r="Q131" i="25" s="1"/>
  <c r="F14" i="25"/>
  <c r="P131" i="25" s="1"/>
  <c r="S13" i="25"/>
  <c r="R13" i="25"/>
  <c r="Q13" i="25"/>
  <c r="L13" i="25"/>
  <c r="K13" i="25"/>
  <c r="J13" i="25"/>
  <c r="E13" i="25"/>
  <c r="D13" i="25"/>
  <c r="C13" i="25"/>
  <c r="P12" i="25"/>
  <c r="I12" i="25"/>
  <c r="U11" i="25"/>
  <c r="H198" i="25" s="1"/>
  <c r="T11" i="25"/>
  <c r="G198" i="25" s="1"/>
  <c r="M11" i="25"/>
  <c r="G197" i="25" s="1"/>
  <c r="G11" i="25"/>
  <c r="H196" i="25" s="1"/>
  <c r="F11" i="25"/>
  <c r="G196" i="25" s="1"/>
  <c r="U10" i="25"/>
  <c r="H185" i="25" s="1"/>
  <c r="T10" i="25"/>
  <c r="G185" i="25" s="1"/>
  <c r="N10" i="25"/>
  <c r="H184" i="25" s="1"/>
  <c r="M10" i="25"/>
  <c r="G184" i="25" s="1"/>
  <c r="G10" i="25"/>
  <c r="H183" i="25" s="1"/>
  <c r="F10" i="25"/>
  <c r="G183" i="25" s="1"/>
  <c r="U9" i="25"/>
  <c r="H172" i="25" s="1"/>
  <c r="T9" i="25"/>
  <c r="G172" i="25" s="1"/>
  <c r="N9" i="25"/>
  <c r="H171" i="25" s="1"/>
  <c r="M9" i="25"/>
  <c r="G171" i="25" s="1"/>
  <c r="G9" i="25"/>
  <c r="H170" i="25" s="1"/>
  <c r="F9" i="25"/>
  <c r="G170" i="25" s="1"/>
  <c r="U8" i="25"/>
  <c r="H159" i="25" s="1"/>
  <c r="T8" i="25"/>
  <c r="G159" i="25" s="1"/>
  <c r="N8" i="25"/>
  <c r="H158" i="25" s="1"/>
  <c r="M8" i="25"/>
  <c r="G158" i="25" s="1"/>
  <c r="G8" i="25"/>
  <c r="H157" i="25" s="1"/>
  <c r="F8" i="25"/>
  <c r="G157" i="25" s="1"/>
  <c r="U7" i="25"/>
  <c r="H146" i="25" s="1"/>
  <c r="T7" i="25"/>
  <c r="G146" i="25" s="1"/>
  <c r="N7" i="25"/>
  <c r="H145" i="25" s="1"/>
  <c r="M7" i="25"/>
  <c r="G145" i="25" s="1"/>
  <c r="G7" i="25"/>
  <c r="H144" i="25" s="1"/>
  <c r="F7" i="25"/>
  <c r="G144" i="25" s="1"/>
  <c r="U6" i="25"/>
  <c r="H133" i="25" s="1"/>
  <c r="T6" i="25"/>
  <c r="G133" i="25" s="1"/>
  <c r="N6" i="25"/>
  <c r="H132" i="25" s="1"/>
  <c r="M6" i="25"/>
  <c r="G132" i="25" s="1"/>
  <c r="G6" i="25"/>
  <c r="H131" i="25" s="1"/>
  <c r="F6" i="25"/>
  <c r="G131" i="25" s="1"/>
  <c r="P4" i="25"/>
  <c r="I4" i="25"/>
  <c r="B265" i="25" l="1"/>
  <c r="A311" i="25"/>
  <c r="D268" i="25"/>
  <c r="D276" i="25" s="1"/>
  <c r="D284" i="25" s="1"/>
  <c r="D290" i="25" s="1"/>
  <c r="C268" i="25"/>
  <c r="C276" i="25" s="1"/>
  <c r="C284" i="25" s="1"/>
  <c r="C290" i="25" s="1"/>
  <c r="B268" i="25"/>
  <c r="B276" i="25" s="1"/>
  <c r="B284" i="25" s="1"/>
  <c r="B290" i="25" s="1"/>
  <c r="A265" i="25" l="1"/>
  <c r="N298" i="25"/>
  <c r="N311" i="25" s="1"/>
  <c r="A269" i="25" l="1"/>
  <c r="C273" i="25"/>
  <c r="F294" i="25"/>
  <c r="D293" i="25"/>
  <c r="B292" i="25"/>
  <c r="B288" i="25"/>
  <c r="F286" i="25"/>
  <c r="D285" i="25"/>
  <c r="F282" i="25"/>
  <c r="D281" i="25"/>
  <c r="B280" i="25"/>
  <c r="F278" i="25"/>
  <c r="D277" i="25"/>
  <c r="E273" i="25"/>
  <c r="A271" i="25"/>
  <c r="B270" i="25"/>
  <c r="E269" i="25"/>
  <c r="C270" i="25"/>
  <c r="E294" i="25"/>
  <c r="C293" i="25"/>
  <c r="A292" i="25"/>
  <c r="A288" i="25"/>
  <c r="E286" i="25"/>
  <c r="C285" i="25"/>
  <c r="E282" i="25"/>
  <c r="C281" i="25"/>
  <c r="A280" i="25"/>
  <c r="E278" i="25"/>
  <c r="C277" i="25"/>
  <c r="F274" i="25"/>
  <c r="D273" i="25"/>
  <c r="A270" i="25"/>
  <c r="D269" i="25"/>
  <c r="D294" i="25"/>
  <c r="B293" i="25"/>
  <c r="F291" i="25"/>
  <c r="F287" i="25"/>
  <c r="D286" i="25"/>
  <c r="B285" i="25"/>
  <c r="D282" i="25"/>
  <c r="B281" i="25"/>
  <c r="F279" i="25"/>
  <c r="D278" i="25"/>
  <c r="B277" i="25"/>
  <c r="K266" i="25" s="1"/>
  <c r="N271" i="25" s="1"/>
  <c r="E274" i="25"/>
  <c r="F272" i="25"/>
  <c r="C269" i="25"/>
  <c r="C288" i="25"/>
  <c r="C294" i="25"/>
  <c r="A293" i="25"/>
  <c r="E291" i="25"/>
  <c r="E287" i="25"/>
  <c r="C286" i="25"/>
  <c r="A285" i="25"/>
  <c r="C282" i="25"/>
  <c r="A281" i="25"/>
  <c r="E279" i="25"/>
  <c r="C278" i="25"/>
  <c r="A277" i="25"/>
  <c r="D274" i="25"/>
  <c r="B273" i="25"/>
  <c r="E272" i="25"/>
  <c r="F271" i="25"/>
  <c r="B269" i="25"/>
  <c r="B294" i="25"/>
  <c r="F292" i="25"/>
  <c r="D291" i="25"/>
  <c r="F288" i="25"/>
  <c r="D287" i="25"/>
  <c r="B286" i="25"/>
  <c r="B282" i="25"/>
  <c r="F280" i="25"/>
  <c r="D279" i="25"/>
  <c r="B278" i="25"/>
  <c r="C274" i="25"/>
  <c r="A273" i="25"/>
  <c r="D272" i="25"/>
  <c r="E271" i="25"/>
  <c r="F270" i="25"/>
  <c r="E293" i="25"/>
  <c r="A294" i="25"/>
  <c r="E292" i="25"/>
  <c r="C291" i="25"/>
  <c r="E288" i="25"/>
  <c r="C287" i="25"/>
  <c r="A286" i="25"/>
  <c r="A282" i="25"/>
  <c r="E280" i="25"/>
  <c r="C279" i="25"/>
  <c r="A278" i="25"/>
  <c r="B274" i="25"/>
  <c r="C272" i="25"/>
  <c r="D271" i="25"/>
  <c r="E270" i="25"/>
  <c r="F269" i="25"/>
  <c r="F293" i="25"/>
  <c r="D292" i="25"/>
  <c r="B291" i="25"/>
  <c r="D288" i="25"/>
  <c r="B287" i="25"/>
  <c r="F285" i="25"/>
  <c r="F281" i="25"/>
  <c r="D280" i="25"/>
  <c r="B279" i="25"/>
  <c r="F277" i="25"/>
  <c r="A274" i="25"/>
  <c r="B272" i="25"/>
  <c r="C271" i="25"/>
  <c r="D270" i="25"/>
  <c r="C292" i="25"/>
  <c r="A291" i="25"/>
  <c r="A287" i="25"/>
  <c r="E285" i="25"/>
  <c r="E281" i="25"/>
  <c r="C280" i="25"/>
  <c r="A279" i="25"/>
  <c r="E277" i="25"/>
  <c r="F273" i="25"/>
  <c r="A272" i="25"/>
  <c r="B271" i="25"/>
  <c r="I266" i="25" l="1"/>
  <c r="N269" i="25" s="1"/>
  <c r="O271" i="25"/>
  <c r="H266" i="25"/>
  <c r="N268" i="25" s="1"/>
  <c r="I269" i="25" s="1"/>
  <c r="J266" i="25"/>
  <c r="N270" i="25" s="1"/>
  <c r="O270" i="25" s="1"/>
  <c r="H269" i="25"/>
  <c r="N272" i="25" s="1"/>
  <c r="O272" i="25" s="1"/>
  <c r="O268" i="25" l="1"/>
  <c r="E18" i="27" s="1"/>
  <c r="H272" i="25" l="1"/>
  <c r="Q268" i="25"/>
  <c r="H18" i="27" s="1"/>
  <c r="P268" i="25"/>
  <c r="F18" i="27" s="1"/>
  <c r="I272" i="25"/>
  <c r="V378" i="24"/>
  <c r="V377" i="24"/>
  <c r="A389" i="24"/>
  <c r="B373" i="24" s="1"/>
  <c r="K409" i="24"/>
  <c r="J409" i="24"/>
  <c r="I409" i="24"/>
  <c r="K408" i="24"/>
  <c r="J408" i="24"/>
  <c r="K407" i="24"/>
  <c r="J407" i="24"/>
  <c r="I407" i="24"/>
  <c r="K406" i="24"/>
  <c r="J406" i="24"/>
  <c r="I406" i="24"/>
  <c r="K405" i="24"/>
  <c r="J405" i="24"/>
  <c r="I405" i="24"/>
  <c r="K404" i="24"/>
  <c r="J404" i="24"/>
  <c r="I404" i="24"/>
  <c r="K403" i="24"/>
  <c r="J403" i="24"/>
  <c r="I403" i="24"/>
  <c r="K402" i="24"/>
  <c r="J402" i="24"/>
  <c r="I402" i="24"/>
  <c r="K401" i="24"/>
  <c r="J401" i="24"/>
  <c r="I401" i="24"/>
  <c r="K400" i="24"/>
  <c r="J400" i="24"/>
  <c r="I400" i="24"/>
  <c r="K399" i="24"/>
  <c r="J399" i="24"/>
  <c r="I399" i="24"/>
  <c r="K398" i="24"/>
  <c r="J398" i="24"/>
  <c r="I398" i="24"/>
  <c r="K397" i="24"/>
  <c r="J397" i="24"/>
  <c r="I397" i="24"/>
  <c r="K396" i="24"/>
  <c r="J396" i="24"/>
  <c r="I396" i="24"/>
  <c r="K395" i="24"/>
  <c r="J395" i="24"/>
  <c r="I395" i="24"/>
  <c r="K394" i="24"/>
  <c r="J394" i="24"/>
  <c r="I394" i="24"/>
  <c r="K393" i="24"/>
  <c r="J393" i="24"/>
  <c r="I393" i="24"/>
  <c r="K392" i="24"/>
  <c r="J392" i="24"/>
  <c r="I392" i="24"/>
  <c r="K391" i="24"/>
  <c r="J391" i="24"/>
  <c r="I391" i="24"/>
  <c r="K390" i="24"/>
  <c r="J390" i="24"/>
  <c r="I390" i="24"/>
  <c r="A410" i="24"/>
  <c r="A373" i="24" s="1"/>
  <c r="V371" i="24"/>
  <c r="U371" i="24"/>
  <c r="T371" i="24"/>
  <c r="S371" i="24"/>
  <c r="N371" i="24"/>
  <c r="M371" i="24"/>
  <c r="L371" i="24"/>
  <c r="K371" i="24"/>
  <c r="F371" i="24"/>
  <c r="E371" i="24"/>
  <c r="D371" i="24"/>
  <c r="C371" i="24"/>
  <c r="V370" i="24"/>
  <c r="U370" i="24"/>
  <c r="T370" i="24"/>
  <c r="S370" i="24"/>
  <c r="N370" i="24"/>
  <c r="M370" i="24"/>
  <c r="L370" i="24"/>
  <c r="K370" i="24"/>
  <c r="F370" i="24"/>
  <c r="E370" i="24"/>
  <c r="D370" i="24"/>
  <c r="C370" i="24"/>
  <c r="V369" i="24"/>
  <c r="U369" i="24"/>
  <c r="T369" i="24"/>
  <c r="S369" i="24"/>
  <c r="N369" i="24"/>
  <c r="M369" i="24"/>
  <c r="L369" i="24"/>
  <c r="K369" i="24"/>
  <c r="F369" i="24"/>
  <c r="E369" i="24"/>
  <c r="D369" i="24"/>
  <c r="C369" i="24"/>
  <c r="V368" i="24"/>
  <c r="U368" i="24"/>
  <c r="T368" i="24"/>
  <c r="S368" i="24"/>
  <c r="N368" i="24"/>
  <c r="M368" i="24"/>
  <c r="L368" i="24"/>
  <c r="K368" i="24"/>
  <c r="F368" i="24"/>
  <c r="E368" i="24"/>
  <c r="D368" i="24"/>
  <c r="C368" i="24"/>
  <c r="V367" i="24"/>
  <c r="U367" i="24"/>
  <c r="T367" i="24"/>
  <c r="S367" i="24"/>
  <c r="N367" i="24"/>
  <c r="M367" i="24"/>
  <c r="L367" i="24"/>
  <c r="K367" i="24"/>
  <c r="F367" i="24"/>
  <c r="E367" i="24"/>
  <c r="D367" i="24"/>
  <c r="C367" i="24"/>
  <c r="V366" i="24"/>
  <c r="U366" i="24"/>
  <c r="T366" i="24"/>
  <c r="S366" i="24"/>
  <c r="N366" i="24"/>
  <c r="M366" i="24"/>
  <c r="L366" i="24"/>
  <c r="K366" i="24"/>
  <c r="F366" i="24"/>
  <c r="E366" i="24"/>
  <c r="D366" i="24"/>
  <c r="C366" i="24"/>
  <c r="V365" i="24"/>
  <c r="U365" i="24"/>
  <c r="T365" i="24"/>
  <c r="S365" i="24"/>
  <c r="N365" i="24"/>
  <c r="M365" i="24"/>
  <c r="L365" i="24"/>
  <c r="K365" i="24"/>
  <c r="F365" i="24"/>
  <c r="E365" i="24"/>
  <c r="D365" i="24"/>
  <c r="C365" i="24"/>
  <c r="V364" i="24"/>
  <c r="U364" i="24"/>
  <c r="T364" i="24"/>
  <c r="S364" i="24"/>
  <c r="N364" i="24"/>
  <c r="M364" i="24"/>
  <c r="L364" i="24"/>
  <c r="K364" i="24"/>
  <c r="F364" i="24"/>
  <c r="E364" i="24"/>
  <c r="D364" i="24"/>
  <c r="C364" i="24"/>
  <c r="V363" i="24"/>
  <c r="U363" i="24"/>
  <c r="T363" i="24"/>
  <c r="S363" i="24"/>
  <c r="N363" i="24"/>
  <c r="M363" i="24"/>
  <c r="L363" i="24"/>
  <c r="K363" i="24"/>
  <c r="F363" i="24"/>
  <c r="E363" i="24"/>
  <c r="D363" i="24"/>
  <c r="C363" i="24"/>
  <c r="V362" i="24"/>
  <c r="U362" i="24"/>
  <c r="T362" i="24"/>
  <c r="S362" i="24"/>
  <c r="N362" i="24"/>
  <c r="M362" i="24"/>
  <c r="L362" i="24"/>
  <c r="K362" i="24"/>
  <c r="F362" i="24"/>
  <c r="E362" i="24"/>
  <c r="D362" i="24"/>
  <c r="C362" i="24"/>
  <c r="V361" i="24"/>
  <c r="U361" i="24"/>
  <c r="T361" i="24"/>
  <c r="S361" i="24"/>
  <c r="N361" i="24"/>
  <c r="M361" i="24"/>
  <c r="L361" i="24"/>
  <c r="K361" i="24"/>
  <c r="F361" i="24"/>
  <c r="E361" i="24"/>
  <c r="D361" i="24"/>
  <c r="C361" i="24"/>
  <c r="V360" i="24"/>
  <c r="U360" i="24"/>
  <c r="T360" i="24"/>
  <c r="S360" i="24"/>
  <c r="N360" i="24"/>
  <c r="M360" i="24"/>
  <c r="L360" i="24"/>
  <c r="K360" i="24"/>
  <c r="F360" i="24"/>
  <c r="E360" i="24"/>
  <c r="D360" i="24"/>
  <c r="C360" i="24"/>
  <c r="V359" i="24"/>
  <c r="U359" i="24"/>
  <c r="T359" i="24"/>
  <c r="S359" i="24"/>
  <c r="N359" i="24"/>
  <c r="M359" i="24"/>
  <c r="L359" i="24"/>
  <c r="K359" i="24"/>
  <c r="F359" i="24"/>
  <c r="E359" i="24"/>
  <c r="D359" i="24"/>
  <c r="C359" i="24"/>
  <c r="V358" i="24"/>
  <c r="U358" i="24"/>
  <c r="T358" i="24"/>
  <c r="S358" i="24"/>
  <c r="N358" i="24"/>
  <c r="M358" i="24"/>
  <c r="L358" i="24"/>
  <c r="K358" i="24"/>
  <c r="F358" i="24"/>
  <c r="E358" i="24"/>
  <c r="D358" i="24"/>
  <c r="C358" i="24"/>
  <c r="V357" i="24"/>
  <c r="U357" i="24"/>
  <c r="T357" i="24"/>
  <c r="S357" i="24"/>
  <c r="N357" i="24"/>
  <c r="M357" i="24"/>
  <c r="L357" i="24"/>
  <c r="K357" i="24"/>
  <c r="F357" i="24"/>
  <c r="E357" i="24"/>
  <c r="D357" i="24"/>
  <c r="C357" i="24"/>
  <c r="V356" i="24"/>
  <c r="U356" i="24"/>
  <c r="T356" i="24"/>
  <c r="S356" i="24"/>
  <c r="N356" i="24"/>
  <c r="M356" i="24"/>
  <c r="L356" i="24"/>
  <c r="K356" i="24"/>
  <c r="F356" i="24"/>
  <c r="E356" i="24"/>
  <c r="D356" i="24"/>
  <c r="C356" i="24"/>
  <c r="V355" i="24"/>
  <c r="U355" i="24"/>
  <c r="T355" i="24"/>
  <c r="S355" i="24"/>
  <c r="N355" i="24"/>
  <c r="M355" i="24"/>
  <c r="L355" i="24"/>
  <c r="K355" i="24"/>
  <c r="F355" i="24"/>
  <c r="E355" i="24"/>
  <c r="D355" i="24"/>
  <c r="C355" i="24"/>
  <c r="V354" i="24"/>
  <c r="U354" i="24"/>
  <c r="T354" i="24"/>
  <c r="S354" i="24"/>
  <c r="N354" i="24"/>
  <c r="M354" i="24"/>
  <c r="L354" i="24"/>
  <c r="K354" i="24"/>
  <c r="F354" i="24"/>
  <c r="E354" i="24"/>
  <c r="D354" i="24"/>
  <c r="C354" i="24"/>
  <c r="V353" i="24"/>
  <c r="U353" i="24"/>
  <c r="T353" i="24"/>
  <c r="S353" i="24"/>
  <c r="N353" i="24"/>
  <c r="M353" i="24"/>
  <c r="L353" i="24"/>
  <c r="K353" i="24"/>
  <c r="F353" i="24"/>
  <c r="E353" i="24"/>
  <c r="D353" i="24"/>
  <c r="C353" i="24"/>
  <c r="V352" i="24"/>
  <c r="U352" i="24"/>
  <c r="T352" i="24"/>
  <c r="S352" i="24"/>
  <c r="N352" i="24"/>
  <c r="M352" i="24"/>
  <c r="L352" i="24"/>
  <c r="K352" i="24"/>
  <c r="F352" i="24"/>
  <c r="E352" i="24"/>
  <c r="D352" i="24"/>
  <c r="C352" i="24"/>
  <c r="V350" i="24"/>
  <c r="U350" i="24"/>
  <c r="T350" i="24"/>
  <c r="S350" i="24"/>
  <c r="N350" i="24"/>
  <c r="M350" i="24"/>
  <c r="L350" i="24"/>
  <c r="K350" i="24"/>
  <c r="F350" i="24"/>
  <c r="E350" i="24"/>
  <c r="D350" i="24"/>
  <c r="C350" i="24"/>
  <c r="V349" i="24"/>
  <c r="U349" i="24"/>
  <c r="T349" i="24"/>
  <c r="S349" i="24"/>
  <c r="N349" i="24"/>
  <c r="M349" i="24"/>
  <c r="L349" i="24"/>
  <c r="K349" i="24"/>
  <c r="F349" i="24"/>
  <c r="E349" i="24"/>
  <c r="D349" i="24"/>
  <c r="C349" i="24"/>
  <c r="V348" i="24"/>
  <c r="U348" i="24"/>
  <c r="T348" i="24"/>
  <c r="S348" i="24"/>
  <c r="N348" i="24"/>
  <c r="M348" i="24"/>
  <c r="L348" i="24"/>
  <c r="K348" i="24"/>
  <c r="F348" i="24"/>
  <c r="E348" i="24"/>
  <c r="D348" i="24"/>
  <c r="C348" i="24"/>
  <c r="V347" i="24"/>
  <c r="U347" i="24"/>
  <c r="T347" i="24"/>
  <c r="S347" i="24"/>
  <c r="N347" i="24"/>
  <c r="M347" i="24"/>
  <c r="L347" i="24"/>
  <c r="K347" i="24"/>
  <c r="F347" i="24"/>
  <c r="E347" i="24"/>
  <c r="D347" i="24"/>
  <c r="C347" i="24"/>
  <c r="V346" i="24"/>
  <c r="U346" i="24"/>
  <c r="T346" i="24"/>
  <c r="S346" i="24"/>
  <c r="N346" i="24"/>
  <c r="M346" i="24"/>
  <c r="L346" i="24"/>
  <c r="K346" i="24"/>
  <c r="F346" i="24"/>
  <c r="E346" i="24"/>
  <c r="D346" i="24"/>
  <c r="C346" i="24"/>
  <c r="V345" i="24"/>
  <c r="U345" i="24"/>
  <c r="T345" i="24"/>
  <c r="S345" i="24"/>
  <c r="N345" i="24"/>
  <c r="M345" i="24"/>
  <c r="L345" i="24"/>
  <c r="K345" i="24"/>
  <c r="F345" i="24"/>
  <c r="E345" i="24"/>
  <c r="D345" i="24"/>
  <c r="C345" i="24"/>
  <c r="V344" i="24"/>
  <c r="U344" i="24"/>
  <c r="T344" i="24"/>
  <c r="S344" i="24"/>
  <c r="N344" i="24"/>
  <c r="M344" i="24"/>
  <c r="L344" i="24"/>
  <c r="K344" i="24"/>
  <c r="F344" i="24"/>
  <c r="E344" i="24"/>
  <c r="D344" i="24"/>
  <c r="C344" i="24"/>
  <c r="V343" i="24"/>
  <c r="U343" i="24"/>
  <c r="T343" i="24"/>
  <c r="S343" i="24"/>
  <c r="N343" i="24"/>
  <c r="M343" i="24"/>
  <c r="L343" i="24"/>
  <c r="K343" i="24"/>
  <c r="F343" i="24"/>
  <c r="E343" i="24"/>
  <c r="D343" i="24"/>
  <c r="C343" i="24"/>
  <c r="V342" i="24"/>
  <c r="U342" i="24"/>
  <c r="T342" i="24"/>
  <c r="S342" i="24"/>
  <c r="N342" i="24"/>
  <c r="M342" i="24"/>
  <c r="L342" i="24"/>
  <c r="K342" i="24"/>
  <c r="F342" i="24"/>
  <c r="E342" i="24"/>
  <c r="D342" i="24"/>
  <c r="C342" i="24"/>
  <c r="V341" i="24"/>
  <c r="U341" i="24"/>
  <c r="T341" i="24"/>
  <c r="S341" i="24"/>
  <c r="N341" i="24"/>
  <c r="M341" i="24"/>
  <c r="L341" i="24"/>
  <c r="K341" i="24"/>
  <c r="F341" i="24"/>
  <c r="E341" i="24"/>
  <c r="D341" i="24"/>
  <c r="C341" i="24"/>
  <c r="V340" i="24"/>
  <c r="U340" i="24"/>
  <c r="T340" i="24"/>
  <c r="S340" i="24"/>
  <c r="N340" i="24"/>
  <c r="M340" i="24"/>
  <c r="L340" i="24"/>
  <c r="K340" i="24"/>
  <c r="F340" i="24"/>
  <c r="E340" i="24"/>
  <c r="D340" i="24"/>
  <c r="C340" i="24"/>
  <c r="V339" i="24"/>
  <c r="U339" i="24"/>
  <c r="T339" i="24"/>
  <c r="S339" i="24"/>
  <c r="N339" i="24"/>
  <c r="M339" i="24"/>
  <c r="L339" i="24"/>
  <c r="K339" i="24"/>
  <c r="F339" i="24"/>
  <c r="E339" i="24"/>
  <c r="D339" i="24"/>
  <c r="C339" i="24"/>
  <c r="V338" i="24"/>
  <c r="U338" i="24"/>
  <c r="T338" i="24"/>
  <c r="S338" i="24"/>
  <c r="N338" i="24"/>
  <c r="M338" i="24"/>
  <c r="L338" i="24"/>
  <c r="K338" i="24"/>
  <c r="F338" i="24"/>
  <c r="E338" i="24"/>
  <c r="D338" i="24"/>
  <c r="C338" i="24"/>
  <c r="V337" i="24"/>
  <c r="U337" i="24"/>
  <c r="T337" i="24"/>
  <c r="S337" i="24"/>
  <c r="N337" i="24"/>
  <c r="M337" i="24"/>
  <c r="L337" i="24"/>
  <c r="K337" i="24"/>
  <c r="F337" i="24"/>
  <c r="E337" i="24"/>
  <c r="D337" i="24"/>
  <c r="C337" i="24"/>
  <c r="V336" i="24"/>
  <c r="U336" i="24"/>
  <c r="T336" i="24"/>
  <c r="S336" i="24"/>
  <c r="N336" i="24"/>
  <c r="M336" i="24"/>
  <c r="L336" i="24"/>
  <c r="K336" i="24"/>
  <c r="F336" i="24"/>
  <c r="E336" i="24"/>
  <c r="D336" i="24"/>
  <c r="C336" i="24"/>
  <c r="V335" i="24"/>
  <c r="U335" i="24"/>
  <c r="T335" i="24"/>
  <c r="S335" i="24"/>
  <c r="N335" i="24"/>
  <c r="M335" i="24"/>
  <c r="L335" i="24"/>
  <c r="K335" i="24"/>
  <c r="F335" i="24"/>
  <c r="E335" i="24"/>
  <c r="D335" i="24"/>
  <c r="C335" i="24"/>
  <c r="V334" i="24"/>
  <c r="U334" i="24"/>
  <c r="T334" i="24"/>
  <c r="S334" i="24"/>
  <c r="N334" i="24"/>
  <c r="M334" i="24"/>
  <c r="L334" i="24"/>
  <c r="K334" i="24"/>
  <c r="F334" i="24"/>
  <c r="E334" i="24"/>
  <c r="D334" i="24"/>
  <c r="C334" i="24"/>
  <c r="V333" i="24"/>
  <c r="U333" i="24"/>
  <c r="T333" i="24"/>
  <c r="S333" i="24"/>
  <c r="N333" i="24"/>
  <c r="M333" i="24"/>
  <c r="L333" i="24"/>
  <c r="K333" i="24"/>
  <c r="F333" i="24"/>
  <c r="E333" i="24"/>
  <c r="D333" i="24"/>
  <c r="C333" i="24"/>
  <c r="V332" i="24"/>
  <c r="U332" i="24"/>
  <c r="T332" i="24"/>
  <c r="S332" i="24"/>
  <c r="N332" i="24"/>
  <c r="M332" i="24"/>
  <c r="L332" i="24"/>
  <c r="K332" i="24"/>
  <c r="F332" i="24"/>
  <c r="E332" i="24"/>
  <c r="D332" i="24"/>
  <c r="C332" i="24"/>
  <c r="V331" i="24"/>
  <c r="U331" i="24"/>
  <c r="T331" i="24"/>
  <c r="S331" i="24"/>
  <c r="N331" i="24"/>
  <c r="M331" i="24"/>
  <c r="L331" i="24"/>
  <c r="K331" i="24"/>
  <c r="F331" i="24"/>
  <c r="E331" i="24"/>
  <c r="D331" i="24"/>
  <c r="C331" i="24"/>
  <c r="V329" i="24"/>
  <c r="U329" i="24"/>
  <c r="T329" i="24"/>
  <c r="S329" i="24"/>
  <c r="N329" i="24"/>
  <c r="M329" i="24"/>
  <c r="L329" i="24"/>
  <c r="K329" i="24"/>
  <c r="F329" i="24"/>
  <c r="E329" i="24"/>
  <c r="D329" i="24"/>
  <c r="C329" i="24"/>
  <c r="V328" i="24"/>
  <c r="U328" i="24"/>
  <c r="T328" i="24"/>
  <c r="S328" i="24"/>
  <c r="N328" i="24"/>
  <c r="M328" i="24"/>
  <c r="L328" i="24"/>
  <c r="K328" i="24"/>
  <c r="F328" i="24"/>
  <c r="E328" i="24"/>
  <c r="D328" i="24"/>
  <c r="C328" i="24"/>
  <c r="V327" i="24"/>
  <c r="U327" i="24"/>
  <c r="T327" i="24"/>
  <c r="S327" i="24"/>
  <c r="N327" i="24"/>
  <c r="M327" i="24"/>
  <c r="L327" i="24"/>
  <c r="K327" i="24"/>
  <c r="F327" i="24"/>
  <c r="E327" i="24"/>
  <c r="D327" i="24"/>
  <c r="C327" i="24"/>
  <c r="V326" i="24"/>
  <c r="U326" i="24"/>
  <c r="T326" i="24"/>
  <c r="S326" i="24"/>
  <c r="N326" i="24"/>
  <c r="M326" i="24"/>
  <c r="L326" i="24"/>
  <c r="K326" i="24"/>
  <c r="F326" i="24"/>
  <c r="E326" i="24"/>
  <c r="D326" i="24"/>
  <c r="C326" i="24"/>
  <c r="V325" i="24"/>
  <c r="U325" i="24"/>
  <c r="T325" i="24"/>
  <c r="S325" i="24"/>
  <c r="N325" i="24"/>
  <c r="M325" i="24"/>
  <c r="L325" i="24"/>
  <c r="K325" i="24"/>
  <c r="F325" i="24"/>
  <c r="E325" i="24"/>
  <c r="D325" i="24"/>
  <c r="C325" i="24"/>
  <c r="V324" i="24"/>
  <c r="U324" i="24"/>
  <c r="T324" i="24"/>
  <c r="S324" i="24"/>
  <c r="N324" i="24"/>
  <c r="M324" i="24"/>
  <c r="L324" i="24"/>
  <c r="K324" i="24"/>
  <c r="F324" i="24"/>
  <c r="E324" i="24"/>
  <c r="D324" i="24"/>
  <c r="C324" i="24"/>
  <c r="V323" i="24"/>
  <c r="U323" i="24"/>
  <c r="T323" i="24"/>
  <c r="S323" i="24"/>
  <c r="N323" i="24"/>
  <c r="M323" i="24"/>
  <c r="L323" i="24"/>
  <c r="K323" i="24"/>
  <c r="F323" i="24"/>
  <c r="E323" i="24"/>
  <c r="D323" i="24"/>
  <c r="C323" i="24"/>
  <c r="V322" i="24"/>
  <c r="U322" i="24"/>
  <c r="T322" i="24"/>
  <c r="S322" i="24"/>
  <c r="N322" i="24"/>
  <c r="M322" i="24"/>
  <c r="L322" i="24"/>
  <c r="K322" i="24"/>
  <c r="F322" i="24"/>
  <c r="E322" i="24"/>
  <c r="D322" i="24"/>
  <c r="C322" i="24"/>
  <c r="V321" i="24"/>
  <c r="U321" i="24"/>
  <c r="T321" i="24"/>
  <c r="S321" i="24"/>
  <c r="N321" i="24"/>
  <c r="M321" i="24"/>
  <c r="L321" i="24"/>
  <c r="K321" i="24"/>
  <c r="F321" i="24"/>
  <c r="E321" i="24"/>
  <c r="D321" i="24"/>
  <c r="C321" i="24"/>
  <c r="V320" i="24"/>
  <c r="U320" i="24"/>
  <c r="T320" i="24"/>
  <c r="S320" i="24"/>
  <c r="N320" i="24"/>
  <c r="M320" i="24"/>
  <c r="L320" i="24"/>
  <c r="K320" i="24"/>
  <c r="F320" i="24"/>
  <c r="E320" i="24"/>
  <c r="D320" i="24"/>
  <c r="C320" i="24"/>
  <c r="V319" i="24"/>
  <c r="U319" i="24"/>
  <c r="T319" i="24"/>
  <c r="S319" i="24"/>
  <c r="N319" i="24"/>
  <c r="M319" i="24"/>
  <c r="L319" i="24"/>
  <c r="K319" i="24"/>
  <c r="F319" i="24"/>
  <c r="E319" i="24"/>
  <c r="D319" i="24"/>
  <c r="C319" i="24"/>
  <c r="V318" i="24"/>
  <c r="U318" i="24"/>
  <c r="T318" i="24"/>
  <c r="S318" i="24"/>
  <c r="N318" i="24"/>
  <c r="M318" i="24"/>
  <c r="L318" i="24"/>
  <c r="K318" i="24"/>
  <c r="F318" i="24"/>
  <c r="E318" i="24"/>
  <c r="D318" i="24"/>
  <c r="C318" i="24"/>
  <c r="V317" i="24"/>
  <c r="U317" i="24"/>
  <c r="T317" i="24"/>
  <c r="S317" i="24"/>
  <c r="N317" i="24"/>
  <c r="M317" i="24"/>
  <c r="L317" i="24"/>
  <c r="K317" i="24"/>
  <c r="F317" i="24"/>
  <c r="E317" i="24"/>
  <c r="D317" i="24"/>
  <c r="C317" i="24"/>
  <c r="V316" i="24"/>
  <c r="U316" i="24"/>
  <c r="T316" i="24"/>
  <c r="S316" i="24"/>
  <c r="N316" i="24"/>
  <c r="M316" i="24"/>
  <c r="L316" i="24"/>
  <c r="K316" i="24"/>
  <c r="F316" i="24"/>
  <c r="E316" i="24"/>
  <c r="D316" i="24"/>
  <c r="C316" i="24"/>
  <c r="V315" i="24"/>
  <c r="U315" i="24"/>
  <c r="T315" i="24"/>
  <c r="S315" i="24"/>
  <c r="N315" i="24"/>
  <c r="M315" i="24"/>
  <c r="L315" i="24"/>
  <c r="K315" i="24"/>
  <c r="F315" i="24"/>
  <c r="E315" i="24"/>
  <c r="D315" i="24"/>
  <c r="C315" i="24"/>
  <c r="V314" i="24"/>
  <c r="U314" i="24"/>
  <c r="T314" i="24"/>
  <c r="S314" i="24"/>
  <c r="N314" i="24"/>
  <c r="M314" i="24"/>
  <c r="L314" i="24"/>
  <c r="K314" i="24"/>
  <c r="F314" i="24"/>
  <c r="E314" i="24"/>
  <c r="D314" i="24"/>
  <c r="C314" i="24"/>
  <c r="V313" i="24"/>
  <c r="U313" i="24"/>
  <c r="T313" i="24"/>
  <c r="S313" i="24"/>
  <c r="N313" i="24"/>
  <c r="M313" i="24"/>
  <c r="L313" i="24"/>
  <c r="K313" i="24"/>
  <c r="F313" i="24"/>
  <c r="E313" i="24"/>
  <c r="D313" i="24"/>
  <c r="C313" i="24"/>
  <c r="V312" i="24"/>
  <c r="U312" i="24"/>
  <c r="T312" i="24"/>
  <c r="S312" i="24"/>
  <c r="N312" i="24"/>
  <c r="M312" i="24"/>
  <c r="L312" i="24"/>
  <c r="K312" i="24"/>
  <c r="F312" i="24"/>
  <c r="E312" i="24"/>
  <c r="D312" i="24"/>
  <c r="C312" i="24"/>
  <c r="V311" i="24"/>
  <c r="U311" i="24"/>
  <c r="T311" i="24"/>
  <c r="S311" i="24"/>
  <c r="N311" i="24"/>
  <c r="M311" i="24"/>
  <c r="L311" i="24"/>
  <c r="K311" i="24"/>
  <c r="F311" i="24"/>
  <c r="E311" i="24"/>
  <c r="D311" i="24"/>
  <c r="C311" i="24"/>
  <c r="V310" i="24"/>
  <c r="U310" i="24"/>
  <c r="T310" i="24"/>
  <c r="S310" i="24"/>
  <c r="N310" i="24"/>
  <c r="M310" i="24"/>
  <c r="L310" i="24"/>
  <c r="K310" i="24"/>
  <c r="F310" i="24"/>
  <c r="E310" i="24"/>
  <c r="D310" i="24"/>
  <c r="C310" i="24"/>
  <c r="V308" i="24"/>
  <c r="U308" i="24"/>
  <c r="T308" i="24"/>
  <c r="S308" i="24"/>
  <c r="N308" i="24"/>
  <c r="M308" i="24"/>
  <c r="L308" i="24"/>
  <c r="K308" i="24"/>
  <c r="F308" i="24"/>
  <c r="E308" i="24"/>
  <c r="D308" i="24"/>
  <c r="C308" i="24"/>
  <c r="V307" i="24"/>
  <c r="U307" i="24"/>
  <c r="T307" i="24"/>
  <c r="S307" i="24"/>
  <c r="N307" i="24"/>
  <c r="M307" i="24"/>
  <c r="L307" i="24"/>
  <c r="K307" i="24"/>
  <c r="F307" i="24"/>
  <c r="E307" i="24"/>
  <c r="D307" i="24"/>
  <c r="C307" i="24"/>
  <c r="V306" i="24"/>
  <c r="U306" i="24"/>
  <c r="T306" i="24"/>
  <c r="S306" i="24"/>
  <c r="N306" i="24"/>
  <c r="M306" i="24"/>
  <c r="L306" i="24"/>
  <c r="K306" i="24"/>
  <c r="F306" i="24"/>
  <c r="E306" i="24"/>
  <c r="D306" i="24"/>
  <c r="C306" i="24"/>
  <c r="V305" i="24"/>
  <c r="U305" i="24"/>
  <c r="T305" i="24"/>
  <c r="S305" i="24"/>
  <c r="N305" i="24"/>
  <c r="M305" i="24"/>
  <c r="L305" i="24"/>
  <c r="K305" i="24"/>
  <c r="F305" i="24"/>
  <c r="E305" i="24"/>
  <c r="D305" i="24"/>
  <c r="C305" i="24"/>
  <c r="V304" i="24"/>
  <c r="U304" i="24"/>
  <c r="T304" i="24"/>
  <c r="S304" i="24"/>
  <c r="N304" i="24"/>
  <c r="M304" i="24"/>
  <c r="L304" i="24"/>
  <c r="K304" i="24"/>
  <c r="F304" i="24"/>
  <c r="E304" i="24"/>
  <c r="D304" i="24"/>
  <c r="C304" i="24"/>
  <c r="V303" i="24"/>
  <c r="U303" i="24"/>
  <c r="T303" i="24"/>
  <c r="S303" i="24"/>
  <c r="N303" i="24"/>
  <c r="M303" i="24"/>
  <c r="L303" i="24"/>
  <c r="K303" i="24"/>
  <c r="F303" i="24"/>
  <c r="E303" i="24"/>
  <c r="D303" i="24"/>
  <c r="C303" i="24"/>
  <c r="V302" i="24"/>
  <c r="U302" i="24"/>
  <c r="T302" i="24"/>
  <c r="S302" i="24"/>
  <c r="N302" i="24"/>
  <c r="M302" i="24"/>
  <c r="L302" i="24"/>
  <c r="K302" i="24"/>
  <c r="F302" i="24"/>
  <c r="E302" i="24"/>
  <c r="D302" i="24"/>
  <c r="C302" i="24"/>
  <c r="V301" i="24"/>
  <c r="U301" i="24"/>
  <c r="T301" i="24"/>
  <c r="S301" i="24"/>
  <c r="N301" i="24"/>
  <c r="M301" i="24"/>
  <c r="L301" i="24"/>
  <c r="K301" i="24"/>
  <c r="F301" i="24"/>
  <c r="E301" i="24"/>
  <c r="D301" i="24"/>
  <c r="C301" i="24"/>
  <c r="V300" i="24"/>
  <c r="U300" i="24"/>
  <c r="T300" i="24"/>
  <c r="S300" i="24"/>
  <c r="N300" i="24"/>
  <c r="M300" i="24"/>
  <c r="L300" i="24"/>
  <c r="K300" i="24"/>
  <c r="F300" i="24"/>
  <c r="E300" i="24"/>
  <c r="D300" i="24"/>
  <c r="C300" i="24"/>
  <c r="V299" i="24"/>
  <c r="U299" i="24"/>
  <c r="T299" i="24"/>
  <c r="S299" i="24"/>
  <c r="N299" i="24"/>
  <c r="M299" i="24"/>
  <c r="L299" i="24"/>
  <c r="K299" i="24"/>
  <c r="F299" i="24"/>
  <c r="E299" i="24"/>
  <c r="D299" i="24"/>
  <c r="C299" i="24"/>
  <c r="V298" i="24"/>
  <c r="U298" i="24"/>
  <c r="T298" i="24"/>
  <c r="S298" i="24"/>
  <c r="N298" i="24"/>
  <c r="M298" i="24"/>
  <c r="L298" i="24"/>
  <c r="K298" i="24"/>
  <c r="F298" i="24"/>
  <c r="E298" i="24"/>
  <c r="D298" i="24"/>
  <c r="C298" i="24"/>
  <c r="V297" i="24"/>
  <c r="U297" i="24"/>
  <c r="T297" i="24"/>
  <c r="S297" i="24"/>
  <c r="N297" i="24"/>
  <c r="M297" i="24"/>
  <c r="L297" i="24"/>
  <c r="K297" i="24"/>
  <c r="F297" i="24"/>
  <c r="E297" i="24"/>
  <c r="D297" i="24"/>
  <c r="C297" i="24"/>
  <c r="V296" i="24"/>
  <c r="U296" i="24"/>
  <c r="T296" i="24"/>
  <c r="S296" i="24"/>
  <c r="N296" i="24"/>
  <c r="M296" i="24"/>
  <c r="L296" i="24"/>
  <c r="K296" i="24"/>
  <c r="F296" i="24"/>
  <c r="E296" i="24"/>
  <c r="D296" i="24"/>
  <c r="C296" i="24"/>
  <c r="V295" i="24"/>
  <c r="U295" i="24"/>
  <c r="T295" i="24"/>
  <c r="S295" i="24"/>
  <c r="N295" i="24"/>
  <c r="M295" i="24"/>
  <c r="L295" i="24"/>
  <c r="K295" i="24"/>
  <c r="F295" i="24"/>
  <c r="E295" i="24"/>
  <c r="D295" i="24"/>
  <c r="C295" i="24"/>
  <c r="V294" i="24"/>
  <c r="U294" i="24"/>
  <c r="T294" i="24"/>
  <c r="S294" i="24"/>
  <c r="N294" i="24"/>
  <c r="M294" i="24"/>
  <c r="L294" i="24"/>
  <c r="K294" i="24"/>
  <c r="F294" i="24"/>
  <c r="E294" i="24"/>
  <c r="D294" i="24"/>
  <c r="C294" i="24"/>
  <c r="V293" i="24"/>
  <c r="U293" i="24"/>
  <c r="T293" i="24"/>
  <c r="S293" i="24"/>
  <c r="N293" i="24"/>
  <c r="M293" i="24"/>
  <c r="L293" i="24"/>
  <c r="K293" i="24"/>
  <c r="F293" i="24"/>
  <c r="E293" i="24"/>
  <c r="D293" i="24"/>
  <c r="C293" i="24"/>
  <c r="Z292" i="24"/>
  <c r="V292" i="24"/>
  <c r="U292" i="24"/>
  <c r="T292" i="24"/>
  <c r="S292" i="24"/>
  <c r="N292" i="24"/>
  <c r="M292" i="24"/>
  <c r="L292" i="24"/>
  <c r="K292" i="24"/>
  <c r="F292" i="24"/>
  <c r="E292" i="24"/>
  <c r="D292" i="24"/>
  <c r="C292" i="24"/>
  <c r="Z291" i="24"/>
  <c r="V291" i="24"/>
  <c r="U291" i="24"/>
  <c r="T291" i="24"/>
  <c r="S291" i="24"/>
  <c r="N291" i="24"/>
  <c r="M291" i="24"/>
  <c r="L291" i="24"/>
  <c r="K291" i="24"/>
  <c r="F291" i="24"/>
  <c r="E291" i="24"/>
  <c r="D291" i="24"/>
  <c r="C291" i="24"/>
  <c r="Z290" i="24"/>
  <c r="V290" i="24"/>
  <c r="U290" i="24"/>
  <c r="T290" i="24"/>
  <c r="S290" i="24"/>
  <c r="N290" i="24"/>
  <c r="M290" i="24"/>
  <c r="L290" i="24"/>
  <c r="K290" i="24"/>
  <c r="F290" i="24"/>
  <c r="E290" i="24"/>
  <c r="D290" i="24"/>
  <c r="C290" i="24"/>
  <c r="Z289" i="24"/>
  <c r="V289" i="24"/>
  <c r="U289" i="24"/>
  <c r="T289" i="24"/>
  <c r="S289" i="24"/>
  <c r="N289" i="24"/>
  <c r="M289" i="24"/>
  <c r="L289" i="24"/>
  <c r="K289" i="24"/>
  <c r="F289" i="24"/>
  <c r="E289" i="24"/>
  <c r="D289" i="24"/>
  <c r="C289" i="24"/>
  <c r="Z288" i="24"/>
  <c r="Z287" i="24"/>
  <c r="V287" i="24"/>
  <c r="U287" i="24"/>
  <c r="T287" i="24"/>
  <c r="S287" i="24"/>
  <c r="N287" i="24"/>
  <c r="M287" i="24"/>
  <c r="L287" i="24"/>
  <c r="K287" i="24"/>
  <c r="F287" i="24"/>
  <c r="E287" i="24"/>
  <c r="D287" i="24"/>
  <c r="C287" i="24"/>
  <c r="Z286" i="24"/>
  <c r="V286" i="24"/>
  <c r="U286" i="24"/>
  <c r="T286" i="24"/>
  <c r="S286" i="24"/>
  <c r="N286" i="24"/>
  <c r="M286" i="24"/>
  <c r="L286" i="24"/>
  <c r="K286" i="24"/>
  <c r="F286" i="24"/>
  <c r="E286" i="24"/>
  <c r="D286" i="24"/>
  <c r="C286" i="24"/>
  <c r="Z285" i="24"/>
  <c r="V285" i="24"/>
  <c r="U285" i="24"/>
  <c r="T285" i="24"/>
  <c r="S285" i="24"/>
  <c r="N285" i="24"/>
  <c r="M285" i="24"/>
  <c r="L285" i="24"/>
  <c r="K285" i="24"/>
  <c r="F285" i="24"/>
  <c r="E285" i="24"/>
  <c r="D285" i="24"/>
  <c r="C285" i="24"/>
  <c r="Z284" i="24"/>
  <c r="V284" i="24"/>
  <c r="U284" i="24"/>
  <c r="T284" i="24"/>
  <c r="S284" i="24"/>
  <c r="N284" i="24"/>
  <c r="M284" i="24"/>
  <c r="L284" i="24"/>
  <c r="K284" i="24"/>
  <c r="G284" i="24"/>
  <c r="F284" i="24"/>
  <c r="E284" i="24"/>
  <c r="D284" i="24"/>
  <c r="C284" i="24"/>
  <c r="Z283" i="24"/>
  <c r="V283" i="24"/>
  <c r="U283" i="24"/>
  <c r="T283" i="24"/>
  <c r="S283" i="24"/>
  <c r="N283" i="24"/>
  <c r="M283" i="24"/>
  <c r="L283" i="24"/>
  <c r="K283" i="24"/>
  <c r="F283" i="24"/>
  <c r="E283" i="24"/>
  <c r="D283" i="24"/>
  <c r="C283" i="24"/>
  <c r="Z282" i="24"/>
  <c r="V282" i="24"/>
  <c r="U282" i="24"/>
  <c r="T282" i="24"/>
  <c r="S282" i="24"/>
  <c r="N282" i="24"/>
  <c r="M282" i="24"/>
  <c r="L282" i="24"/>
  <c r="K282" i="24"/>
  <c r="F282" i="24"/>
  <c r="E282" i="24"/>
  <c r="D282" i="24"/>
  <c r="C282" i="24"/>
  <c r="Z281" i="24"/>
  <c r="V281" i="24"/>
  <c r="U281" i="24"/>
  <c r="T281" i="24"/>
  <c r="S281" i="24"/>
  <c r="N281" i="24"/>
  <c r="M281" i="24"/>
  <c r="L281" i="24"/>
  <c r="K281" i="24"/>
  <c r="F281" i="24"/>
  <c r="E281" i="24"/>
  <c r="D281" i="24"/>
  <c r="C281" i="24"/>
  <c r="Z280" i="24"/>
  <c r="V280" i="24"/>
  <c r="U280" i="24"/>
  <c r="T280" i="24"/>
  <c r="S280" i="24"/>
  <c r="N280" i="24"/>
  <c r="M280" i="24"/>
  <c r="L280" i="24"/>
  <c r="K280" i="24"/>
  <c r="F280" i="24"/>
  <c r="E280" i="24"/>
  <c r="D280" i="24"/>
  <c r="C280" i="24"/>
  <c r="Z279" i="24"/>
  <c r="V279" i="24"/>
  <c r="U279" i="24"/>
  <c r="T279" i="24"/>
  <c r="S279" i="24"/>
  <c r="N279" i="24"/>
  <c r="M279" i="24"/>
  <c r="L279" i="24"/>
  <c r="K279" i="24"/>
  <c r="F279" i="24"/>
  <c r="E279" i="24"/>
  <c r="D279" i="24"/>
  <c r="C279" i="24"/>
  <c r="Z278" i="24"/>
  <c r="V278" i="24"/>
  <c r="U278" i="24"/>
  <c r="T278" i="24"/>
  <c r="S278" i="24"/>
  <c r="N278" i="24"/>
  <c r="M278" i="24"/>
  <c r="L278" i="24"/>
  <c r="K278" i="24"/>
  <c r="F278" i="24"/>
  <c r="E278" i="24"/>
  <c r="D278" i="24"/>
  <c r="C278" i="24"/>
  <c r="Z277" i="24"/>
  <c r="V277" i="24"/>
  <c r="U277" i="24"/>
  <c r="T277" i="24"/>
  <c r="S277" i="24"/>
  <c r="N277" i="24"/>
  <c r="M277" i="24"/>
  <c r="L277" i="24"/>
  <c r="K277" i="24"/>
  <c r="F277" i="24"/>
  <c r="E277" i="24"/>
  <c r="D277" i="24"/>
  <c r="C277" i="24"/>
  <c r="Z276" i="24"/>
  <c r="V276" i="24"/>
  <c r="U276" i="24"/>
  <c r="T276" i="24"/>
  <c r="S276" i="24"/>
  <c r="N276" i="24"/>
  <c r="M276" i="24"/>
  <c r="L276" i="24"/>
  <c r="K276" i="24"/>
  <c r="F276" i="24"/>
  <c r="E276" i="24"/>
  <c r="D276" i="24"/>
  <c r="C276" i="24"/>
  <c r="Z275" i="24"/>
  <c r="V275" i="24"/>
  <c r="U275" i="24"/>
  <c r="T275" i="24"/>
  <c r="S275" i="24"/>
  <c r="N275" i="24"/>
  <c r="M275" i="24"/>
  <c r="L275" i="24"/>
  <c r="K275" i="24"/>
  <c r="F275" i="24"/>
  <c r="E275" i="24"/>
  <c r="D275" i="24"/>
  <c r="C275" i="24"/>
  <c r="Z274" i="24"/>
  <c r="V274" i="24"/>
  <c r="U274" i="24"/>
  <c r="T274" i="24"/>
  <c r="S274" i="24"/>
  <c r="N274" i="24"/>
  <c r="M274" i="24"/>
  <c r="L274" i="24"/>
  <c r="K274" i="24"/>
  <c r="F274" i="24"/>
  <c r="E274" i="24"/>
  <c r="D274" i="24"/>
  <c r="C274" i="24"/>
  <c r="Z273" i="24"/>
  <c r="V273" i="24"/>
  <c r="U273" i="24"/>
  <c r="T273" i="24"/>
  <c r="S273" i="24"/>
  <c r="N273" i="24"/>
  <c r="M273" i="24"/>
  <c r="L273" i="24"/>
  <c r="K273" i="24"/>
  <c r="F273" i="24"/>
  <c r="E273" i="24"/>
  <c r="D273" i="24"/>
  <c r="C273" i="24"/>
  <c r="V272" i="24"/>
  <c r="U272" i="24"/>
  <c r="T272" i="24"/>
  <c r="S272" i="24"/>
  <c r="N272" i="24"/>
  <c r="M272" i="24"/>
  <c r="L272" i="24"/>
  <c r="K272" i="24"/>
  <c r="F272" i="24"/>
  <c r="E272" i="24"/>
  <c r="D272" i="24"/>
  <c r="C272" i="24"/>
  <c r="V271" i="24"/>
  <c r="U271" i="24"/>
  <c r="T271" i="24"/>
  <c r="S271" i="24"/>
  <c r="N271" i="24"/>
  <c r="M271" i="24"/>
  <c r="L271" i="24"/>
  <c r="K271" i="24"/>
  <c r="F271" i="24"/>
  <c r="E271" i="24"/>
  <c r="D271" i="24"/>
  <c r="C271" i="24"/>
  <c r="V270" i="24"/>
  <c r="U270" i="24"/>
  <c r="T270" i="24"/>
  <c r="S270" i="24"/>
  <c r="N270" i="24"/>
  <c r="M270" i="24"/>
  <c r="L270" i="24"/>
  <c r="K270" i="24"/>
  <c r="F270" i="24"/>
  <c r="E270" i="24"/>
  <c r="D270" i="24"/>
  <c r="C270" i="24"/>
  <c r="V269" i="24"/>
  <c r="U269" i="24"/>
  <c r="T269" i="24"/>
  <c r="S269" i="24"/>
  <c r="N269" i="24"/>
  <c r="M269" i="24"/>
  <c r="L269" i="24"/>
  <c r="K269" i="24"/>
  <c r="F269" i="24"/>
  <c r="E269" i="24"/>
  <c r="D269" i="24"/>
  <c r="C269" i="24"/>
  <c r="Z268" i="24"/>
  <c r="V268" i="24"/>
  <c r="U268" i="24"/>
  <c r="T268" i="24"/>
  <c r="S268" i="24"/>
  <c r="N268" i="24"/>
  <c r="M268" i="24"/>
  <c r="L268" i="24"/>
  <c r="K268" i="24"/>
  <c r="F268" i="24"/>
  <c r="E268" i="24"/>
  <c r="D268" i="24"/>
  <c r="C268" i="24"/>
  <c r="Z267" i="24"/>
  <c r="Z266" i="24"/>
  <c r="V266" i="24"/>
  <c r="U266" i="24"/>
  <c r="T266" i="24"/>
  <c r="S266" i="24"/>
  <c r="N266" i="24"/>
  <c r="M266" i="24"/>
  <c r="L266" i="24"/>
  <c r="K266" i="24"/>
  <c r="F266" i="24"/>
  <c r="E266" i="24"/>
  <c r="D266" i="24"/>
  <c r="C266" i="24"/>
  <c r="Z265" i="24"/>
  <c r="V265" i="24"/>
  <c r="U265" i="24"/>
  <c r="T265" i="24"/>
  <c r="S265" i="24"/>
  <c r="N265" i="24"/>
  <c r="M265" i="24"/>
  <c r="L265" i="24"/>
  <c r="K265" i="24"/>
  <c r="F265" i="24"/>
  <c r="E265" i="24"/>
  <c r="D265" i="24"/>
  <c r="C265" i="24"/>
  <c r="Z264" i="24"/>
  <c r="V264" i="24"/>
  <c r="U264" i="24"/>
  <c r="T264" i="24"/>
  <c r="S264" i="24"/>
  <c r="N264" i="24"/>
  <c r="M264" i="24"/>
  <c r="L264" i="24"/>
  <c r="K264" i="24"/>
  <c r="F264" i="24"/>
  <c r="E264" i="24"/>
  <c r="D264" i="24"/>
  <c r="C264" i="24"/>
  <c r="Z263" i="24"/>
  <c r="V263" i="24"/>
  <c r="U263" i="24"/>
  <c r="T263" i="24"/>
  <c r="S263" i="24"/>
  <c r="N263" i="24"/>
  <c r="M263" i="24"/>
  <c r="L263" i="24"/>
  <c r="K263" i="24"/>
  <c r="F263" i="24"/>
  <c r="E263" i="24"/>
  <c r="D263" i="24"/>
  <c r="C263" i="24"/>
  <c r="Z262" i="24"/>
  <c r="V262" i="24"/>
  <c r="U262" i="24"/>
  <c r="T262" i="24"/>
  <c r="S262" i="24"/>
  <c r="N262" i="24"/>
  <c r="M262" i="24"/>
  <c r="L262" i="24"/>
  <c r="K262" i="24"/>
  <c r="F262" i="24"/>
  <c r="E262" i="24"/>
  <c r="D262" i="24"/>
  <c r="C262" i="24"/>
  <c r="Z261" i="24"/>
  <c r="V261" i="24"/>
  <c r="U261" i="24"/>
  <c r="T261" i="24"/>
  <c r="S261" i="24"/>
  <c r="N261" i="24"/>
  <c r="M261" i="24"/>
  <c r="L261" i="24"/>
  <c r="K261" i="24"/>
  <c r="F261" i="24"/>
  <c r="E261" i="24"/>
  <c r="D261" i="24"/>
  <c r="C261" i="24"/>
  <c r="Z260" i="24"/>
  <c r="V260" i="24"/>
  <c r="U260" i="24"/>
  <c r="T260" i="24"/>
  <c r="S260" i="24"/>
  <c r="N260" i="24"/>
  <c r="M260" i="24"/>
  <c r="L260" i="24"/>
  <c r="K260" i="24"/>
  <c r="F260" i="24"/>
  <c r="E260" i="24"/>
  <c r="D260" i="24"/>
  <c r="C260" i="24"/>
  <c r="Z259" i="24"/>
  <c r="V259" i="24"/>
  <c r="U259" i="24"/>
  <c r="T259" i="24"/>
  <c r="S259" i="24"/>
  <c r="N259" i="24"/>
  <c r="M259" i="24"/>
  <c r="L259" i="24"/>
  <c r="K259" i="24"/>
  <c r="F259" i="24"/>
  <c r="E259" i="24"/>
  <c r="D259" i="24"/>
  <c r="C259" i="24"/>
  <c r="Z258" i="24"/>
  <c r="V258" i="24"/>
  <c r="U258" i="24"/>
  <c r="T258" i="24"/>
  <c r="S258" i="24"/>
  <c r="N258" i="24"/>
  <c r="M258" i="24"/>
  <c r="L258" i="24"/>
  <c r="K258" i="24"/>
  <c r="F258" i="24"/>
  <c r="E258" i="24"/>
  <c r="D258" i="24"/>
  <c r="C258" i="24"/>
  <c r="Z257" i="24"/>
  <c r="V257" i="24"/>
  <c r="U257" i="24"/>
  <c r="T257" i="24"/>
  <c r="S257" i="24"/>
  <c r="N257" i="24"/>
  <c r="M257" i="24"/>
  <c r="L257" i="24"/>
  <c r="K257" i="24"/>
  <c r="F257" i="24"/>
  <c r="E257" i="24"/>
  <c r="D257" i="24"/>
  <c r="C257" i="24"/>
  <c r="Z256" i="24"/>
  <c r="V256" i="24"/>
  <c r="U256" i="24"/>
  <c r="T256" i="24"/>
  <c r="S256" i="24"/>
  <c r="N256" i="24"/>
  <c r="M256" i="24"/>
  <c r="L256" i="24"/>
  <c r="K256" i="24"/>
  <c r="F256" i="24"/>
  <c r="E256" i="24"/>
  <c r="D256" i="24"/>
  <c r="C256" i="24"/>
  <c r="Z255" i="24"/>
  <c r="V255" i="24"/>
  <c r="U255" i="24"/>
  <c r="T255" i="24"/>
  <c r="S255" i="24"/>
  <c r="N255" i="24"/>
  <c r="M255" i="24"/>
  <c r="L255" i="24"/>
  <c r="K255" i="24"/>
  <c r="F255" i="24"/>
  <c r="E255" i="24"/>
  <c r="D255" i="24"/>
  <c r="C255" i="24"/>
  <c r="Z254" i="24"/>
  <c r="V254" i="24"/>
  <c r="U254" i="24"/>
  <c r="T254" i="24"/>
  <c r="S254" i="24"/>
  <c r="N254" i="24"/>
  <c r="M254" i="24"/>
  <c r="L254" i="24"/>
  <c r="K254" i="24"/>
  <c r="F254" i="24"/>
  <c r="E254" i="24"/>
  <c r="D254" i="24"/>
  <c r="C254" i="24"/>
  <c r="Z253" i="24"/>
  <c r="V253" i="24"/>
  <c r="U253" i="24"/>
  <c r="T253" i="24"/>
  <c r="S253" i="24"/>
  <c r="N253" i="24"/>
  <c r="M253" i="24"/>
  <c r="L253" i="24"/>
  <c r="K253" i="24"/>
  <c r="F253" i="24"/>
  <c r="E253" i="24"/>
  <c r="D253" i="24"/>
  <c r="C253" i="24"/>
  <c r="Z252" i="24"/>
  <c r="V252" i="24"/>
  <c r="U252" i="24"/>
  <c r="T252" i="24"/>
  <c r="S252" i="24"/>
  <c r="N252" i="24"/>
  <c r="M252" i="24"/>
  <c r="L252" i="24"/>
  <c r="K252" i="24"/>
  <c r="F252" i="24"/>
  <c r="E252" i="24"/>
  <c r="D252" i="24"/>
  <c r="C252" i="24"/>
  <c r="Z251" i="24"/>
  <c r="V251" i="24"/>
  <c r="U251" i="24"/>
  <c r="T251" i="24"/>
  <c r="S251" i="24"/>
  <c r="N251" i="24"/>
  <c r="M251" i="24"/>
  <c r="L251" i="24"/>
  <c r="K251" i="24"/>
  <c r="F251" i="24"/>
  <c r="E251" i="24"/>
  <c r="D251" i="24"/>
  <c r="C251" i="24"/>
  <c r="Z250" i="24"/>
  <c r="V250" i="24"/>
  <c r="U250" i="24"/>
  <c r="T250" i="24"/>
  <c r="S250" i="24"/>
  <c r="N250" i="24"/>
  <c r="M250" i="24"/>
  <c r="L250" i="24"/>
  <c r="K250" i="24"/>
  <c r="F250" i="24"/>
  <c r="E250" i="24"/>
  <c r="D250" i="24"/>
  <c r="C250" i="24"/>
  <c r="Z249" i="24"/>
  <c r="V249" i="24"/>
  <c r="U249" i="24"/>
  <c r="T249" i="24"/>
  <c r="S249" i="24"/>
  <c r="N249" i="24"/>
  <c r="M249" i="24"/>
  <c r="L249" i="24"/>
  <c r="K249" i="24"/>
  <c r="F249" i="24"/>
  <c r="E249" i="24"/>
  <c r="D249" i="24"/>
  <c r="C249" i="24"/>
  <c r="V248" i="24"/>
  <c r="U248" i="24"/>
  <c r="T248" i="24"/>
  <c r="S248" i="24"/>
  <c r="O248" i="24"/>
  <c r="N248" i="24"/>
  <c r="M248" i="24"/>
  <c r="L248" i="24"/>
  <c r="K248" i="24"/>
  <c r="F248" i="24"/>
  <c r="E248" i="24"/>
  <c r="D248" i="24"/>
  <c r="C248" i="24"/>
  <c r="V247" i="24"/>
  <c r="U247" i="24"/>
  <c r="T247" i="24"/>
  <c r="S247" i="24"/>
  <c r="N247" i="24"/>
  <c r="M247" i="24"/>
  <c r="L247" i="24"/>
  <c r="K247" i="24"/>
  <c r="F247" i="24"/>
  <c r="E247" i="24"/>
  <c r="D247" i="24"/>
  <c r="C247" i="24"/>
  <c r="V245" i="24"/>
  <c r="U245" i="24"/>
  <c r="T245" i="24"/>
  <c r="S245" i="24"/>
  <c r="N245" i="24"/>
  <c r="M245" i="24"/>
  <c r="L245" i="24"/>
  <c r="K245" i="24"/>
  <c r="F245" i="24"/>
  <c r="E245" i="24"/>
  <c r="D245" i="24"/>
  <c r="C245" i="24"/>
  <c r="Z244" i="24"/>
  <c r="V244" i="24"/>
  <c r="U244" i="24"/>
  <c r="T244" i="24"/>
  <c r="S244" i="24"/>
  <c r="N244" i="24"/>
  <c r="M244" i="24"/>
  <c r="L244" i="24"/>
  <c r="K244" i="24"/>
  <c r="F244" i="24"/>
  <c r="E244" i="24"/>
  <c r="D244" i="24"/>
  <c r="C244" i="24"/>
  <c r="Z243" i="24"/>
  <c r="V243" i="24"/>
  <c r="U243" i="24"/>
  <c r="T243" i="24"/>
  <c r="S243" i="24"/>
  <c r="N243" i="24"/>
  <c r="M243" i="24"/>
  <c r="L243" i="24"/>
  <c r="K243" i="24"/>
  <c r="F243" i="24"/>
  <c r="E243" i="24"/>
  <c r="D243" i="24"/>
  <c r="C243" i="24"/>
  <c r="Z242" i="24"/>
  <c r="V242" i="24"/>
  <c r="U242" i="24"/>
  <c r="T242" i="24"/>
  <c r="S242" i="24"/>
  <c r="N242" i="24"/>
  <c r="M242" i="24"/>
  <c r="L242" i="24"/>
  <c r="K242" i="24"/>
  <c r="F242" i="24"/>
  <c r="E242" i="24"/>
  <c r="D242" i="24"/>
  <c r="C242" i="24"/>
  <c r="Z241" i="24"/>
  <c r="V241" i="24"/>
  <c r="U241" i="24"/>
  <c r="T241" i="24"/>
  <c r="S241" i="24"/>
  <c r="N241" i="24"/>
  <c r="M241" i="24"/>
  <c r="L241" i="24"/>
  <c r="K241" i="24"/>
  <c r="F241" i="24"/>
  <c r="E241" i="24"/>
  <c r="D241" i="24"/>
  <c r="C241" i="24"/>
  <c r="Z240" i="24"/>
  <c r="V240" i="24"/>
  <c r="U240" i="24"/>
  <c r="T240" i="24"/>
  <c r="S240" i="24"/>
  <c r="N240" i="24"/>
  <c r="M240" i="24"/>
  <c r="L240" i="24"/>
  <c r="K240" i="24"/>
  <c r="F240" i="24"/>
  <c r="E240" i="24"/>
  <c r="D240" i="24"/>
  <c r="C240" i="24"/>
  <c r="Z239" i="24"/>
  <c r="V239" i="24"/>
  <c r="U239" i="24"/>
  <c r="T239" i="24"/>
  <c r="S239" i="24"/>
  <c r="N239" i="24"/>
  <c r="M239" i="24"/>
  <c r="L239" i="24"/>
  <c r="K239" i="24"/>
  <c r="F239" i="24"/>
  <c r="E239" i="24"/>
  <c r="D239" i="24"/>
  <c r="C239" i="24"/>
  <c r="Z238" i="24"/>
  <c r="V238" i="24"/>
  <c r="U238" i="24"/>
  <c r="T238" i="24"/>
  <c r="S238" i="24"/>
  <c r="N238" i="24"/>
  <c r="M238" i="24"/>
  <c r="L238" i="24"/>
  <c r="K238" i="24"/>
  <c r="F238" i="24"/>
  <c r="E238" i="24"/>
  <c r="D238" i="24"/>
  <c r="C238" i="24"/>
  <c r="Z237" i="24"/>
  <c r="V237" i="24"/>
  <c r="U237" i="24"/>
  <c r="T237" i="24"/>
  <c r="S237" i="24"/>
  <c r="N237" i="24"/>
  <c r="M237" i="24"/>
  <c r="L237" i="24"/>
  <c r="K237" i="24"/>
  <c r="F237" i="24"/>
  <c r="E237" i="24"/>
  <c r="D237" i="24"/>
  <c r="C237" i="24"/>
  <c r="Z236" i="24"/>
  <c r="V236" i="24"/>
  <c r="U236" i="24"/>
  <c r="T236" i="24"/>
  <c r="S236" i="24"/>
  <c r="N236" i="24"/>
  <c r="M236" i="24"/>
  <c r="L236" i="24"/>
  <c r="K236" i="24"/>
  <c r="F236" i="24"/>
  <c r="E236" i="24"/>
  <c r="D236" i="24"/>
  <c r="C236" i="24"/>
  <c r="Z235" i="24"/>
  <c r="V235" i="24"/>
  <c r="U235" i="24"/>
  <c r="T235" i="24"/>
  <c r="S235" i="24"/>
  <c r="N235" i="24"/>
  <c r="M235" i="24"/>
  <c r="L235" i="24"/>
  <c r="K235" i="24"/>
  <c r="F235" i="24"/>
  <c r="E235" i="24"/>
  <c r="D235" i="24"/>
  <c r="C235" i="24"/>
  <c r="Z234" i="24"/>
  <c r="V234" i="24"/>
  <c r="U234" i="24"/>
  <c r="T234" i="24"/>
  <c r="S234" i="24"/>
  <c r="N234" i="24"/>
  <c r="M234" i="24"/>
  <c r="L234" i="24"/>
  <c r="K234" i="24"/>
  <c r="F234" i="24"/>
  <c r="E234" i="24"/>
  <c r="D234" i="24"/>
  <c r="C234" i="24"/>
  <c r="Z233" i="24"/>
  <c r="V233" i="24"/>
  <c r="U233" i="24"/>
  <c r="T233" i="24"/>
  <c r="S233" i="24"/>
  <c r="N233" i="24"/>
  <c r="M233" i="24"/>
  <c r="L233" i="24"/>
  <c r="K233" i="24"/>
  <c r="F233" i="24"/>
  <c r="E233" i="24"/>
  <c r="D233" i="24"/>
  <c r="C233" i="24"/>
  <c r="Z232" i="24"/>
  <c r="V232" i="24"/>
  <c r="U232" i="24"/>
  <c r="T232" i="24"/>
  <c r="S232" i="24"/>
  <c r="N232" i="24"/>
  <c r="M232" i="24"/>
  <c r="L232" i="24"/>
  <c r="K232" i="24"/>
  <c r="F232" i="24"/>
  <c r="E232" i="24"/>
  <c r="D232" i="24"/>
  <c r="C232" i="24"/>
  <c r="Z231" i="24"/>
  <c r="V231" i="24"/>
  <c r="U231" i="24"/>
  <c r="T231" i="24"/>
  <c r="S231" i="24"/>
  <c r="N231" i="24"/>
  <c r="M231" i="24"/>
  <c r="L231" i="24"/>
  <c r="K231" i="24"/>
  <c r="F231" i="24"/>
  <c r="E231" i="24"/>
  <c r="D231" i="24"/>
  <c r="C231" i="24"/>
  <c r="Z230" i="24"/>
  <c r="V230" i="24"/>
  <c r="U230" i="24"/>
  <c r="T230" i="24"/>
  <c r="S230" i="24"/>
  <c r="N230" i="24"/>
  <c r="M230" i="24"/>
  <c r="L230" i="24"/>
  <c r="K230" i="24"/>
  <c r="F230" i="24"/>
  <c r="E230" i="24"/>
  <c r="D230" i="24"/>
  <c r="C230" i="24"/>
  <c r="Z229" i="24"/>
  <c r="V229" i="24"/>
  <c r="U229" i="24"/>
  <c r="T229" i="24"/>
  <c r="S229" i="24"/>
  <c r="N229" i="24"/>
  <c r="M229" i="24"/>
  <c r="L229" i="24"/>
  <c r="K229" i="24"/>
  <c r="F229" i="24"/>
  <c r="E229" i="24"/>
  <c r="D229" i="24"/>
  <c r="C229" i="24"/>
  <c r="Z228" i="24"/>
  <c r="V228" i="24"/>
  <c r="U228" i="24"/>
  <c r="T228" i="24"/>
  <c r="S228" i="24"/>
  <c r="N228" i="24"/>
  <c r="M228" i="24"/>
  <c r="L228" i="24"/>
  <c r="K228" i="24"/>
  <c r="F228" i="24"/>
  <c r="E228" i="24"/>
  <c r="D228" i="24"/>
  <c r="C228" i="24"/>
  <c r="Z227" i="24"/>
  <c r="V227" i="24"/>
  <c r="U227" i="24"/>
  <c r="T227" i="24"/>
  <c r="S227" i="24"/>
  <c r="N227" i="24"/>
  <c r="M227" i="24"/>
  <c r="L227" i="24"/>
  <c r="K227" i="24"/>
  <c r="F227" i="24"/>
  <c r="E227" i="24"/>
  <c r="D227" i="24"/>
  <c r="C227" i="24"/>
  <c r="Z226" i="24"/>
  <c r="V226" i="24"/>
  <c r="U226" i="24"/>
  <c r="T226" i="24"/>
  <c r="S226" i="24"/>
  <c r="N226" i="24"/>
  <c r="M226" i="24"/>
  <c r="L226" i="24"/>
  <c r="K226" i="24"/>
  <c r="F226" i="24"/>
  <c r="E226" i="24"/>
  <c r="D226" i="24"/>
  <c r="C226" i="24"/>
  <c r="Z225" i="24"/>
  <c r="U220" i="24"/>
  <c r="W371" i="24" s="1"/>
  <c r="N220" i="24"/>
  <c r="O371" i="24" s="1"/>
  <c r="G220" i="24"/>
  <c r="G371" i="24" s="1"/>
  <c r="U219" i="24"/>
  <c r="W350" i="24" s="1"/>
  <c r="N219" i="24"/>
  <c r="O350" i="24" s="1"/>
  <c r="G219" i="24"/>
  <c r="G350" i="24" s="1"/>
  <c r="U218" i="24"/>
  <c r="W329" i="24" s="1"/>
  <c r="N218" i="24"/>
  <c r="O329" i="24" s="1"/>
  <c r="G218" i="24"/>
  <c r="G329" i="24" s="1"/>
  <c r="U217" i="24"/>
  <c r="W308" i="24" s="1"/>
  <c r="N217" i="24"/>
  <c r="O308" i="24" s="1"/>
  <c r="G217" i="24"/>
  <c r="G308" i="24" s="1"/>
  <c r="U216" i="24"/>
  <c r="W287" i="24" s="1"/>
  <c r="N216" i="24"/>
  <c r="O287" i="24" s="1"/>
  <c r="G216" i="24"/>
  <c r="G287" i="24" s="1"/>
  <c r="U215" i="24"/>
  <c r="W266" i="24" s="1"/>
  <c r="N215" i="24"/>
  <c r="O266" i="24" s="1"/>
  <c r="G215" i="24"/>
  <c r="G266" i="24" s="1"/>
  <c r="U214" i="24"/>
  <c r="W245" i="24" s="1"/>
  <c r="N214" i="24"/>
  <c r="O245" i="24" s="1"/>
  <c r="G214" i="24"/>
  <c r="G245" i="24" s="1"/>
  <c r="L213" i="24"/>
  <c r="S213" i="24" s="1"/>
  <c r="K213" i="24"/>
  <c r="R213" i="24" s="1"/>
  <c r="I211" i="24"/>
  <c r="P211" i="24" s="1"/>
  <c r="U209" i="24"/>
  <c r="W370" i="24" s="1"/>
  <c r="N209" i="24"/>
  <c r="O370" i="24" s="1"/>
  <c r="G209" i="24"/>
  <c r="G370" i="24" s="1"/>
  <c r="U208" i="24"/>
  <c r="W349" i="24" s="1"/>
  <c r="N208" i="24"/>
  <c r="O349" i="24" s="1"/>
  <c r="G208" i="24"/>
  <c r="G349" i="24" s="1"/>
  <c r="U207" i="24"/>
  <c r="W328" i="24" s="1"/>
  <c r="N207" i="24"/>
  <c r="O328" i="24" s="1"/>
  <c r="G207" i="24"/>
  <c r="G328" i="24" s="1"/>
  <c r="U206" i="24"/>
  <c r="W307" i="24" s="1"/>
  <c r="N206" i="24"/>
  <c r="O307" i="24" s="1"/>
  <c r="G206" i="24"/>
  <c r="G307" i="24" s="1"/>
  <c r="U205" i="24"/>
  <c r="W286" i="24" s="1"/>
  <c r="N205" i="24"/>
  <c r="O286" i="24" s="1"/>
  <c r="G205" i="24"/>
  <c r="U204" i="24"/>
  <c r="W265" i="24" s="1"/>
  <c r="N204" i="24"/>
  <c r="O265" i="24" s="1"/>
  <c r="G204" i="24"/>
  <c r="G265" i="24" s="1"/>
  <c r="U203" i="24"/>
  <c r="W244" i="24" s="1"/>
  <c r="N203" i="24"/>
  <c r="O244" i="24" s="1"/>
  <c r="G203" i="24"/>
  <c r="G244" i="24" s="1"/>
  <c r="L202" i="24"/>
  <c r="S202" i="24" s="1"/>
  <c r="K202" i="24"/>
  <c r="R202" i="24" s="1"/>
  <c r="I200" i="24"/>
  <c r="P200" i="24" s="1"/>
  <c r="U198" i="24"/>
  <c r="W369" i="24" s="1"/>
  <c r="N198" i="24"/>
  <c r="O369" i="24" s="1"/>
  <c r="G198" i="24"/>
  <c r="G369" i="24" s="1"/>
  <c r="U197" i="24"/>
  <c r="W348" i="24" s="1"/>
  <c r="N197" i="24"/>
  <c r="O348" i="24" s="1"/>
  <c r="G197" i="24"/>
  <c r="G348" i="24" s="1"/>
  <c r="U196" i="24"/>
  <c r="W327" i="24" s="1"/>
  <c r="N196" i="24"/>
  <c r="O327" i="24" s="1"/>
  <c r="G196" i="24"/>
  <c r="G327" i="24" s="1"/>
  <c r="U195" i="24"/>
  <c r="W306" i="24" s="1"/>
  <c r="N195" i="24"/>
  <c r="O306" i="24" s="1"/>
  <c r="G195" i="24"/>
  <c r="G306" i="24" s="1"/>
  <c r="U194" i="24"/>
  <c r="W285" i="24" s="1"/>
  <c r="N194" i="24"/>
  <c r="O285" i="24" s="1"/>
  <c r="G194" i="24"/>
  <c r="G286" i="24" s="1"/>
  <c r="U193" i="24"/>
  <c r="W264" i="24" s="1"/>
  <c r="N193" i="24"/>
  <c r="O264" i="24" s="1"/>
  <c r="G193" i="24"/>
  <c r="G264" i="24" s="1"/>
  <c r="U192" i="24"/>
  <c r="W243" i="24" s="1"/>
  <c r="N192" i="24"/>
  <c r="O243" i="24" s="1"/>
  <c r="G192" i="24"/>
  <c r="G243" i="24" s="1"/>
  <c r="L191" i="24"/>
  <c r="S191" i="24" s="1"/>
  <c r="K191" i="24"/>
  <c r="R191" i="24" s="1"/>
  <c r="I189" i="24"/>
  <c r="P189" i="24" s="1"/>
  <c r="U187" i="24"/>
  <c r="W368" i="24" s="1"/>
  <c r="N187" i="24"/>
  <c r="O368" i="24" s="1"/>
  <c r="G187" i="24"/>
  <c r="G368" i="24" s="1"/>
  <c r="U186" i="24"/>
  <c r="W347" i="24" s="1"/>
  <c r="N186" i="24"/>
  <c r="O347" i="24" s="1"/>
  <c r="G186" i="24"/>
  <c r="G347" i="24" s="1"/>
  <c r="U185" i="24"/>
  <c r="W326" i="24" s="1"/>
  <c r="N185" i="24"/>
  <c r="O326" i="24" s="1"/>
  <c r="G185" i="24"/>
  <c r="G326" i="24" s="1"/>
  <c r="U184" i="24"/>
  <c r="W305" i="24" s="1"/>
  <c r="N184" i="24"/>
  <c r="O305" i="24" s="1"/>
  <c r="G184" i="24"/>
  <c r="G305" i="24" s="1"/>
  <c r="U183" i="24"/>
  <c r="W284" i="24" s="1"/>
  <c r="N183" i="24"/>
  <c r="O284" i="24" s="1"/>
  <c r="G183" i="24"/>
  <c r="U182" i="24"/>
  <c r="W263" i="24" s="1"/>
  <c r="N182" i="24"/>
  <c r="O263" i="24" s="1"/>
  <c r="G182" i="24"/>
  <c r="G263" i="24" s="1"/>
  <c r="U181" i="24"/>
  <c r="W242" i="24" s="1"/>
  <c r="N181" i="24"/>
  <c r="O242" i="24" s="1"/>
  <c r="G181" i="24"/>
  <c r="G242" i="24" s="1"/>
  <c r="S180" i="24"/>
  <c r="L180" i="24"/>
  <c r="K180" i="24"/>
  <c r="R180" i="24" s="1"/>
  <c r="I178" i="24"/>
  <c r="P178" i="24" s="1"/>
  <c r="U176" i="24"/>
  <c r="W367" i="24" s="1"/>
  <c r="N176" i="24"/>
  <c r="O367" i="24" s="1"/>
  <c r="G176" i="24"/>
  <c r="G367" i="24" s="1"/>
  <c r="U175" i="24"/>
  <c r="W346" i="24" s="1"/>
  <c r="N175" i="24"/>
  <c r="O346" i="24" s="1"/>
  <c r="G175" i="24"/>
  <c r="G346" i="24" s="1"/>
  <c r="U174" i="24"/>
  <c r="W325" i="24" s="1"/>
  <c r="N174" i="24"/>
  <c r="O325" i="24" s="1"/>
  <c r="G174" i="24"/>
  <c r="G325" i="24" s="1"/>
  <c r="U173" i="24"/>
  <c r="W304" i="24" s="1"/>
  <c r="N173" i="24"/>
  <c r="O304" i="24" s="1"/>
  <c r="G173" i="24"/>
  <c r="G304" i="24" s="1"/>
  <c r="U172" i="24"/>
  <c r="W283" i="24" s="1"/>
  <c r="N172" i="24"/>
  <c r="O283" i="24" s="1"/>
  <c r="G172" i="24"/>
  <c r="G283" i="24" s="1"/>
  <c r="U171" i="24"/>
  <c r="W262" i="24" s="1"/>
  <c r="N171" i="24"/>
  <c r="O262" i="24" s="1"/>
  <c r="G171" i="24"/>
  <c r="G262" i="24" s="1"/>
  <c r="U170" i="24"/>
  <c r="W241" i="24" s="1"/>
  <c r="N170" i="24"/>
  <c r="O241" i="24" s="1"/>
  <c r="G170" i="24"/>
  <c r="G241" i="24" s="1"/>
  <c r="L169" i="24"/>
  <c r="S169" i="24" s="1"/>
  <c r="K169" i="24"/>
  <c r="R169" i="24" s="1"/>
  <c r="I167" i="24"/>
  <c r="P167" i="24" s="1"/>
  <c r="U165" i="24"/>
  <c r="W366" i="24" s="1"/>
  <c r="N165" i="24"/>
  <c r="O366" i="24" s="1"/>
  <c r="G165" i="24"/>
  <c r="G366" i="24" s="1"/>
  <c r="U164" i="24"/>
  <c r="W345" i="24" s="1"/>
  <c r="N164" i="24"/>
  <c r="O345" i="24" s="1"/>
  <c r="G164" i="24"/>
  <c r="G345" i="24" s="1"/>
  <c r="U163" i="24"/>
  <c r="W324" i="24" s="1"/>
  <c r="N163" i="24"/>
  <c r="O324" i="24" s="1"/>
  <c r="G163" i="24"/>
  <c r="G324" i="24" s="1"/>
  <c r="U162" i="24"/>
  <c r="W303" i="24" s="1"/>
  <c r="N162" i="24"/>
  <c r="O303" i="24" s="1"/>
  <c r="G162" i="24"/>
  <c r="G303" i="24" s="1"/>
  <c r="U161" i="24"/>
  <c r="W282" i="24" s="1"/>
  <c r="N161" i="24"/>
  <c r="O282" i="24" s="1"/>
  <c r="G161" i="24"/>
  <c r="G282" i="24" s="1"/>
  <c r="U160" i="24"/>
  <c r="W261" i="24" s="1"/>
  <c r="N160" i="24"/>
  <c r="O261" i="24" s="1"/>
  <c r="G160" i="24"/>
  <c r="G261" i="24" s="1"/>
  <c r="U159" i="24"/>
  <c r="W240" i="24" s="1"/>
  <c r="N159" i="24"/>
  <c r="O240" i="24" s="1"/>
  <c r="G159" i="24"/>
  <c r="G240" i="24" s="1"/>
  <c r="L158" i="24"/>
  <c r="K158" i="24"/>
  <c r="R158" i="24" s="1"/>
  <c r="I156" i="24"/>
  <c r="P156" i="24" s="1"/>
  <c r="U154" i="24"/>
  <c r="W365" i="24" s="1"/>
  <c r="N154" i="24"/>
  <c r="O365" i="24" s="1"/>
  <c r="G154" i="24"/>
  <c r="G365" i="24" s="1"/>
  <c r="U153" i="24"/>
  <c r="W344" i="24" s="1"/>
  <c r="N153" i="24"/>
  <c r="O344" i="24" s="1"/>
  <c r="G153" i="24"/>
  <c r="G344" i="24" s="1"/>
  <c r="U152" i="24"/>
  <c r="W323" i="24" s="1"/>
  <c r="N152" i="24"/>
  <c r="O323" i="24" s="1"/>
  <c r="G152" i="24"/>
  <c r="G323" i="24" s="1"/>
  <c r="U151" i="24"/>
  <c r="W302" i="24" s="1"/>
  <c r="N151" i="24"/>
  <c r="G151" i="24"/>
  <c r="G302" i="24" s="1"/>
  <c r="U150" i="24"/>
  <c r="W281" i="24" s="1"/>
  <c r="N150" i="24"/>
  <c r="G150" i="24"/>
  <c r="G281" i="24" s="1"/>
  <c r="U149" i="24"/>
  <c r="W260" i="24" s="1"/>
  <c r="N149" i="24"/>
  <c r="O260" i="24" s="1"/>
  <c r="G149" i="24"/>
  <c r="G260" i="24" s="1"/>
  <c r="U148" i="24"/>
  <c r="W239" i="24" s="1"/>
  <c r="N148" i="24"/>
  <c r="O239" i="24" s="1"/>
  <c r="G148" i="24"/>
  <c r="G239" i="24" s="1"/>
  <c r="L147" i="24"/>
  <c r="S147" i="24" s="1"/>
  <c r="K147" i="24"/>
  <c r="R147" i="24" s="1"/>
  <c r="I145" i="24"/>
  <c r="P145" i="24" s="1"/>
  <c r="U143" i="24"/>
  <c r="W364" i="24" s="1"/>
  <c r="N143" i="24"/>
  <c r="O364" i="24" s="1"/>
  <c r="G143" i="24"/>
  <c r="G364" i="24" s="1"/>
  <c r="U142" i="24"/>
  <c r="W343" i="24" s="1"/>
  <c r="N142" i="24"/>
  <c r="O343" i="24" s="1"/>
  <c r="G142" i="24"/>
  <c r="G343" i="24" s="1"/>
  <c r="U141" i="24"/>
  <c r="W322" i="24" s="1"/>
  <c r="N141" i="24"/>
  <c r="O322" i="24" s="1"/>
  <c r="G141" i="24"/>
  <c r="G322" i="24" s="1"/>
  <c r="U140" i="24"/>
  <c r="W301" i="24" s="1"/>
  <c r="N140" i="24"/>
  <c r="O301" i="24" s="1"/>
  <c r="G140" i="24"/>
  <c r="U139" i="24"/>
  <c r="W280" i="24" s="1"/>
  <c r="N139" i="24"/>
  <c r="O280" i="24" s="1"/>
  <c r="G139" i="24"/>
  <c r="G280" i="24" s="1"/>
  <c r="U138" i="24"/>
  <c r="W259" i="24" s="1"/>
  <c r="N138" i="24"/>
  <c r="O259" i="24" s="1"/>
  <c r="G138" i="24"/>
  <c r="G259" i="24" s="1"/>
  <c r="U137" i="24"/>
  <c r="W238" i="24" s="1"/>
  <c r="N137" i="24"/>
  <c r="O238" i="24" s="1"/>
  <c r="G137" i="24"/>
  <c r="G238" i="24" s="1"/>
  <c r="L136" i="24"/>
  <c r="S136" i="24" s="1"/>
  <c r="K136" i="24"/>
  <c r="R136" i="24" s="1"/>
  <c r="I134" i="24"/>
  <c r="P134" i="24" s="1"/>
  <c r="U132" i="24"/>
  <c r="W363" i="24" s="1"/>
  <c r="N132" i="24"/>
  <c r="O363" i="24" s="1"/>
  <c r="G132" i="24"/>
  <c r="G363" i="24" s="1"/>
  <c r="U131" i="24"/>
  <c r="W342" i="24" s="1"/>
  <c r="N131" i="24"/>
  <c r="O342" i="24" s="1"/>
  <c r="G131" i="24"/>
  <c r="G342" i="24" s="1"/>
  <c r="U130" i="24"/>
  <c r="W321" i="24" s="1"/>
  <c r="N130" i="24"/>
  <c r="O321" i="24" s="1"/>
  <c r="G130" i="24"/>
  <c r="G321" i="24" s="1"/>
  <c r="U129" i="24"/>
  <c r="W300" i="24" s="1"/>
  <c r="N129" i="24"/>
  <c r="O300" i="24" s="1"/>
  <c r="G129" i="24"/>
  <c r="G300" i="24" s="1"/>
  <c r="U128" i="24"/>
  <c r="W279" i="24" s="1"/>
  <c r="N128" i="24"/>
  <c r="O279" i="24" s="1"/>
  <c r="G128" i="24"/>
  <c r="G279" i="24" s="1"/>
  <c r="U127" i="24"/>
  <c r="W258" i="24" s="1"/>
  <c r="N127" i="24"/>
  <c r="O258" i="24" s="1"/>
  <c r="G127" i="24"/>
  <c r="G258" i="24" s="1"/>
  <c r="U126" i="24"/>
  <c r="W237" i="24" s="1"/>
  <c r="N126" i="24"/>
  <c r="O237" i="24" s="1"/>
  <c r="G126" i="24"/>
  <c r="G237" i="24" s="1"/>
  <c r="S125" i="24"/>
  <c r="L125" i="24"/>
  <c r="I123" i="24"/>
  <c r="P123" i="24" s="1"/>
  <c r="U121" i="24"/>
  <c r="W362" i="24" s="1"/>
  <c r="N121" i="24"/>
  <c r="O362" i="24" s="1"/>
  <c r="G121" i="24"/>
  <c r="G362" i="24" s="1"/>
  <c r="U120" i="24"/>
  <c r="W341" i="24" s="1"/>
  <c r="N120" i="24"/>
  <c r="O341" i="24" s="1"/>
  <c r="G120" i="24"/>
  <c r="G341" i="24" s="1"/>
  <c r="U119" i="24"/>
  <c r="W320" i="24" s="1"/>
  <c r="N119" i="24"/>
  <c r="O320" i="24" s="1"/>
  <c r="G119" i="24"/>
  <c r="G320" i="24" s="1"/>
  <c r="U118" i="24"/>
  <c r="W299" i="24" s="1"/>
  <c r="N118" i="24"/>
  <c r="O299" i="24" s="1"/>
  <c r="G118" i="24"/>
  <c r="G299" i="24" s="1"/>
  <c r="U117" i="24"/>
  <c r="W278" i="24" s="1"/>
  <c r="N117" i="24"/>
  <c r="O278" i="24" s="1"/>
  <c r="G117" i="24"/>
  <c r="G278" i="24" s="1"/>
  <c r="U116" i="24"/>
  <c r="W257" i="24" s="1"/>
  <c r="N116" i="24"/>
  <c r="O257" i="24" s="1"/>
  <c r="G116" i="24"/>
  <c r="G257" i="24" s="1"/>
  <c r="U115" i="24"/>
  <c r="W236" i="24" s="1"/>
  <c r="N115" i="24"/>
  <c r="O236" i="24" s="1"/>
  <c r="G115" i="24"/>
  <c r="G236" i="24" s="1"/>
  <c r="L114" i="24"/>
  <c r="S114" i="24" s="1"/>
  <c r="K114" i="24"/>
  <c r="R114" i="24" s="1"/>
  <c r="I112" i="24"/>
  <c r="P112" i="24" s="1"/>
  <c r="U110" i="24"/>
  <c r="W361" i="24" s="1"/>
  <c r="N110" i="24"/>
  <c r="O361" i="24" s="1"/>
  <c r="G110" i="24"/>
  <c r="G361" i="24" s="1"/>
  <c r="U109" i="24"/>
  <c r="W340" i="24" s="1"/>
  <c r="N109" i="24"/>
  <c r="O340" i="24" s="1"/>
  <c r="G109" i="24"/>
  <c r="G340" i="24" s="1"/>
  <c r="U108" i="24"/>
  <c r="W319" i="24" s="1"/>
  <c r="N108" i="24"/>
  <c r="O319" i="24" s="1"/>
  <c r="G108" i="24"/>
  <c r="G319" i="24" s="1"/>
  <c r="U107" i="24"/>
  <c r="W298" i="24" s="1"/>
  <c r="N107" i="24"/>
  <c r="O298" i="24" s="1"/>
  <c r="G107" i="24"/>
  <c r="G298" i="24" s="1"/>
  <c r="U106" i="24"/>
  <c r="W277" i="24" s="1"/>
  <c r="N106" i="24"/>
  <c r="O277" i="24" s="1"/>
  <c r="G106" i="24"/>
  <c r="G277" i="24" s="1"/>
  <c r="U105" i="24"/>
  <c r="W256" i="24" s="1"/>
  <c r="N105" i="24"/>
  <c r="O256" i="24" s="1"/>
  <c r="G105" i="24"/>
  <c r="G256" i="24" s="1"/>
  <c r="U104" i="24"/>
  <c r="W235" i="24" s="1"/>
  <c r="N104" i="24"/>
  <c r="O235" i="24" s="1"/>
  <c r="G104" i="24"/>
  <c r="G235" i="24" s="1"/>
  <c r="L103" i="24"/>
  <c r="S103" i="24" s="1"/>
  <c r="K103" i="24"/>
  <c r="R103" i="24" s="1"/>
  <c r="I101" i="24"/>
  <c r="P101" i="24" s="1"/>
  <c r="U99" i="24"/>
  <c r="W360" i="24" s="1"/>
  <c r="N99" i="24"/>
  <c r="O360" i="24" s="1"/>
  <c r="G99" i="24"/>
  <c r="G360" i="24" s="1"/>
  <c r="U98" i="24"/>
  <c r="W339" i="24" s="1"/>
  <c r="N98" i="24"/>
  <c r="O339" i="24" s="1"/>
  <c r="G98" i="24"/>
  <c r="G339" i="24" s="1"/>
  <c r="U97" i="24"/>
  <c r="W318" i="24" s="1"/>
  <c r="N97" i="24"/>
  <c r="O318" i="24" s="1"/>
  <c r="G97" i="24"/>
  <c r="G318" i="24" s="1"/>
  <c r="U96" i="24"/>
  <c r="W297" i="24" s="1"/>
  <c r="N96" i="24"/>
  <c r="O297" i="24" s="1"/>
  <c r="G96" i="24"/>
  <c r="G297" i="24" s="1"/>
  <c r="U95" i="24"/>
  <c r="W276" i="24" s="1"/>
  <c r="N95" i="24"/>
  <c r="O276" i="24" s="1"/>
  <c r="G95" i="24"/>
  <c r="G276" i="24" s="1"/>
  <c r="U94" i="24"/>
  <c r="W255" i="24" s="1"/>
  <c r="N94" i="24"/>
  <c r="O255" i="24" s="1"/>
  <c r="G94" i="24"/>
  <c r="G255" i="24" s="1"/>
  <c r="U93" i="24"/>
  <c r="W234" i="24" s="1"/>
  <c r="N93" i="24"/>
  <c r="O234" i="24" s="1"/>
  <c r="G93" i="24"/>
  <c r="G234" i="24" s="1"/>
  <c r="S92" i="24"/>
  <c r="L92" i="24"/>
  <c r="K92" i="24"/>
  <c r="R92" i="24" s="1"/>
  <c r="I90" i="24"/>
  <c r="P90" i="24" s="1"/>
  <c r="U88" i="24"/>
  <c r="W359" i="24" s="1"/>
  <c r="N88" i="24"/>
  <c r="O359" i="24" s="1"/>
  <c r="G88" i="24"/>
  <c r="G359" i="24" s="1"/>
  <c r="U87" i="24"/>
  <c r="W338" i="24" s="1"/>
  <c r="N87" i="24"/>
  <c r="O338" i="24" s="1"/>
  <c r="G87" i="24"/>
  <c r="G338" i="24" s="1"/>
  <c r="U86" i="24"/>
  <c r="W317" i="24" s="1"/>
  <c r="N86" i="24"/>
  <c r="O317" i="24" s="1"/>
  <c r="G86" i="24"/>
  <c r="G317" i="24" s="1"/>
  <c r="U85" i="24"/>
  <c r="W296" i="24" s="1"/>
  <c r="N85" i="24"/>
  <c r="O296" i="24" s="1"/>
  <c r="G85" i="24"/>
  <c r="G296" i="24" s="1"/>
  <c r="U84" i="24"/>
  <c r="W275" i="24" s="1"/>
  <c r="N84" i="24"/>
  <c r="O275" i="24" s="1"/>
  <c r="G84" i="24"/>
  <c r="G275" i="24" s="1"/>
  <c r="U83" i="24"/>
  <c r="W254" i="24" s="1"/>
  <c r="N83" i="24"/>
  <c r="O254" i="24" s="1"/>
  <c r="G83" i="24"/>
  <c r="G254" i="24" s="1"/>
  <c r="U82" i="24"/>
  <c r="W233" i="24" s="1"/>
  <c r="N82" i="24"/>
  <c r="O233" i="24" s="1"/>
  <c r="G82" i="24"/>
  <c r="G233" i="24" s="1"/>
  <c r="L81" i="24"/>
  <c r="S81" i="24" s="1"/>
  <c r="K81" i="24"/>
  <c r="R81" i="24" s="1"/>
  <c r="I79" i="24"/>
  <c r="P79" i="24" s="1"/>
  <c r="U77" i="24"/>
  <c r="W358" i="24" s="1"/>
  <c r="N77" i="24"/>
  <c r="O358" i="24" s="1"/>
  <c r="G77" i="24"/>
  <c r="G358" i="24" s="1"/>
  <c r="U76" i="24"/>
  <c r="W337" i="24" s="1"/>
  <c r="N76" i="24"/>
  <c r="O337" i="24" s="1"/>
  <c r="G76" i="24"/>
  <c r="G337" i="24" s="1"/>
  <c r="U75" i="24"/>
  <c r="W316" i="24" s="1"/>
  <c r="N75" i="24"/>
  <c r="O316" i="24" s="1"/>
  <c r="G75" i="24"/>
  <c r="G316" i="24" s="1"/>
  <c r="U74" i="24"/>
  <c r="W295" i="24" s="1"/>
  <c r="N74" i="24"/>
  <c r="O295" i="24" s="1"/>
  <c r="G74" i="24"/>
  <c r="G295" i="24" s="1"/>
  <c r="U73" i="24"/>
  <c r="W274" i="24" s="1"/>
  <c r="N73" i="24"/>
  <c r="O274" i="24" s="1"/>
  <c r="G73" i="24"/>
  <c r="G274" i="24" s="1"/>
  <c r="U72" i="24"/>
  <c r="W253" i="24" s="1"/>
  <c r="N72" i="24"/>
  <c r="O253" i="24" s="1"/>
  <c r="G72" i="24"/>
  <c r="G253" i="24" s="1"/>
  <c r="U71" i="24"/>
  <c r="W232" i="24" s="1"/>
  <c r="N71" i="24"/>
  <c r="O232" i="24" s="1"/>
  <c r="G71" i="24"/>
  <c r="G232" i="24" s="1"/>
  <c r="L70" i="24"/>
  <c r="S70" i="24" s="1"/>
  <c r="K70" i="24"/>
  <c r="R70" i="24" s="1"/>
  <c r="I68" i="24"/>
  <c r="P68" i="24" s="1"/>
  <c r="U66" i="24"/>
  <c r="W357" i="24" s="1"/>
  <c r="N66" i="24"/>
  <c r="O357" i="24" s="1"/>
  <c r="G66" i="24"/>
  <c r="G357" i="24" s="1"/>
  <c r="U65" i="24"/>
  <c r="W336" i="24" s="1"/>
  <c r="N65" i="24"/>
  <c r="O336" i="24" s="1"/>
  <c r="G65" i="24"/>
  <c r="G336" i="24" s="1"/>
  <c r="U64" i="24"/>
  <c r="W315" i="24" s="1"/>
  <c r="N64" i="24"/>
  <c r="O315" i="24" s="1"/>
  <c r="G64" i="24"/>
  <c r="G315" i="24" s="1"/>
  <c r="U63" i="24"/>
  <c r="W294" i="24" s="1"/>
  <c r="N63" i="24"/>
  <c r="O294" i="24" s="1"/>
  <c r="G63" i="24"/>
  <c r="G294" i="24" s="1"/>
  <c r="U62" i="24"/>
  <c r="W273" i="24" s="1"/>
  <c r="N62" i="24"/>
  <c r="O273" i="24" s="1"/>
  <c r="G62" i="24"/>
  <c r="G273" i="24" s="1"/>
  <c r="U61" i="24"/>
  <c r="W252" i="24" s="1"/>
  <c r="N61" i="24"/>
  <c r="O252" i="24" s="1"/>
  <c r="G61" i="24"/>
  <c r="G252" i="24" s="1"/>
  <c r="U60" i="24"/>
  <c r="W231" i="24" s="1"/>
  <c r="N60" i="24"/>
  <c r="O231" i="24" s="1"/>
  <c r="G60" i="24"/>
  <c r="G231" i="24" s="1"/>
  <c r="L59" i="24"/>
  <c r="S59" i="24" s="1"/>
  <c r="K59" i="24"/>
  <c r="R59" i="24" s="1"/>
  <c r="I57" i="24"/>
  <c r="P57" i="24" s="1"/>
  <c r="U55" i="24"/>
  <c r="W356" i="24" s="1"/>
  <c r="N55" i="24"/>
  <c r="O356" i="24" s="1"/>
  <c r="G55" i="24"/>
  <c r="G356" i="24" s="1"/>
  <c r="U54" i="24"/>
  <c r="W335" i="24" s="1"/>
  <c r="N54" i="24"/>
  <c r="O335" i="24" s="1"/>
  <c r="G54" i="24"/>
  <c r="G335" i="24" s="1"/>
  <c r="U53" i="24"/>
  <c r="W314" i="24" s="1"/>
  <c r="N53" i="24"/>
  <c r="O314" i="24" s="1"/>
  <c r="G53" i="24"/>
  <c r="G314" i="24" s="1"/>
  <c r="U52" i="24"/>
  <c r="W293" i="24" s="1"/>
  <c r="N52" i="24"/>
  <c r="O293" i="24" s="1"/>
  <c r="G52" i="24"/>
  <c r="G293" i="24" s="1"/>
  <c r="U51" i="24"/>
  <c r="W272" i="24" s="1"/>
  <c r="N51" i="24"/>
  <c r="O272" i="24" s="1"/>
  <c r="G51" i="24"/>
  <c r="G272" i="24" s="1"/>
  <c r="U50" i="24"/>
  <c r="W251" i="24" s="1"/>
  <c r="N50" i="24"/>
  <c r="O251" i="24" s="1"/>
  <c r="G50" i="24"/>
  <c r="G251" i="24" s="1"/>
  <c r="U49" i="24"/>
  <c r="W230" i="24" s="1"/>
  <c r="N49" i="24"/>
  <c r="O230" i="24" s="1"/>
  <c r="G49" i="24"/>
  <c r="G230" i="24" s="1"/>
  <c r="M48" i="24"/>
  <c r="T48" i="24" s="1"/>
  <c r="L48" i="24"/>
  <c r="S48" i="24" s="1"/>
  <c r="K48" i="24"/>
  <c r="R48" i="24" s="1"/>
  <c r="I46" i="24"/>
  <c r="P46" i="24" s="1"/>
  <c r="U44" i="24"/>
  <c r="W355" i="24" s="1"/>
  <c r="N44" i="24"/>
  <c r="O355" i="24" s="1"/>
  <c r="G44" i="24"/>
  <c r="G355" i="24" s="1"/>
  <c r="U43" i="24"/>
  <c r="W334" i="24" s="1"/>
  <c r="N43" i="24"/>
  <c r="O334" i="24" s="1"/>
  <c r="G43" i="24"/>
  <c r="G334" i="24" s="1"/>
  <c r="U42" i="24"/>
  <c r="W313" i="24" s="1"/>
  <c r="N42" i="24"/>
  <c r="O313" i="24" s="1"/>
  <c r="G42" i="24"/>
  <c r="G313" i="24" s="1"/>
  <c r="U41" i="24"/>
  <c r="W292" i="24" s="1"/>
  <c r="N41" i="24"/>
  <c r="O292" i="24" s="1"/>
  <c r="G41" i="24"/>
  <c r="G292" i="24" s="1"/>
  <c r="U40" i="24"/>
  <c r="W271" i="24" s="1"/>
  <c r="N40" i="24"/>
  <c r="O271" i="24" s="1"/>
  <c r="G40" i="24"/>
  <c r="G271" i="24" s="1"/>
  <c r="U39" i="24"/>
  <c r="W250" i="24" s="1"/>
  <c r="N39" i="24"/>
  <c r="O250" i="24" s="1"/>
  <c r="G39" i="24"/>
  <c r="G250" i="24" s="1"/>
  <c r="U38" i="24"/>
  <c r="W229" i="24" s="1"/>
  <c r="N38" i="24"/>
  <c r="O229" i="24" s="1"/>
  <c r="G38" i="24"/>
  <c r="G229" i="24" s="1"/>
  <c r="L37" i="24"/>
  <c r="S37" i="24" s="1"/>
  <c r="K37" i="24"/>
  <c r="R37" i="24" s="1"/>
  <c r="I35" i="24"/>
  <c r="P35" i="24" s="1"/>
  <c r="U33" i="24"/>
  <c r="W354" i="24" s="1"/>
  <c r="N33" i="24"/>
  <c r="O354" i="24" s="1"/>
  <c r="G33" i="24"/>
  <c r="G354" i="24" s="1"/>
  <c r="U32" i="24"/>
  <c r="W333" i="24" s="1"/>
  <c r="N32" i="24"/>
  <c r="O333" i="24" s="1"/>
  <c r="G32" i="24"/>
  <c r="G333" i="24" s="1"/>
  <c r="U31" i="24"/>
  <c r="W312" i="24" s="1"/>
  <c r="N31" i="24"/>
  <c r="O312" i="24" s="1"/>
  <c r="G31" i="24"/>
  <c r="G312" i="24" s="1"/>
  <c r="U30" i="24"/>
  <c r="W291" i="24" s="1"/>
  <c r="N30" i="24"/>
  <c r="O291" i="24" s="1"/>
  <c r="G30" i="24"/>
  <c r="G291" i="24" s="1"/>
  <c r="U29" i="24"/>
  <c r="W270" i="24" s="1"/>
  <c r="N29" i="24"/>
  <c r="O270" i="24" s="1"/>
  <c r="G29" i="24"/>
  <c r="G270" i="24" s="1"/>
  <c r="U28" i="24"/>
  <c r="W249" i="24" s="1"/>
  <c r="N28" i="24"/>
  <c r="O249" i="24" s="1"/>
  <c r="G28" i="24"/>
  <c r="G249" i="24" s="1"/>
  <c r="U27" i="24"/>
  <c r="W228" i="24" s="1"/>
  <c r="N27" i="24"/>
  <c r="O228" i="24" s="1"/>
  <c r="G27" i="24"/>
  <c r="G228" i="24" s="1"/>
  <c r="M26" i="24"/>
  <c r="T26" i="24" s="1"/>
  <c r="L26" i="24"/>
  <c r="S26" i="24" s="1"/>
  <c r="K26" i="24"/>
  <c r="R26" i="24" s="1"/>
  <c r="I24" i="24"/>
  <c r="P24" i="24" s="1"/>
  <c r="U22" i="24"/>
  <c r="W353" i="24" s="1"/>
  <c r="N22" i="24"/>
  <c r="O353" i="24" s="1"/>
  <c r="G22" i="24"/>
  <c r="G353" i="24" s="1"/>
  <c r="U21" i="24"/>
  <c r="W332" i="24" s="1"/>
  <c r="N21" i="24"/>
  <c r="O332" i="24" s="1"/>
  <c r="G21" i="24"/>
  <c r="G332" i="24" s="1"/>
  <c r="U20" i="24"/>
  <c r="W311" i="24" s="1"/>
  <c r="N20" i="24"/>
  <c r="G20" i="24"/>
  <c r="G311" i="24" s="1"/>
  <c r="U19" i="24"/>
  <c r="W290" i="24" s="1"/>
  <c r="N19" i="24"/>
  <c r="O290" i="24" s="1"/>
  <c r="G19" i="24"/>
  <c r="G290" i="24" s="1"/>
  <c r="U18" i="24"/>
  <c r="W269" i="24" s="1"/>
  <c r="N18" i="24"/>
  <c r="O269" i="24" s="1"/>
  <c r="G18" i="24"/>
  <c r="G269" i="24" s="1"/>
  <c r="U17" i="24"/>
  <c r="W248" i="24" s="1"/>
  <c r="N17" i="24"/>
  <c r="G17" i="24"/>
  <c r="G248" i="24" s="1"/>
  <c r="U16" i="24"/>
  <c r="W227" i="24" s="1"/>
  <c r="N16" i="24"/>
  <c r="O227" i="24" s="1"/>
  <c r="G16" i="24"/>
  <c r="G227" i="24" s="1"/>
  <c r="M15" i="24"/>
  <c r="T15" i="24" s="1"/>
  <c r="L15" i="24"/>
  <c r="S15" i="24" s="1"/>
  <c r="K15" i="24"/>
  <c r="R15" i="24" s="1"/>
  <c r="I13" i="24"/>
  <c r="P13" i="24" s="1"/>
  <c r="U11" i="24"/>
  <c r="W352" i="24" s="1"/>
  <c r="N11" i="24"/>
  <c r="O352" i="24" s="1"/>
  <c r="G11" i="24"/>
  <c r="G352" i="24" s="1"/>
  <c r="U10" i="24"/>
  <c r="W331" i="24" s="1"/>
  <c r="N10" i="24"/>
  <c r="O331" i="24" s="1"/>
  <c r="G10" i="24"/>
  <c r="G331" i="24" s="1"/>
  <c r="U9" i="24"/>
  <c r="W310" i="24" s="1"/>
  <c r="N9" i="24"/>
  <c r="G9" i="24"/>
  <c r="G310" i="24" s="1"/>
  <c r="U8" i="24"/>
  <c r="W289" i="24" s="1"/>
  <c r="N8" i="24"/>
  <c r="O289" i="24" s="1"/>
  <c r="G8" i="24"/>
  <c r="G289" i="24" s="1"/>
  <c r="U7" i="24"/>
  <c r="W268" i="24" s="1"/>
  <c r="N7" i="24"/>
  <c r="O268" i="24" s="1"/>
  <c r="G7" i="24"/>
  <c r="G268" i="24" s="1"/>
  <c r="U6" i="24"/>
  <c r="W247" i="24" s="1"/>
  <c r="N6" i="24"/>
  <c r="O247" i="24" s="1"/>
  <c r="G6" i="24"/>
  <c r="G247" i="24" s="1"/>
  <c r="U5" i="24"/>
  <c r="W226" i="24" s="1"/>
  <c r="N5" i="24"/>
  <c r="O226" i="24" s="1"/>
  <c r="G5" i="24"/>
  <c r="G226" i="24" s="1"/>
  <c r="M4" i="24"/>
  <c r="L4" i="24"/>
  <c r="S4" i="24" s="1"/>
  <c r="K4" i="24"/>
  <c r="R4" i="24" s="1"/>
  <c r="I2" i="24"/>
  <c r="P2" i="24" s="1"/>
  <c r="H274" i="25" l="1"/>
  <c r="R268" i="25"/>
  <c r="G18" i="27" s="1"/>
  <c r="C381" i="24"/>
  <c r="D375" i="24"/>
  <c r="J375" i="24" s="1"/>
  <c r="P375" i="24" s="1"/>
  <c r="H373" i="24"/>
  <c r="B379" i="24"/>
  <c r="B381" i="24"/>
  <c r="B375" i="24"/>
  <c r="H375" i="24" s="1"/>
  <c r="N375" i="24" s="1"/>
  <c r="G285" i="24"/>
  <c r="C379" i="24"/>
  <c r="G301" i="24"/>
  <c r="B378" i="24"/>
  <c r="E377" i="24"/>
  <c r="D376" i="24"/>
  <c r="E380" i="24"/>
  <c r="A378" i="24"/>
  <c r="D377" i="24"/>
  <c r="C376" i="24"/>
  <c r="E382" i="24"/>
  <c r="E381" i="24"/>
  <c r="D380" i="24"/>
  <c r="E379" i="24"/>
  <c r="C377" i="24"/>
  <c r="B376" i="24"/>
  <c r="G373" i="24"/>
  <c r="D382" i="24"/>
  <c r="D381" i="24"/>
  <c r="C380" i="24"/>
  <c r="D379" i="24"/>
  <c r="B377" i="24"/>
  <c r="A376" i="24"/>
  <c r="A382" i="24"/>
  <c r="A381" i="24"/>
  <c r="A379" i="24"/>
  <c r="D378" i="24"/>
  <c r="S373" i="24"/>
  <c r="C378" i="24"/>
  <c r="E376" i="24"/>
  <c r="E378" i="24"/>
  <c r="O302" i="24"/>
  <c r="O281" i="24"/>
  <c r="A377" i="24"/>
  <c r="A380" i="24"/>
  <c r="B382" i="24"/>
  <c r="B380" i="24"/>
  <c r="C382" i="24"/>
  <c r="O311" i="24"/>
  <c r="O310" i="24"/>
  <c r="C375" i="24"/>
  <c r="I375" i="24" s="1"/>
  <c r="O375" i="24" s="1"/>
  <c r="N373" i="24" l="1"/>
  <c r="T373" i="24"/>
  <c r="W377" i="24"/>
  <c r="W379" i="24"/>
  <c r="O392" i="24" s="1"/>
  <c r="W378" i="24"/>
  <c r="H382" i="24"/>
  <c r="H381" i="24"/>
  <c r="G380" i="24"/>
  <c r="H379" i="24"/>
  <c r="K378" i="24"/>
  <c r="M373" i="24"/>
  <c r="G382" i="24"/>
  <c r="G381" i="24"/>
  <c r="G379" i="24"/>
  <c r="J378" i="24"/>
  <c r="I378" i="24"/>
  <c r="K376" i="24"/>
  <c r="H378" i="24"/>
  <c r="K377" i="24"/>
  <c r="J376" i="24"/>
  <c r="J382" i="24"/>
  <c r="J381" i="24"/>
  <c r="I380" i="24"/>
  <c r="J379" i="24"/>
  <c r="H377" i="24"/>
  <c r="G376" i="24"/>
  <c r="I382" i="24"/>
  <c r="I381" i="24"/>
  <c r="H380" i="24"/>
  <c r="I379" i="24"/>
  <c r="G377" i="24"/>
  <c r="K380" i="24"/>
  <c r="K382" i="24"/>
  <c r="J380" i="24"/>
  <c r="J377" i="24"/>
  <c r="I377" i="24"/>
  <c r="G378" i="24"/>
  <c r="K381" i="24"/>
  <c r="K379" i="24"/>
  <c r="I376" i="24"/>
  <c r="H376" i="24"/>
  <c r="O391" i="24" l="1"/>
  <c r="G17" i="27"/>
  <c r="O390" i="24"/>
  <c r="G16" i="27"/>
  <c r="Q382" i="24"/>
  <c r="Q381" i="24"/>
  <c r="P380" i="24"/>
  <c r="Q379" i="24"/>
  <c r="O377" i="24"/>
  <c r="N376" i="24"/>
  <c r="P382" i="24"/>
  <c r="P381" i="24"/>
  <c r="O380" i="24"/>
  <c r="P379" i="24"/>
  <c r="N377" i="24"/>
  <c r="M376" i="24"/>
  <c r="O382" i="24"/>
  <c r="O381" i="24"/>
  <c r="N380" i="24"/>
  <c r="O379" i="24"/>
  <c r="M377" i="24"/>
  <c r="N382" i="24"/>
  <c r="N381" i="24"/>
  <c r="M380" i="24"/>
  <c r="N379" i="24"/>
  <c r="Q378" i="24"/>
  <c r="N378" i="24"/>
  <c r="Q377" i="24"/>
  <c r="P376" i="24"/>
  <c r="Q380" i="24"/>
  <c r="M378" i="24"/>
  <c r="P377" i="24"/>
  <c r="O376" i="24"/>
  <c r="M382" i="24"/>
  <c r="P378" i="24"/>
  <c r="O378" i="24"/>
  <c r="M381" i="24"/>
  <c r="M379" i="24"/>
  <c r="Q376" i="24"/>
  <c r="U386" i="24" l="1"/>
  <c r="U379" i="24" s="1"/>
  <c r="N392" i="24" s="1"/>
  <c r="T383" i="24" s="1"/>
  <c r="P141" i="23" l="1"/>
  <c r="Q141" i="23" s="1"/>
  <c r="P142" i="23"/>
  <c r="Q142" i="23" s="1"/>
  <c r="P143" i="23"/>
  <c r="Q143" i="23" s="1"/>
  <c r="P144" i="23"/>
  <c r="Q144" i="23" s="1"/>
  <c r="P145" i="23"/>
  <c r="Q145" i="23" s="1"/>
  <c r="P146" i="23"/>
  <c r="Q146" i="23" s="1"/>
  <c r="P147" i="23"/>
  <c r="Q147" i="23" s="1"/>
  <c r="P148" i="23"/>
  <c r="Q148" i="23" s="1"/>
  <c r="P149" i="23"/>
  <c r="Q149" i="23" s="1"/>
  <c r="P150" i="23"/>
  <c r="Q150" i="23" s="1"/>
  <c r="P151" i="23"/>
  <c r="Q151" i="23" s="1"/>
  <c r="P140" i="23"/>
  <c r="Q140" i="23" s="1"/>
  <c r="AG141" i="23"/>
  <c r="AG142" i="23"/>
  <c r="AG143" i="23"/>
  <c r="AG144" i="23"/>
  <c r="AG145" i="23"/>
  <c r="AG146" i="23"/>
  <c r="AG147" i="23"/>
  <c r="AG148" i="23"/>
  <c r="AG149" i="23"/>
  <c r="AG150" i="23"/>
  <c r="AG151" i="23"/>
  <c r="AG140" i="23"/>
  <c r="AI140" i="23" s="1"/>
  <c r="AG126" i="23"/>
  <c r="AG127" i="23"/>
  <c r="AG128" i="23"/>
  <c r="AG129" i="23"/>
  <c r="AG130" i="23"/>
  <c r="AG131" i="23"/>
  <c r="AG132" i="23"/>
  <c r="AG133" i="23"/>
  <c r="AG134" i="23"/>
  <c r="AG135" i="23"/>
  <c r="AG136" i="23"/>
  <c r="AG125" i="23"/>
  <c r="AI125" i="23" s="1"/>
  <c r="BW65" i="23"/>
  <c r="BY65" i="23" s="1"/>
  <c r="BQ65" i="23"/>
  <c r="BS65" i="23" s="1"/>
  <c r="BK65" i="23"/>
  <c r="BM65" i="23" s="1"/>
  <c r="BE65" i="23"/>
  <c r="BG65" i="23" s="1"/>
  <c r="AY65" i="23"/>
  <c r="BA65" i="23" s="1"/>
  <c r="AS65" i="23"/>
  <c r="AU65" i="23" s="1"/>
  <c r="AM65" i="23"/>
  <c r="AO65" i="23" s="1"/>
  <c r="AG65" i="23"/>
  <c r="AI65" i="23" s="1"/>
  <c r="AG66" i="23"/>
  <c r="AA65" i="23"/>
  <c r="AC65" i="23" s="1"/>
  <c r="U65" i="23"/>
  <c r="W65" i="23" s="1"/>
  <c r="P65" i="23"/>
  <c r="Q65" i="23" s="1"/>
  <c r="J65" i="23"/>
  <c r="K65" i="23" s="1"/>
  <c r="D65" i="23"/>
  <c r="E65" i="23" s="1"/>
  <c r="C19" i="23"/>
  <c r="C34" i="23" s="1"/>
  <c r="C49" i="23" s="1"/>
  <c r="C64" i="23" s="1"/>
  <c r="C79" i="23" s="1"/>
  <c r="C94" i="23" s="1"/>
  <c r="C109" i="23" s="1"/>
  <c r="AB19" i="23" l="1"/>
  <c r="AB34" i="23" s="1"/>
  <c r="AB49" i="23" s="1"/>
  <c r="AB64" i="23" s="1"/>
  <c r="AB79" i="23" s="1"/>
  <c r="AB94" i="23" s="1"/>
  <c r="AB109" i="23" s="1"/>
  <c r="AB124" i="23" s="1"/>
  <c r="AB139" i="23" s="1"/>
  <c r="AG4" i="23"/>
  <c r="I70" i="5"/>
  <c r="H8" i="2" l="1"/>
  <c r="I8" i="2" l="1"/>
  <c r="E7" i="4" s="1"/>
  <c r="E7" i="27" s="1"/>
  <c r="H36" i="2" l="1"/>
  <c r="R156" i="23" l="1"/>
  <c r="Q156" i="23"/>
  <c r="P156" i="23"/>
  <c r="F156" i="23"/>
  <c r="E156" i="23"/>
  <c r="D156" i="23"/>
  <c r="C156" i="23"/>
  <c r="J81" i="5"/>
  <c r="P173" i="23" l="1"/>
  <c r="P190" i="23" s="1"/>
  <c r="P207" i="23" s="1"/>
  <c r="P223" i="23" s="1"/>
  <c r="P239" i="23" s="1"/>
  <c r="AH156" i="23"/>
  <c r="AH173" i="23" s="1"/>
  <c r="AH190" i="23" s="1"/>
  <c r="AH207" i="23" s="1"/>
  <c r="AH223" i="23" s="1"/>
  <c r="AH239" i="23" s="1"/>
  <c r="Q173" i="23"/>
  <c r="Q190" i="23" s="1"/>
  <c r="Q207" i="23" s="1"/>
  <c r="Q223" i="23" s="1"/>
  <c r="Q239" i="23" s="1"/>
  <c r="AI156" i="23"/>
  <c r="AI173" i="23" s="1"/>
  <c r="AI190" i="23" s="1"/>
  <c r="AI207" i="23" s="1"/>
  <c r="AI223" i="23" s="1"/>
  <c r="AI239" i="23" s="1"/>
  <c r="R173" i="23"/>
  <c r="R190" i="23" s="1"/>
  <c r="R207" i="23" s="1"/>
  <c r="R223" i="23" s="1"/>
  <c r="R239" i="23" s="1"/>
  <c r="AJ156" i="23"/>
  <c r="AJ173" i="23" s="1"/>
  <c r="AJ190" i="23" s="1"/>
  <c r="AJ207" i="23" s="1"/>
  <c r="AJ223" i="23" s="1"/>
  <c r="AJ239" i="23" s="1"/>
  <c r="J25" i="4" l="1"/>
  <c r="C27" i="4" l="1"/>
  <c r="A1" i="26"/>
  <c r="J27" i="4"/>
  <c r="T7" i="4"/>
  <c r="A32" i="26" l="1"/>
  <c r="A19" i="26"/>
  <c r="CJ21" i="23" l="1"/>
  <c r="CJ36" i="23" s="1"/>
  <c r="CJ51" i="23" s="1"/>
  <c r="CJ22" i="23"/>
  <c r="CJ37" i="23" s="1"/>
  <c r="CJ52" i="23" s="1"/>
  <c r="CJ23" i="23"/>
  <c r="CJ38" i="23" s="1"/>
  <c r="CJ53" i="23" s="1"/>
  <c r="CJ24" i="23"/>
  <c r="CJ39" i="23" s="1"/>
  <c r="CJ54" i="23" s="1"/>
  <c r="CJ25" i="23"/>
  <c r="CJ40" i="23" s="1"/>
  <c r="CJ55" i="23" s="1"/>
  <c r="CJ26" i="23"/>
  <c r="CJ41" i="23" s="1"/>
  <c r="CJ56" i="23" s="1"/>
  <c r="CJ27" i="23"/>
  <c r="CJ42" i="23" s="1"/>
  <c r="CJ57" i="23" s="1"/>
  <c r="CJ28" i="23"/>
  <c r="CJ43" i="23" s="1"/>
  <c r="CJ58" i="23" s="1"/>
  <c r="CJ29" i="23"/>
  <c r="CJ44" i="23" s="1"/>
  <c r="CJ59" i="23" s="1"/>
  <c r="CJ30" i="23"/>
  <c r="CJ45" i="23" s="1"/>
  <c r="CJ60" i="23" s="1"/>
  <c r="CJ31" i="23"/>
  <c r="CJ46" i="23" s="1"/>
  <c r="CJ61" i="23" s="1"/>
  <c r="CJ20" i="23"/>
  <c r="CJ35" i="23" s="1"/>
  <c r="CJ50" i="23" s="1"/>
  <c r="CJ19" i="23"/>
  <c r="CJ34" i="23" s="1"/>
  <c r="CJ49" i="23" s="1"/>
  <c r="CJ64" i="23" s="1"/>
  <c r="CJ79" i="23" s="1"/>
  <c r="CJ94" i="23" s="1"/>
  <c r="CJ109" i="23" s="1"/>
  <c r="CJ124" i="23" s="1"/>
  <c r="CJ139" i="23" s="1"/>
  <c r="CJ80" i="23" l="1"/>
  <c r="CJ95" i="23" s="1"/>
  <c r="CJ110" i="23" s="1"/>
  <c r="CJ125" i="23" s="1"/>
  <c r="CJ140" i="23" s="1"/>
  <c r="CJ65" i="23"/>
  <c r="CJ91" i="23"/>
  <c r="CJ106" i="23" s="1"/>
  <c r="CJ121" i="23" s="1"/>
  <c r="CJ136" i="23" s="1"/>
  <c r="CJ151" i="23" s="1"/>
  <c r="CJ76" i="23"/>
  <c r="CJ90" i="23"/>
  <c r="CJ105" i="23" s="1"/>
  <c r="CJ120" i="23" s="1"/>
  <c r="CJ135" i="23" s="1"/>
  <c r="CJ150" i="23" s="1"/>
  <c r="CJ75" i="23"/>
  <c r="CJ89" i="23"/>
  <c r="CJ104" i="23" s="1"/>
  <c r="CJ119" i="23" s="1"/>
  <c r="CJ134" i="23" s="1"/>
  <c r="CJ149" i="23" s="1"/>
  <c r="CJ74" i="23"/>
  <c r="CJ88" i="23"/>
  <c r="CJ103" i="23" s="1"/>
  <c r="CJ118" i="23" s="1"/>
  <c r="CJ133" i="23" s="1"/>
  <c r="CJ148" i="23" s="1"/>
  <c r="CJ73" i="23"/>
  <c r="CJ87" i="23"/>
  <c r="CJ102" i="23" s="1"/>
  <c r="CJ117" i="23" s="1"/>
  <c r="CJ132" i="23" s="1"/>
  <c r="CJ147" i="23" s="1"/>
  <c r="CJ72" i="23"/>
  <c r="CJ86" i="23"/>
  <c r="CJ101" i="23" s="1"/>
  <c r="CJ116" i="23" s="1"/>
  <c r="CJ131" i="23" s="1"/>
  <c r="CJ146" i="23" s="1"/>
  <c r="CJ71" i="23"/>
  <c r="CJ85" i="23"/>
  <c r="CJ100" i="23" s="1"/>
  <c r="CJ115" i="23" s="1"/>
  <c r="CJ130" i="23" s="1"/>
  <c r="CJ145" i="23" s="1"/>
  <c r="CJ70" i="23"/>
  <c r="CJ84" i="23"/>
  <c r="CJ99" i="23" s="1"/>
  <c r="CJ114" i="23" s="1"/>
  <c r="CJ129" i="23" s="1"/>
  <c r="CJ144" i="23" s="1"/>
  <c r="CJ69" i="23"/>
  <c r="CJ83" i="23"/>
  <c r="CJ98" i="23" s="1"/>
  <c r="CJ113" i="23" s="1"/>
  <c r="CJ128" i="23" s="1"/>
  <c r="CJ143" i="23" s="1"/>
  <c r="CJ68" i="23"/>
  <c r="CJ82" i="23"/>
  <c r="CJ97" i="23" s="1"/>
  <c r="CJ112" i="23" s="1"/>
  <c r="CJ127" i="23" s="1"/>
  <c r="CJ142" i="23" s="1"/>
  <c r="CJ67" i="23"/>
  <c r="CJ81" i="23"/>
  <c r="CJ96" i="23" s="1"/>
  <c r="CJ111" i="23" s="1"/>
  <c r="CJ126" i="23" s="1"/>
  <c r="CJ141" i="23" s="1"/>
  <c r="CJ66" i="23"/>
  <c r="CD111" i="23"/>
  <c r="CD96" i="23" s="1"/>
  <c r="CD81" i="23" s="1"/>
  <c r="CD112" i="23"/>
  <c r="CD97" i="23" s="1"/>
  <c r="CD82" i="23" s="1"/>
  <c r="CD113" i="23"/>
  <c r="CD98" i="23" s="1"/>
  <c r="CD83" i="23" s="1"/>
  <c r="CD114" i="23"/>
  <c r="CD99" i="23" s="1"/>
  <c r="CD84" i="23" s="1"/>
  <c r="CD115" i="23"/>
  <c r="CD100" i="23" s="1"/>
  <c r="CD85" i="23" s="1"/>
  <c r="CD116" i="23"/>
  <c r="CD101" i="23" s="1"/>
  <c r="CD86" i="23" s="1"/>
  <c r="CD117" i="23"/>
  <c r="CD102" i="23" s="1"/>
  <c r="CD87" i="23" s="1"/>
  <c r="CD118" i="23"/>
  <c r="CD103" i="23" s="1"/>
  <c r="CD88" i="23" s="1"/>
  <c r="CD119" i="23"/>
  <c r="CD104" i="23" s="1"/>
  <c r="CD89" i="23" s="1"/>
  <c r="CD120" i="23"/>
  <c r="CD105" i="23" s="1"/>
  <c r="CD90" i="23" s="1"/>
  <c r="CD121" i="23"/>
  <c r="CD106" i="23" s="1"/>
  <c r="CD91" i="23" s="1"/>
  <c r="CD110" i="23"/>
  <c r="CD95" i="23" s="1"/>
  <c r="CD80" i="23" s="1"/>
  <c r="CD109" i="23"/>
  <c r="CD94" i="23" s="1"/>
  <c r="CD79" i="23" s="1"/>
  <c r="CD64" i="23" s="1"/>
  <c r="CD49" i="23" s="1"/>
  <c r="CD34" i="23" s="1"/>
  <c r="CD19" i="23" s="1"/>
  <c r="CD4" i="23" s="1"/>
  <c r="CD141" i="23"/>
  <c r="CD142" i="23"/>
  <c r="CD143" i="23"/>
  <c r="CD144" i="23"/>
  <c r="CD145" i="23"/>
  <c r="CD146" i="23"/>
  <c r="CD147" i="23"/>
  <c r="CD148" i="23"/>
  <c r="CD149" i="23"/>
  <c r="CD150" i="23"/>
  <c r="CD151" i="23"/>
  <c r="CD140" i="23"/>
  <c r="CD139" i="23"/>
  <c r="CP21" i="23"/>
  <c r="CP36" i="23" s="1"/>
  <c r="CP51" i="23" s="1"/>
  <c r="CP22" i="23"/>
  <c r="CP37" i="23" s="1"/>
  <c r="CP52" i="23" s="1"/>
  <c r="CP23" i="23"/>
  <c r="CP38" i="23" s="1"/>
  <c r="CP53" i="23" s="1"/>
  <c r="CP24" i="23"/>
  <c r="CP39" i="23" s="1"/>
  <c r="CP54" i="23" s="1"/>
  <c r="CP25" i="23"/>
  <c r="CP40" i="23" s="1"/>
  <c r="CP55" i="23" s="1"/>
  <c r="CP26" i="23"/>
  <c r="CP41" i="23" s="1"/>
  <c r="CP56" i="23" s="1"/>
  <c r="CP27" i="23"/>
  <c r="CP42" i="23" s="1"/>
  <c r="CP57" i="23" s="1"/>
  <c r="CP28" i="23"/>
  <c r="CP43" i="23" s="1"/>
  <c r="CP58" i="23" s="1"/>
  <c r="CP29" i="23"/>
  <c r="CP44" i="23" s="1"/>
  <c r="CP59" i="23" s="1"/>
  <c r="CP30" i="23"/>
  <c r="CP45" i="23" s="1"/>
  <c r="CP60" i="23" s="1"/>
  <c r="CP31" i="23"/>
  <c r="CP46" i="23" s="1"/>
  <c r="CP61" i="23" s="1"/>
  <c r="CP20" i="23"/>
  <c r="CP35" i="23" s="1"/>
  <c r="CP50" i="23" s="1"/>
  <c r="CP19" i="23"/>
  <c r="CP34" i="23" s="1"/>
  <c r="CP49" i="23" s="1"/>
  <c r="CP64" i="23" s="1"/>
  <c r="CP79" i="23" s="1"/>
  <c r="CP94" i="23" s="1"/>
  <c r="CP109" i="23" s="1"/>
  <c r="CP124" i="23" s="1"/>
  <c r="CP139" i="23" s="1"/>
  <c r="CC91" i="23"/>
  <c r="CD50" i="23" l="1"/>
  <c r="CD35" i="23" s="1"/>
  <c r="CD20" i="23" s="1"/>
  <c r="CD5" i="23" s="1"/>
  <c r="CD65" i="23"/>
  <c r="CP80" i="23"/>
  <c r="CP95" i="23" s="1"/>
  <c r="CP110" i="23" s="1"/>
  <c r="CP125" i="23" s="1"/>
  <c r="CP140" i="23" s="1"/>
  <c r="CP65" i="23"/>
  <c r="CP91" i="23"/>
  <c r="CP106" i="23" s="1"/>
  <c r="CP121" i="23" s="1"/>
  <c r="CP136" i="23" s="1"/>
  <c r="CP151" i="23" s="1"/>
  <c r="CP76" i="23"/>
  <c r="CP90" i="23"/>
  <c r="CP105" i="23" s="1"/>
  <c r="CP120" i="23" s="1"/>
  <c r="CP135" i="23" s="1"/>
  <c r="CP150" i="23" s="1"/>
  <c r="CP75" i="23"/>
  <c r="CP89" i="23"/>
  <c r="CP104" i="23" s="1"/>
  <c r="CP119" i="23" s="1"/>
  <c r="CP134" i="23" s="1"/>
  <c r="CP149" i="23" s="1"/>
  <c r="CP74" i="23"/>
  <c r="CP88" i="23"/>
  <c r="CP103" i="23" s="1"/>
  <c r="CP118" i="23" s="1"/>
  <c r="CP133" i="23" s="1"/>
  <c r="CP148" i="23" s="1"/>
  <c r="CP73" i="23"/>
  <c r="CP87" i="23"/>
  <c r="CP102" i="23" s="1"/>
  <c r="CP117" i="23" s="1"/>
  <c r="CP132" i="23" s="1"/>
  <c r="CP147" i="23" s="1"/>
  <c r="CP72" i="23"/>
  <c r="CP86" i="23"/>
  <c r="CP101" i="23" s="1"/>
  <c r="CP116" i="23" s="1"/>
  <c r="CP131" i="23" s="1"/>
  <c r="CP146" i="23" s="1"/>
  <c r="CP71" i="23"/>
  <c r="CP85" i="23"/>
  <c r="CP100" i="23" s="1"/>
  <c r="CP115" i="23" s="1"/>
  <c r="CP130" i="23" s="1"/>
  <c r="CP145" i="23" s="1"/>
  <c r="CP70" i="23"/>
  <c r="CP84" i="23"/>
  <c r="CP99" i="23" s="1"/>
  <c r="CP114" i="23" s="1"/>
  <c r="CP129" i="23" s="1"/>
  <c r="CP144" i="23" s="1"/>
  <c r="CP69" i="23"/>
  <c r="CP83" i="23"/>
  <c r="CP98" i="23" s="1"/>
  <c r="CP113" i="23" s="1"/>
  <c r="CP128" i="23" s="1"/>
  <c r="CP143" i="23" s="1"/>
  <c r="CP68" i="23"/>
  <c r="CP82" i="23"/>
  <c r="CP97" i="23" s="1"/>
  <c r="CP112" i="23" s="1"/>
  <c r="CP127" i="23" s="1"/>
  <c r="CP142" i="23" s="1"/>
  <c r="CP67" i="23"/>
  <c r="CP81" i="23"/>
  <c r="CP96" i="23" s="1"/>
  <c r="CP111" i="23" s="1"/>
  <c r="CP126" i="23" s="1"/>
  <c r="CP141" i="23" s="1"/>
  <c r="CP66" i="23"/>
  <c r="CD61" i="23"/>
  <c r="CD46" i="23" s="1"/>
  <c r="CD31" i="23" s="1"/>
  <c r="CD16" i="23" s="1"/>
  <c r="CD76" i="23"/>
  <c r="CD60" i="23"/>
  <c r="CD45" i="23" s="1"/>
  <c r="CD30" i="23" s="1"/>
  <c r="CD15" i="23" s="1"/>
  <c r="CD75" i="23"/>
  <c r="CD59" i="23"/>
  <c r="CD44" i="23" s="1"/>
  <c r="CD29" i="23" s="1"/>
  <c r="CD14" i="23" s="1"/>
  <c r="CD74" i="23"/>
  <c r="CD58" i="23"/>
  <c r="CD43" i="23" s="1"/>
  <c r="CD28" i="23" s="1"/>
  <c r="CD13" i="23" s="1"/>
  <c r="CD73" i="23"/>
  <c r="CD57" i="23"/>
  <c r="CD42" i="23" s="1"/>
  <c r="CD27" i="23" s="1"/>
  <c r="CD12" i="23" s="1"/>
  <c r="CD72" i="23"/>
  <c r="CD56" i="23"/>
  <c r="CD41" i="23" s="1"/>
  <c r="CD26" i="23" s="1"/>
  <c r="CD11" i="23" s="1"/>
  <c r="CD71" i="23"/>
  <c r="CD55" i="23"/>
  <c r="CD40" i="23" s="1"/>
  <c r="CD25" i="23" s="1"/>
  <c r="CD10" i="23" s="1"/>
  <c r="CD70" i="23"/>
  <c r="CD54" i="23"/>
  <c r="CD39" i="23" s="1"/>
  <c r="CD24" i="23" s="1"/>
  <c r="CD9" i="23" s="1"/>
  <c r="CD69" i="23"/>
  <c r="CD53" i="23"/>
  <c r="CD38" i="23" s="1"/>
  <c r="CD23" i="23" s="1"/>
  <c r="CD8" i="23" s="1"/>
  <c r="CD68" i="23"/>
  <c r="CD52" i="23"/>
  <c r="CD37" i="23" s="1"/>
  <c r="CD22" i="23" s="1"/>
  <c r="CD7" i="23" s="1"/>
  <c r="CD67" i="23"/>
  <c r="CD51" i="23"/>
  <c r="CD36" i="23" s="1"/>
  <c r="CD21" i="23" s="1"/>
  <c r="CD6" i="23" s="1"/>
  <c r="CD66" i="23"/>
  <c r="AH159" i="23"/>
  <c r="AH176" i="23" s="1"/>
  <c r="AH193" i="23" s="1"/>
  <c r="AH210" i="23" s="1"/>
  <c r="AH226" i="23" s="1"/>
  <c r="AH242" i="23" s="1"/>
  <c r="AH160" i="23"/>
  <c r="AH177" i="23" s="1"/>
  <c r="AH194" i="23" s="1"/>
  <c r="AH211" i="23" s="1"/>
  <c r="AH227" i="23" s="1"/>
  <c r="AH243" i="23" s="1"/>
  <c r="AH161" i="23"/>
  <c r="AH178" i="23" s="1"/>
  <c r="AH195" i="23" s="1"/>
  <c r="AH212" i="23" s="1"/>
  <c r="AH228" i="23" s="1"/>
  <c r="AH244" i="23" s="1"/>
  <c r="AH162" i="23"/>
  <c r="AH179" i="23" s="1"/>
  <c r="AH196" i="23" s="1"/>
  <c r="AH213" i="23" s="1"/>
  <c r="AH229" i="23" s="1"/>
  <c r="AH245" i="23" s="1"/>
  <c r="AH163" i="23"/>
  <c r="AH180" i="23" s="1"/>
  <c r="AH197" i="23" s="1"/>
  <c r="AH214" i="23" s="1"/>
  <c r="AH164" i="23"/>
  <c r="AH181" i="23" s="1"/>
  <c r="AH198" i="23" s="1"/>
  <c r="AH215" i="23" s="1"/>
  <c r="AH231" i="23" s="1"/>
  <c r="AH247" i="23" s="1"/>
  <c r="AH165" i="23"/>
  <c r="AH182" i="23" s="1"/>
  <c r="AH199" i="23" s="1"/>
  <c r="AH216" i="23" s="1"/>
  <c r="AH232" i="23" s="1"/>
  <c r="AH248" i="23" s="1"/>
  <c r="AH166" i="23"/>
  <c r="AH183" i="23" s="1"/>
  <c r="AH200" i="23" s="1"/>
  <c r="AH217" i="23" s="1"/>
  <c r="AH233" i="23" s="1"/>
  <c r="AH167" i="23"/>
  <c r="AH184" i="23" s="1"/>
  <c r="AH201" i="23" s="1"/>
  <c r="AH218" i="23" s="1"/>
  <c r="AH234" i="23" s="1"/>
  <c r="AH250" i="23" s="1"/>
  <c r="AH168" i="23"/>
  <c r="AH185" i="23" s="1"/>
  <c r="AH202" i="23" s="1"/>
  <c r="AH219" i="23" s="1"/>
  <c r="AH235" i="23" s="1"/>
  <c r="AH251" i="23" s="1"/>
  <c r="AH169" i="23"/>
  <c r="AH186" i="23" s="1"/>
  <c r="AH203" i="23" s="1"/>
  <c r="AH220" i="23" s="1"/>
  <c r="AH236" i="23" s="1"/>
  <c r="AH252" i="23" s="1"/>
  <c r="AH170" i="23"/>
  <c r="AH187" i="23" s="1"/>
  <c r="AH204" i="23" s="1"/>
  <c r="AH221" i="23" s="1"/>
  <c r="AH237" i="23" s="1"/>
  <c r="AH253" i="23" s="1"/>
  <c r="AH158" i="23"/>
  <c r="AH175" i="23" s="1"/>
  <c r="AH192" i="23" s="1"/>
  <c r="AH209" i="23" s="1"/>
  <c r="AH225" i="23" s="1"/>
  <c r="AH241" i="23" s="1"/>
  <c r="P176" i="23"/>
  <c r="P193" i="23" s="1"/>
  <c r="P210" i="23" s="1"/>
  <c r="P226" i="23" s="1"/>
  <c r="P242" i="23" s="1"/>
  <c r="P177" i="23"/>
  <c r="P194" i="23" s="1"/>
  <c r="P211" i="23" s="1"/>
  <c r="P227" i="23" s="1"/>
  <c r="P243" i="23" s="1"/>
  <c r="P178" i="23"/>
  <c r="P195" i="23" s="1"/>
  <c r="P212" i="23" s="1"/>
  <c r="P228" i="23" s="1"/>
  <c r="P244" i="23" s="1"/>
  <c r="P179" i="23"/>
  <c r="P196" i="23" s="1"/>
  <c r="P213" i="23" s="1"/>
  <c r="P229" i="23" s="1"/>
  <c r="P245" i="23" s="1"/>
  <c r="P180" i="23"/>
  <c r="P197" i="23" s="1"/>
  <c r="P214" i="23" s="1"/>
  <c r="P230" i="23" s="1"/>
  <c r="P246" i="23" s="1"/>
  <c r="P181" i="23"/>
  <c r="P198" i="23" s="1"/>
  <c r="P215" i="23" s="1"/>
  <c r="P231" i="23" s="1"/>
  <c r="P247" i="23" s="1"/>
  <c r="P182" i="23"/>
  <c r="P199" i="23" s="1"/>
  <c r="P216" i="23" s="1"/>
  <c r="P232" i="23" s="1"/>
  <c r="P248" i="23" s="1"/>
  <c r="P183" i="23"/>
  <c r="P200" i="23" s="1"/>
  <c r="P217" i="23" s="1"/>
  <c r="P233" i="23" s="1"/>
  <c r="P249" i="23" s="1"/>
  <c r="P184" i="23"/>
  <c r="P201" i="23" s="1"/>
  <c r="P218" i="23" s="1"/>
  <c r="P234" i="23" s="1"/>
  <c r="P250" i="23" s="1"/>
  <c r="P185" i="23"/>
  <c r="P202" i="23" s="1"/>
  <c r="P219" i="23" s="1"/>
  <c r="P235" i="23" s="1"/>
  <c r="P251" i="23" s="1"/>
  <c r="P186" i="23"/>
  <c r="P203" i="23" s="1"/>
  <c r="P220" i="23" s="1"/>
  <c r="P236" i="23" s="1"/>
  <c r="P252" i="23" s="1"/>
  <c r="P187" i="23"/>
  <c r="P204" i="23" s="1"/>
  <c r="P221" i="23" s="1"/>
  <c r="P237" i="23" s="1"/>
  <c r="P253" i="23" s="1"/>
  <c r="P175" i="23"/>
  <c r="P192" i="23" s="1"/>
  <c r="P209" i="23" s="1"/>
  <c r="P225" i="23" s="1"/>
  <c r="P241" i="23" s="1"/>
  <c r="O156" i="23"/>
  <c r="N156" i="23"/>
  <c r="M156" i="23"/>
  <c r="L156" i="23"/>
  <c r="K156" i="23"/>
  <c r="J156" i="23"/>
  <c r="I156" i="23"/>
  <c r="H156" i="23"/>
  <c r="G156" i="23"/>
  <c r="AH230" i="23" l="1"/>
  <c r="AH246" i="23" s="1"/>
  <c r="AH249" i="23"/>
  <c r="A46" i="26"/>
  <c r="B52" i="4" s="1"/>
  <c r="B259" i="23"/>
  <c r="G269" i="23" s="1"/>
  <c r="B107" i="2"/>
  <c r="I351" i="23"/>
  <c r="I352" i="23"/>
  <c r="I353" i="23"/>
  <c r="I354" i="23"/>
  <c r="I355" i="23"/>
  <c r="I356" i="23"/>
  <c r="I357" i="23"/>
  <c r="I350" i="23"/>
  <c r="I338" i="23"/>
  <c r="I339" i="23"/>
  <c r="I340" i="23"/>
  <c r="I341" i="23"/>
  <c r="I342" i="23"/>
  <c r="I343" i="23"/>
  <c r="I344" i="23"/>
  <c r="I337" i="23"/>
  <c r="I325" i="23"/>
  <c r="I326" i="23"/>
  <c r="I327" i="23"/>
  <c r="I328" i="23"/>
  <c r="I329" i="23"/>
  <c r="I330" i="23"/>
  <c r="I331" i="23"/>
  <c r="I324" i="23"/>
  <c r="I312" i="23"/>
  <c r="I313" i="23"/>
  <c r="I314" i="23"/>
  <c r="I315" i="23"/>
  <c r="I316" i="23"/>
  <c r="I317" i="23"/>
  <c r="I318" i="23"/>
  <c r="I311" i="23"/>
  <c r="I299" i="23"/>
  <c r="I300" i="23"/>
  <c r="I301" i="23"/>
  <c r="I302" i="23"/>
  <c r="I303" i="23"/>
  <c r="I304" i="23"/>
  <c r="I305" i="23"/>
  <c r="I298" i="23"/>
  <c r="L359" i="23"/>
  <c r="F359" i="23"/>
  <c r="L358" i="23"/>
  <c r="F358" i="23"/>
  <c r="L357" i="23"/>
  <c r="F357" i="23"/>
  <c r="L356" i="23"/>
  <c r="F356" i="23"/>
  <c r="L355" i="23"/>
  <c r="F355" i="23"/>
  <c r="L354" i="23"/>
  <c r="F354" i="23"/>
  <c r="L353" i="23"/>
  <c r="F353" i="23"/>
  <c r="L352" i="23"/>
  <c r="F352" i="23"/>
  <c r="L351" i="23"/>
  <c r="F351" i="23"/>
  <c r="L350" i="23"/>
  <c r="F350" i="23"/>
  <c r="L346" i="23"/>
  <c r="L345" i="23"/>
  <c r="F345" i="23"/>
  <c r="L344" i="23"/>
  <c r="F344" i="23"/>
  <c r="L343" i="23"/>
  <c r="F343" i="23"/>
  <c r="L342" i="23"/>
  <c r="F342" i="23"/>
  <c r="L341" i="23"/>
  <c r="F341" i="23"/>
  <c r="L340" i="23"/>
  <c r="F340" i="23"/>
  <c r="L339" i="23"/>
  <c r="F339" i="23"/>
  <c r="L338" i="23"/>
  <c r="F338" i="23"/>
  <c r="L337" i="23"/>
  <c r="F337" i="23"/>
  <c r="L333" i="23"/>
  <c r="F333" i="23"/>
  <c r="L332" i="23"/>
  <c r="F332" i="23"/>
  <c r="L331" i="23"/>
  <c r="F331" i="23"/>
  <c r="L330" i="23"/>
  <c r="F330" i="23"/>
  <c r="L329" i="23"/>
  <c r="F329" i="23"/>
  <c r="L328" i="23"/>
  <c r="F328" i="23"/>
  <c r="L327" i="23"/>
  <c r="F327" i="23"/>
  <c r="L326" i="23"/>
  <c r="F326" i="23"/>
  <c r="L325" i="23"/>
  <c r="F325" i="23"/>
  <c r="L324" i="23"/>
  <c r="F324" i="23"/>
  <c r="L320" i="23"/>
  <c r="F320" i="23"/>
  <c r="L319" i="23"/>
  <c r="F319" i="23"/>
  <c r="L318" i="23"/>
  <c r="F318" i="23"/>
  <c r="L317" i="23"/>
  <c r="F317" i="23"/>
  <c r="L316" i="23"/>
  <c r="F316" i="23"/>
  <c r="L315" i="23"/>
  <c r="F315" i="23"/>
  <c r="L314" i="23"/>
  <c r="F314" i="23"/>
  <c r="L313" i="23"/>
  <c r="F313" i="23"/>
  <c r="L312" i="23"/>
  <c r="F312" i="23"/>
  <c r="L311" i="23"/>
  <c r="F311" i="23"/>
  <c r="L307" i="23"/>
  <c r="F307" i="23"/>
  <c r="L306" i="23"/>
  <c r="F306" i="23"/>
  <c r="L305" i="23"/>
  <c r="F305" i="23"/>
  <c r="L304" i="23"/>
  <c r="F304" i="23"/>
  <c r="L303" i="23"/>
  <c r="F303" i="23"/>
  <c r="L302" i="23"/>
  <c r="F302" i="23"/>
  <c r="L301" i="23"/>
  <c r="F301" i="23"/>
  <c r="L300" i="23"/>
  <c r="F300" i="23"/>
  <c r="L299" i="23"/>
  <c r="F299" i="23"/>
  <c r="L298" i="23"/>
  <c r="F298" i="23"/>
  <c r="W156" i="23"/>
  <c r="E173" i="23" s="1"/>
  <c r="W173" i="23" s="1"/>
  <c r="E190" i="23" s="1"/>
  <c r="W190" i="23" s="1"/>
  <c r="E207" i="23" s="1"/>
  <c r="V156" i="23"/>
  <c r="D173" i="23" s="1"/>
  <c r="V173" i="23" s="1"/>
  <c r="D190" i="23" s="1"/>
  <c r="V190" i="23" s="1"/>
  <c r="D207" i="23" s="1"/>
  <c r="U156" i="23"/>
  <c r="CO3" i="23"/>
  <c r="CO18" i="23" s="1"/>
  <c r="CO33" i="23" s="1"/>
  <c r="CO48" i="23" s="1"/>
  <c r="CO63" i="23" s="1"/>
  <c r="CO78" i="23" s="1"/>
  <c r="CO93" i="23" s="1"/>
  <c r="CO108" i="23" s="1"/>
  <c r="CO123" i="23" s="1"/>
  <c r="CO138" i="23" s="1"/>
  <c r="O173" i="23"/>
  <c r="O190" i="23" s="1"/>
  <c r="O207" i="23" s="1"/>
  <c r="O223" i="23" s="1"/>
  <c r="O239" i="23" s="1"/>
  <c r="O279" i="23" s="1"/>
  <c r="N173" i="23"/>
  <c r="N190" i="23" s="1"/>
  <c r="N207" i="23" s="1"/>
  <c r="N223" i="23" s="1"/>
  <c r="N239" i="23" s="1"/>
  <c r="N279" i="23" s="1"/>
  <c r="AE156" i="23"/>
  <c r="AE173" i="23" s="1"/>
  <c r="AE190" i="23" s="1"/>
  <c r="AE207" i="23" s="1"/>
  <c r="AE223" i="23" s="1"/>
  <c r="AE239" i="23" s="1"/>
  <c r="AD156" i="23"/>
  <c r="AD173" i="23" s="1"/>
  <c r="AD190" i="23" s="1"/>
  <c r="AD207" i="23" s="1"/>
  <c r="AD223" i="23" s="1"/>
  <c r="AD239" i="23" s="1"/>
  <c r="AY3" i="23"/>
  <c r="AY18" i="23" s="1"/>
  <c r="AY33" i="23" s="1"/>
  <c r="AY48" i="23" s="1"/>
  <c r="AY63" i="23" s="1"/>
  <c r="AY78" i="23" s="1"/>
  <c r="AY93" i="23" s="1"/>
  <c r="AY108" i="23" s="1"/>
  <c r="AY123" i="23" s="1"/>
  <c r="AY138" i="23" s="1"/>
  <c r="AB156" i="23"/>
  <c r="AB173" i="23" s="1"/>
  <c r="AB190" i="23" s="1"/>
  <c r="AB207" i="23" s="1"/>
  <c r="AB223" i="23" s="1"/>
  <c r="AB239" i="23" s="1"/>
  <c r="AA156" i="23"/>
  <c r="AA173" i="23" s="1"/>
  <c r="AA190" i="23" s="1"/>
  <c r="AA207" i="23" s="1"/>
  <c r="AA223" i="23" s="1"/>
  <c r="AA239" i="23" s="1"/>
  <c r="H173" i="23"/>
  <c r="H190" i="23" s="1"/>
  <c r="H207" i="23" s="1"/>
  <c r="H223" i="23" s="1"/>
  <c r="H239" i="23" s="1"/>
  <c r="H279" i="23" s="1"/>
  <c r="G173" i="23"/>
  <c r="G190" i="23" s="1"/>
  <c r="G207" i="23" s="1"/>
  <c r="G223" i="23" s="1"/>
  <c r="G239" i="23" s="1"/>
  <c r="G279" i="23" s="1"/>
  <c r="F173" i="23"/>
  <c r="F190" i="23" s="1"/>
  <c r="F207" i="23" s="1"/>
  <c r="F223" i="23" s="1"/>
  <c r="F239" i="23" s="1"/>
  <c r="F279" i="23" s="1"/>
  <c r="BW151" i="23"/>
  <c r="BY151" i="23" s="1"/>
  <c r="BQ151" i="23"/>
  <c r="BS151" i="23" s="1"/>
  <c r="BK151" i="23"/>
  <c r="BM151" i="23" s="1"/>
  <c r="BE151" i="23"/>
  <c r="BG151" i="23" s="1"/>
  <c r="AY151" i="23"/>
  <c r="BA151" i="23" s="1"/>
  <c r="AS151" i="23"/>
  <c r="AU151" i="23" s="1"/>
  <c r="AM151" i="23"/>
  <c r="AO151" i="23" s="1"/>
  <c r="AI151" i="23"/>
  <c r="AA151" i="23"/>
  <c r="AC151" i="23" s="1"/>
  <c r="U151" i="23"/>
  <c r="W151" i="23" s="1"/>
  <c r="BW150" i="23"/>
  <c r="BY150" i="23" s="1"/>
  <c r="BQ150" i="23"/>
  <c r="BS150" i="23" s="1"/>
  <c r="BK150" i="23"/>
  <c r="BM150" i="23" s="1"/>
  <c r="BE150" i="23"/>
  <c r="BG150" i="23" s="1"/>
  <c r="AY150" i="23"/>
  <c r="BA150" i="23" s="1"/>
  <c r="AS150" i="23"/>
  <c r="AU150" i="23" s="1"/>
  <c r="AM150" i="23"/>
  <c r="AO150" i="23" s="1"/>
  <c r="AI150" i="23"/>
  <c r="AA150" i="23"/>
  <c r="AC150" i="23" s="1"/>
  <c r="U150" i="23"/>
  <c r="W150" i="23" s="1"/>
  <c r="BW149" i="23"/>
  <c r="BY149" i="23" s="1"/>
  <c r="BQ149" i="23"/>
  <c r="BS149" i="23" s="1"/>
  <c r="BK149" i="23"/>
  <c r="BM149" i="23" s="1"/>
  <c r="BE149" i="23"/>
  <c r="BG149" i="23" s="1"/>
  <c r="AY149" i="23"/>
  <c r="BA149" i="23" s="1"/>
  <c r="AS149" i="23"/>
  <c r="AU149" i="23" s="1"/>
  <c r="AM149" i="23"/>
  <c r="AO149" i="23" s="1"/>
  <c r="AI149" i="23"/>
  <c r="AA149" i="23"/>
  <c r="AC149" i="23" s="1"/>
  <c r="U149" i="23"/>
  <c r="W149" i="23" s="1"/>
  <c r="BW148" i="23"/>
  <c r="BY148" i="23" s="1"/>
  <c r="BQ148" i="23"/>
  <c r="BS148" i="23" s="1"/>
  <c r="BK148" i="23"/>
  <c r="BM148" i="23" s="1"/>
  <c r="BE148" i="23"/>
  <c r="BG148" i="23" s="1"/>
  <c r="AY148" i="23"/>
  <c r="BA148" i="23" s="1"/>
  <c r="AS148" i="23"/>
  <c r="AU148" i="23" s="1"/>
  <c r="AM148" i="23"/>
  <c r="AO148" i="23" s="1"/>
  <c r="AI148" i="23"/>
  <c r="AA148" i="23"/>
  <c r="AC148" i="23" s="1"/>
  <c r="U148" i="23"/>
  <c r="W148" i="23" s="1"/>
  <c r="BW147" i="23"/>
  <c r="BY147" i="23" s="1"/>
  <c r="BQ147" i="23"/>
  <c r="BS147" i="23" s="1"/>
  <c r="BK147" i="23"/>
  <c r="BM147" i="23" s="1"/>
  <c r="BE147" i="23"/>
  <c r="BG147" i="23" s="1"/>
  <c r="AY147" i="23"/>
  <c r="BA147" i="23" s="1"/>
  <c r="AS147" i="23"/>
  <c r="AU147" i="23" s="1"/>
  <c r="AM147" i="23"/>
  <c r="AO147" i="23" s="1"/>
  <c r="AI147" i="23"/>
  <c r="AA147" i="23"/>
  <c r="AC147" i="23" s="1"/>
  <c r="U147" i="23"/>
  <c r="W147" i="23" s="1"/>
  <c r="BW146" i="23"/>
  <c r="BY146" i="23" s="1"/>
  <c r="BQ146" i="23"/>
  <c r="BS146" i="23" s="1"/>
  <c r="BK146" i="23"/>
  <c r="BM146" i="23" s="1"/>
  <c r="BE146" i="23"/>
  <c r="BG146" i="23" s="1"/>
  <c r="AY146" i="23"/>
  <c r="BA146" i="23" s="1"/>
  <c r="AS146" i="23"/>
  <c r="AU146" i="23" s="1"/>
  <c r="AM146" i="23"/>
  <c r="AO146" i="23" s="1"/>
  <c r="AI146" i="23"/>
  <c r="AA146" i="23"/>
  <c r="AC146" i="23" s="1"/>
  <c r="U146" i="23"/>
  <c r="W146" i="23" s="1"/>
  <c r="BW145" i="23"/>
  <c r="BY145" i="23" s="1"/>
  <c r="BQ145" i="23"/>
  <c r="BS145" i="23" s="1"/>
  <c r="BK145" i="23"/>
  <c r="BM145" i="23" s="1"/>
  <c r="BE145" i="23"/>
  <c r="BG145" i="23" s="1"/>
  <c r="AY145" i="23"/>
  <c r="BA145" i="23" s="1"/>
  <c r="AS145" i="23"/>
  <c r="AU145" i="23" s="1"/>
  <c r="AM145" i="23"/>
  <c r="AO145" i="23" s="1"/>
  <c r="AI145" i="23"/>
  <c r="AA145" i="23"/>
  <c r="AC145" i="23" s="1"/>
  <c r="U145" i="23"/>
  <c r="W145" i="23" s="1"/>
  <c r="BW144" i="23"/>
  <c r="BY144" i="23" s="1"/>
  <c r="BQ144" i="23"/>
  <c r="BS144" i="23" s="1"/>
  <c r="BK144" i="23"/>
  <c r="BM144" i="23" s="1"/>
  <c r="BE144" i="23"/>
  <c r="BG144" i="23" s="1"/>
  <c r="AY144" i="23"/>
  <c r="BA144" i="23" s="1"/>
  <c r="AS144" i="23"/>
  <c r="AU144" i="23" s="1"/>
  <c r="AM144" i="23"/>
  <c r="AO144" i="23" s="1"/>
  <c r="AI144" i="23"/>
  <c r="AA144" i="23"/>
  <c r="AC144" i="23" s="1"/>
  <c r="U144" i="23"/>
  <c r="W144" i="23" s="1"/>
  <c r="BW143" i="23"/>
  <c r="BY143" i="23" s="1"/>
  <c r="BQ143" i="23"/>
  <c r="BS143" i="23" s="1"/>
  <c r="BK143" i="23"/>
  <c r="BM143" i="23" s="1"/>
  <c r="BE143" i="23"/>
  <c r="BG143" i="23" s="1"/>
  <c r="AY143" i="23"/>
  <c r="BA143" i="23" s="1"/>
  <c r="AS143" i="23"/>
  <c r="AU143" i="23" s="1"/>
  <c r="AM143" i="23"/>
  <c r="AO143" i="23" s="1"/>
  <c r="AI143" i="23"/>
  <c r="AA143" i="23"/>
  <c r="AC143" i="23" s="1"/>
  <c r="U143" i="23"/>
  <c r="W143" i="23" s="1"/>
  <c r="BW142" i="23"/>
  <c r="BY142" i="23" s="1"/>
  <c r="BQ142" i="23"/>
  <c r="BS142" i="23" s="1"/>
  <c r="BK142" i="23"/>
  <c r="BM142" i="23" s="1"/>
  <c r="BE142" i="23"/>
  <c r="BG142" i="23" s="1"/>
  <c r="AY142" i="23"/>
  <c r="BA142" i="23" s="1"/>
  <c r="AS142" i="23"/>
  <c r="AU142" i="23" s="1"/>
  <c r="AM142" i="23"/>
  <c r="AO142" i="23" s="1"/>
  <c r="AI142" i="23"/>
  <c r="AA142" i="23"/>
  <c r="AC142" i="23" s="1"/>
  <c r="U142" i="23"/>
  <c r="W142" i="23" s="1"/>
  <c r="BW141" i="23"/>
  <c r="BY141" i="23" s="1"/>
  <c r="BQ141" i="23"/>
  <c r="BS141" i="23" s="1"/>
  <c r="BK141" i="23"/>
  <c r="BM141" i="23" s="1"/>
  <c r="BE141" i="23"/>
  <c r="BG141" i="23" s="1"/>
  <c r="AY141" i="23"/>
  <c r="BA141" i="23" s="1"/>
  <c r="AS141" i="23"/>
  <c r="AU141" i="23" s="1"/>
  <c r="AM141" i="23"/>
  <c r="AO141" i="23" s="1"/>
  <c r="AI141" i="23"/>
  <c r="AA141" i="23"/>
  <c r="AC141" i="23" s="1"/>
  <c r="U141" i="23"/>
  <c r="W141" i="23" s="1"/>
  <c r="BW140" i="23"/>
  <c r="BY140" i="23" s="1"/>
  <c r="BQ140" i="23"/>
  <c r="BS140" i="23" s="1"/>
  <c r="BK140" i="23"/>
  <c r="BM140" i="23" s="1"/>
  <c r="BE140" i="23"/>
  <c r="BG140" i="23" s="1"/>
  <c r="AY140" i="23"/>
  <c r="BA140" i="23" s="1"/>
  <c r="AS140" i="23"/>
  <c r="AU140" i="23" s="1"/>
  <c r="AM140" i="23"/>
  <c r="AO140" i="23" s="1"/>
  <c r="AA140" i="23"/>
  <c r="AC140" i="23" s="1"/>
  <c r="U140" i="23"/>
  <c r="W140" i="23" s="1"/>
  <c r="H138" i="23"/>
  <c r="N138" i="23" s="1"/>
  <c r="T138" i="23" s="1"/>
  <c r="Z138" i="23" s="1"/>
  <c r="AF138" i="23" s="1"/>
  <c r="AL138" i="23" s="1"/>
  <c r="AR138" i="23" s="1"/>
  <c r="AX138" i="23" s="1"/>
  <c r="BD138" i="23" s="1"/>
  <c r="BJ138" i="23" s="1"/>
  <c r="BP138" i="23" s="1"/>
  <c r="BV138" i="23" s="1"/>
  <c r="CB138" i="23" s="1"/>
  <c r="CH138" i="23" s="1"/>
  <c r="CN138" i="23" s="1"/>
  <c r="BW136" i="23"/>
  <c r="BY136" i="23" s="1"/>
  <c r="BQ136" i="23"/>
  <c r="BS136" i="23" s="1"/>
  <c r="BK136" i="23"/>
  <c r="BM136" i="23" s="1"/>
  <c r="BE136" i="23"/>
  <c r="BG136" i="23" s="1"/>
  <c r="AY136" i="23"/>
  <c r="BA136" i="23" s="1"/>
  <c r="AS136" i="23"/>
  <c r="AU136" i="23" s="1"/>
  <c r="AM136" i="23"/>
  <c r="AO136" i="23" s="1"/>
  <c r="AI136" i="23"/>
  <c r="AA136" i="23"/>
  <c r="AC136" i="23" s="1"/>
  <c r="U136" i="23"/>
  <c r="W136" i="23" s="1"/>
  <c r="P136" i="23"/>
  <c r="Q136" i="23" s="1"/>
  <c r="BW135" i="23"/>
  <c r="BY135" i="23" s="1"/>
  <c r="BQ135" i="23"/>
  <c r="BS135" i="23" s="1"/>
  <c r="BK135" i="23"/>
  <c r="BM135" i="23" s="1"/>
  <c r="BE135" i="23"/>
  <c r="BG135" i="23" s="1"/>
  <c r="AY135" i="23"/>
  <c r="BA135" i="23" s="1"/>
  <c r="AS135" i="23"/>
  <c r="AU135" i="23" s="1"/>
  <c r="AM135" i="23"/>
  <c r="AO135" i="23" s="1"/>
  <c r="AI135" i="23"/>
  <c r="AA135" i="23"/>
  <c r="AC135" i="23" s="1"/>
  <c r="U135" i="23"/>
  <c r="W135" i="23" s="1"/>
  <c r="P135" i="23"/>
  <c r="Q135" i="23" s="1"/>
  <c r="BW134" i="23"/>
  <c r="BY134" i="23" s="1"/>
  <c r="BQ134" i="23"/>
  <c r="BS134" i="23" s="1"/>
  <c r="BK134" i="23"/>
  <c r="BM134" i="23" s="1"/>
  <c r="BE134" i="23"/>
  <c r="BG134" i="23" s="1"/>
  <c r="AY134" i="23"/>
  <c r="BA134" i="23" s="1"/>
  <c r="AS134" i="23"/>
  <c r="AU134" i="23" s="1"/>
  <c r="AM134" i="23"/>
  <c r="AO134" i="23" s="1"/>
  <c r="AI134" i="23"/>
  <c r="AA134" i="23"/>
  <c r="AC134" i="23" s="1"/>
  <c r="U134" i="23"/>
  <c r="W134" i="23" s="1"/>
  <c r="P134" i="23"/>
  <c r="Q134" i="23" s="1"/>
  <c r="BW133" i="23"/>
  <c r="BY133" i="23" s="1"/>
  <c r="BQ133" i="23"/>
  <c r="BS133" i="23" s="1"/>
  <c r="BK133" i="23"/>
  <c r="BM133" i="23" s="1"/>
  <c r="BE133" i="23"/>
  <c r="BG133" i="23" s="1"/>
  <c r="AY133" i="23"/>
  <c r="BA133" i="23" s="1"/>
  <c r="AS133" i="23"/>
  <c r="AU133" i="23" s="1"/>
  <c r="AM133" i="23"/>
  <c r="AO133" i="23" s="1"/>
  <c r="AI133" i="23"/>
  <c r="AA133" i="23"/>
  <c r="AC133" i="23" s="1"/>
  <c r="U133" i="23"/>
  <c r="W133" i="23" s="1"/>
  <c r="P133" i="23"/>
  <c r="Q133" i="23" s="1"/>
  <c r="BW132" i="23"/>
  <c r="BY132" i="23" s="1"/>
  <c r="BQ132" i="23"/>
  <c r="BS132" i="23" s="1"/>
  <c r="BK132" i="23"/>
  <c r="BM132" i="23" s="1"/>
  <c r="BE132" i="23"/>
  <c r="BG132" i="23" s="1"/>
  <c r="AY132" i="23"/>
  <c r="BA132" i="23" s="1"/>
  <c r="AS132" i="23"/>
  <c r="AU132" i="23" s="1"/>
  <c r="AM132" i="23"/>
  <c r="AO132" i="23" s="1"/>
  <c r="AI132" i="23"/>
  <c r="AA132" i="23"/>
  <c r="AC132" i="23" s="1"/>
  <c r="U132" i="23"/>
  <c r="W132" i="23" s="1"/>
  <c r="P132" i="23"/>
  <c r="Q132" i="23" s="1"/>
  <c r="BW131" i="23"/>
  <c r="BY131" i="23" s="1"/>
  <c r="BQ131" i="23"/>
  <c r="BS131" i="23" s="1"/>
  <c r="BK131" i="23"/>
  <c r="BM131" i="23" s="1"/>
  <c r="BE131" i="23"/>
  <c r="BG131" i="23" s="1"/>
  <c r="AY131" i="23"/>
  <c r="BA131" i="23" s="1"/>
  <c r="AS131" i="23"/>
  <c r="AU131" i="23" s="1"/>
  <c r="AM131" i="23"/>
  <c r="AO131" i="23" s="1"/>
  <c r="AI131" i="23"/>
  <c r="AA131" i="23"/>
  <c r="AC131" i="23" s="1"/>
  <c r="U131" i="23"/>
  <c r="W131" i="23" s="1"/>
  <c r="P131" i="23"/>
  <c r="Q131" i="23" s="1"/>
  <c r="BW130" i="23"/>
  <c r="BY130" i="23" s="1"/>
  <c r="BQ130" i="23"/>
  <c r="BS130" i="23" s="1"/>
  <c r="BK130" i="23"/>
  <c r="BM130" i="23" s="1"/>
  <c r="BE130" i="23"/>
  <c r="BG130" i="23" s="1"/>
  <c r="AY130" i="23"/>
  <c r="BA130" i="23" s="1"/>
  <c r="AS130" i="23"/>
  <c r="AU130" i="23" s="1"/>
  <c r="AM130" i="23"/>
  <c r="AO130" i="23" s="1"/>
  <c r="AI130" i="23"/>
  <c r="AA130" i="23"/>
  <c r="AC130" i="23" s="1"/>
  <c r="U130" i="23"/>
  <c r="W130" i="23" s="1"/>
  <c r="P130" i="23"/>
  <c r="Q130" i="23" s="1"/>
  <c r="BW129" i="23"/>
  <c r="BY129" i="23" s="1"/>
  <c r="BQ129" i="23"/>
  <c r="BS129" i="23" s="1"/>
  <c r="BK129" i="23"/>
  <c r="BM129" i="23" s="1"/>
  <c r="BE129" i="23"/>
  <c r="BG129" i="23" s="1"/>
  <c r="AY129" i="23"/>
  <c r="BA129" i="23" s="1"/>
  <c r="AS129" i="23"/>
  <c r="AU129" i="23" s="1"/>
  <c r="AM129" i="23"/>
  <c r="AO129" i="23" s="1"/>
  <c r="AI129" i="23"/>
  <c r="AA129" i="23"/>
  <c r="AC129" i="23" s="1"/>
  <c r="U129" i="23"/>
  <c r="W129" i="23" s="1"/>
  <c r="P129" i="23"/>
  <c r="Q129" i="23" s="1"/>
  <c r="BW128" i="23"/>
  <c r="BY128" i="23" s="1"/>
  <c r="BQ128" i="23"/>
  <c r="BS128" i="23" s="1"/>
  <c r="BK128" i="23"/>
  <c r="BM128" i="23" s="1"/>
  <c r="BE128" i="23"/>
  <c r="BG128" i="23" s="1"/>
  <c r="AY128" i="23"/>
  <c r="BA128" i="23" s="1"/>
  <c r="AS128" i="23"/>
  <c r="AU128" i="23" s="1"/>
  <c r="AM128" i="23"/>
  <c r="AO128" i="23" s="1"/>
  <c r="AI128" i="23"/>
  <c r="AA128" i="23"/>
  <c r="AC128" i="23" s="1"/>
  <c r="U128" i="23"/>
  <c r="W128" i="23" s="1"/>
  <c r="P128" i="23"/>
  <c r="Q128" i="23" s="1"/>
  <c r="BW127" i="23"/>
  <c r="BY127" i="23" s="1"/>
  <c r="BQ127" i="23"/>
  <c r="BS127" i="23" s="1"/>
  <c r="BK127" i="23"/>
  <c r="BM127" i="23" s="1"/>
  <c r="BE127" i="23"/>
  <c r="BG127" i="23" s="1"/>
  <c r="AY127" i="23"/>
  <c r="BA127" i="23" s="1"/>
  <c r="AS127" i="23"/>
  <c r="AU127" i="23" s="1"/>
  <c r="AM127" i="23"/>
  <c r="AO127" i="23" s="1"/>
  <c r="AI127" i="23"/>
  <c r="AA127" i="23"/>
  <c r="AC127" i="23" s="1"/>
  <c r="U127" i="23"/>
  <c r="W127" i="23" s="1"/>
  <c r="P127" i="23"/>
  <c r="Q127" i="23" s="1"/>
  <c r="BW126" i="23"/>
  <c r="BY126" i="23" s="1"/>
  <c r="BQ126" i="23"/>
  <c r="BS126" i="23" s="1"/>
  <c r="BK126" i="23"/>
  <c r="BM126" i="23" s="1"/>
  <c r="BE126" i="23"/>
  <c r="BG126" i="23" s="1"/>
  <c r="AY126" i="23"/>
  <c r="BA126" i="23" s="1"/>
  <c r="AS126" i="23"/>
  <c r="AU126" i="23" s="1"/>
  <c r="AM126" i="23"/>
  <c r="AO126" i="23" s="1"/>
  <c r="AI126" i="23"/>
  <c r="AA126" i="23"/>
  <c r="AC126" i="23" s="1"/>
  <c r="U126" i="23"/>
  <c r="W126" i="23" s="1"/>
  <c r="P126" i="23"/>
  <c r="Q126" i="23" s="1"/>
  <c r="BW125" i="23"/>
  <c r="BY125" i="23" s="1"/>
  <c r="BQ125" i="23"/>
  <c r="BS125" i="23" s="1"/>
  <c r="BK125" i="23"/>
  <c r="BM125" i="23" s="1"/>
  <c r="BE125" i="23"/>
  <c r="BG125" i="23" s="1"/>
  <c r="AY125" i="23"/>
  <c r="BA125" i="23" s="1"/>
  <c r="AS125" i="23"/>
  <c r="AU125" i="23" s="1"/>
  <c r="AM125" i="23"/>
  <c r="AO125" i="23" s="1"/>
  <c r="AA125" i="23"/>
  <c r="AC125" i="23" s="1"/>
  <c r="U125" i="23"/>
  <c r="W125" i="23" s="1"/>
  <c r="P125" i="23"/>
  <c r="Q125" i="23" s="1"/>
  <c r="H123" i="23"/>
  <c r="N123" i="23" s="1"/>
  <c r="T123" i="23" s="1"/>
  <c r="Z123" i="23" s="1"/>
  <c r="AF123" i="23" s="1"/>
  <c r="AL123" i="23" s="1"/>
  <c r="AR123" i="23" s="1"/>
  <c r="AX123" i="23" s="1"/>
  <c r="BD123" i="23" s="1"/>
  <c r="BJ123" i="23" s="1"/>
  <c r="BP123" i="23" s="1"/>
  <c r="BV123" i="23" s="1"/>
  <c r="CB123" i="23" s="1"/>
  <c r="CH123" i="23" s="1"/>
  <c r="CN123" i="23" s="1"/>
  <c r="BW121" i="23"/>
  <c r="BY121" i="23" s="1"/>
  <c r="BQ121" i="23"/>
  <c r="BS121" i="23" s="1"/>
  <c r="BK121" i="23"/>
  <c r="BM121" i="23" s="1"/>
  <c r="BE121" i="23"/>
  <c r="BG121" i="23" s="1"/>
  <c r="AY121" i="23"/>
  <c r="BA121" i="23" s="1"/>
  <c r="AS121" i="23"/>
  <c r="AU121" i="23" s="1"/>
  <c r="AM121" i="23"/>
  <c r="AO121" i="23" s="1"/>
  <c r="AG121" i="23"/>
  <c r="AI121" i="23" s="1"/>
  <c r="AA121" i="23"/>
  <c r="AC121" i="23" s="1"/>
  <c r="U121" i="23"/>
  <c r="W121" i="23" s="1"/>
  <c r="P121" i="23"/>
  <c r="Q121" i="23" s="1"/>
  <c r="J121" i="23"/>
  <c r="K121" i="23" s="1"/>
  <c r="D121" i="23"/>
  <c r="E121" i="23" s="1"/>
  <c r="BW120" i="23"/>
  <c r="BY120" i="23" s="1"/>
  <c r="BQ120" i="23"/>
  <c r="BS120" i="23" s="1"/>
  <c r="BK120" i="23"/>
  <c r="BM120" i="23" s="1"/>
  <c r="BE120" i="23"/>
  <c r="BG120" i="23" s="1"/>
  <c r="AY120" i="23"/>
  <c r="BA120" i="23" s="1"/>
  <c r="AS120" i="23"/>
  <c r="AU120" i="23" s="1"/>
  <c r="AM120" i="23"/>
  <c r="AO120" i="23" s="1"/>
  <c r="AG120" i="23"/>
  <c r="AI120" i="23" s="1"/>
  <c r="AA120" i="23"/>
  <c r="AC120" i="23" s="1"/>
  <c r="U120" i="23"/>
  <c r="W120" i="23" s="1"/>
  <c r="P120" i="23"/>
  <c r="Q120" i="23" s="1"/>
  <c r="J120" i="23"/>
  <c r="K120" i="23" s="1"/>
  <c r="D120" i="23"/>
  <c r="E120" i="23" s="1"/>
  <c r="BW119" i="23"/>
  <c r="BY119" i="23" s="1"/>
  <c r="BQ119" i="23"/>
  <c r="BS119" i="23" s="1"/>
  <c r="BK119" i="23"/>
  <c r="BM119" i="23" s="1"/>
  <c r="BE119" i="23"/>
  <c r="BG119" i="23" s="1"/>
  <c r="AY119" i="23"/>
  <c r="BA119" i="23" s="1"/>
  <c r="AS119" i="23"/>
  <c r="AU119" i="23" s="1"/>
  <c r="AM119" i="23"/>
  <c r="AO119" i="23" s="1"/>
  <c r="AG119" i="23"/>
  <c r="AI119" i="23" s="1"/>
  <c r="AA119" i="23"/>
  <c r="AC119" i="23" s="1"/>
  <c r="U119" i="23"/>
  <c r="W119" i="23" s="1"/>
  <c r="P119" i="23"/>
  <c r="Q119" i="23" s="1"/>
  <c r="J119" i="23"/>
  <c r="K119" i="23" s="1"/>
  <c r="D119" i="23"/>
  <c r="E119" i="23" s="1"/>
  <c r="BW118" i="23"/>
  <c r="BY118" i="23" s="1"/>
  <c r="BQ118" i="23"/>
  <c r="BS118" i="23" s="1"/>
  <c r="BK118" i="23"/>
  <c r="BM118" i="23" s="1"/>
  <c r="BE118" i="23"/>
  <c r="BG118" i="23" s="1"/>
  <c r="AY118" i="23"/>
  <c r="BA118" i="23" s="1"/>
  <c r="AS118" i="23"/>
  <c r="AU118" i="23" s="1"/>
  <c r="AM118" i="23"/>
  <c r="AO118" i="23" s="1"/>
  <c r="AG118" i="23"/>
  <c r="AI118" i="23" s="1"/>
  <c r="AA118" i="23"/>
  <c r="AC118" i="23" s="1"/>
  <c r="U118" i="23"/>
  <c r="W118" i="23" s="1"/>
  <c r="P118" i="23"/>
  <c r="Q118" i="23" s="1"/>
  <c r="J118" i="23"/>
  <c r="K118" i="23" s="1"/>
  <c r="D118" i="23"/>
  <c r="E118" i="23" s="1"/>
  <c r="BW117" i="23"/>
  <c r="BY117" i="23" s="1"/>
  <c r="BQ117" i="23"/>
  <c r="BS117" i="23" s="1"/>
  <c r="BK117" i="23"/>
  <c r="BM117" i="23" s="1"/>
  <c r="BE117" i="23"/>
  <c r="BG117" i="23" s="1"/>
  <c r="AY117" i="23"/>
  <c r="BA117" i="23" s="1"/>
  <c r="AS117" i="23"/>
  <c r="AU117" i="23" s="1"/>
  <c r="AM117" i="23"/>
  <c r="AO117" i="23" s="1"/>
  <c r="AG117" i="23"/>
  <c r="AI117" i="23" s="1"/>
  <c r="AA117" i="23"/>
  <c r="AC117" i="23" s="1"/>
  <c r="U117" i="23"/>
  <c r="W117" i="23" s="1"/>
  <c r="P117" i="23"/>
  <c r="Q117" i="23" s="1"/>
  <c r="J117" i="23"/>
  <c r="K117" i="23" s="1"/>
  <c r="D117" i="23"/>
  <c r="E117" i="23" s="1"/>
  <c r="BW116" i="23"/>
  <c r="BY116" i="23" s="1"/>
  <c r="BQ116" i="23"/>
  <c r="BS116" i="23" s="1"/>
  <c r="BK116" i="23"/>
  <c r="BM116" i="23" s="1"/>
  <c r="BE116" i="23"/>
  <c r="BG116" i="23" s="1"/>
  <c r="AY116" i="23"/>
  <c r="BA116" i="23" s="1"/>
  <c r="AS116" i="23"/>
  <c r="AU116" i="23" s="1"/>
  <c r="AM116" i="23"/>
  <c r="AO116" i="23" s="1"/>
  <c r="AG116" i="23"/>
  <c r="AI116" i="23" s="1"/>
  <c r="AA116" i="23"/>
  <c r="AC116" i="23" s="1"/>
  <c r="U116" i="23"/>
  <c r="W116" i="23" s="1"/>
  <c r="P116" i="23"/>
  <c r="Q116" i="23" s="1"/>
  <c r="J116" i="23"/>
  <c r="K116" i="23" s="1"/>
  <c r="D116" i="23"/>
  <c r="E116" i="23" s="1"/>
  <c r="BW115" i="23"/>
  <c r="BY115" i="23" s="1"/>
  <c r="BQ115" i="23"/>
  <c r="BS115" i="23" s="1"/>
  <c r="BK115" i="23"/>
  <c r="BM115" i="23" s="1"/>
  <c r="BE115" i="23"/>
  <c r="BG115" i="23" s="1"/>
  <c r="AY115" i="23"/>
  <c r="BA115" i="23" s="1"/>
  <c r="AS115" i="23"/>
  <c r="AU115" i="23" s="1"/>
  <c r="AM115" i="23"/>
  <c r="AO115" i="23" s="1"/>
  <c r="AG115" i="23"/>
  <c r="AI115" i="23" s="1"/>
  <c r="AA115" i="23"/>
  <c r="AC115" i="23" s="1"/>
  <c r="U115" i="23"/>
  <c r="W115" i="23" s="1"/>
  <c r="P115" i="23"/>
  <c r="Q115" i="23" s="1"/>
  <c r="J115" i="23"/>
  <c r="K115" i="23" s="1"/>
  <c r="D115" i="23"/>
  <c r="E115" i="23" s="1"/>
  <c r="BW114" i="23"/>
  <c r="BY114" i="23" s="1"/>
  <c r="BQ114" i="23"/>
  <c r="BS114" i="23" s="1"/>
  <c r="BK114" i="23"/>
  <c r="BM114" i="23" s="1"/>
  <c r="BE114" i="23"/>
  <c r="BG114" i="23" s="1"/>
  <c r="AY114" i="23"/>
  <c r="BA114" i="23" s="1"/>
  <c r="AS114" i="23"/>
  <c r="AU114" i="23" s="1"/>
  <c r="AM114" i="23"/>
  <c r="AO114" i="23" s="1"/>
  <c r="AG114" i="23"/>
  <c r="AI114" i="23" s="1"/>
  <c r="AA114" i="23"/>
  <c r="AC114" i="23" s="1"/>
  <c r="U114" i="23"/>
  <c r="W114" i="23" s="1"/>
  <c r="P114" i="23"/>
  <c r="Q114" i="23" s="1"/>
  <c r="J114" i="23"/>
  <c r="K114" i="23" s="1"/>
  <c r="D114" i="23"/>
  <c r="E114" i="23" s="1"/>
  <c r="BW113" i="23"/>
  <c r="BY113" i="23" s="1"/>
  <c r="BQ113" i="23"/>
  <c r="BS113" i="23" s="1"/>
  <c r="BK113" i="23"/>
  <c r="BM113" i="23" s="1"/>
  <c r="BE113" i="23"/>
  <c r="BG113" i="23" s="1"/>
  <c r="AY113" i="23"/>
  <c r="BA113" i="23" s="1"/>
  <c r="AS113" i="23"/>
  <c r="AU113" i="23" s="1"/>
  <c r="AM113" i="23"/>
  <c r="AO113" i="23" s="1"/>
  <c r="AG113" i="23"/>
  <c r="AI113" i="23" s="1"/>
  <c r="AA113" i="23"/>
  <c r="AC113" i="23" s="1"/>
  <c r="U113" i="23"/>
  <c r="W113" i="23" s="1"/>
  <c r="P113" i="23"/>
  <c r="Q113" i="23" s="1"/>
  <c r="J113" i="23"/>
  <c r="K113" i="23" s="1"/>
  <c r="D113" i="23"/>
  <c r="E113" i="23" s="1"/>
  <c r="BW112" i="23"/>
  <c r="BY112" i="23" s="1"/>
  <c r="BQ112" i="23"/>
  <c r="BS112" i="23" s="1"/>
  <c r="BK112" i="23"/>
  <c r="BM112" i="23" s="1"/>
  <c r="BE112" i="23"/>
  <c r="BG112" i="23" s="1"/>
  <c r="AY112" i="23"/>
  <c r="BA112" i="23" s="1"/>
  <c r="AS112" i="23"/>
  <c r="AU112" i="23" s="1"/>
  <c r="AM112" i="23"/>
  <c r="AO112" i="23" s="1"/>
  <c r="AG112" i="23"/>
  <c r="AI112" i="23" s="1"/>
  <c r="AA112" i="23"/>
  <c r="AC112" i="23" s="1"/>
  <c r="U112" i="23"/>
  <c r="W112" i="23" s="1"/>
  <c r="P112" i="23"/>
  <c r="Q112" i="23" s="1"/>
  <c r="J112" i="23"/>
  <c r="K112" i="23" s="1"/>
  <c r="D112" i="23"/>
  <c r="E112" i="23" s="1"/>
  <c r="BW111" i="23"/>
  <c r="BY111" i="23" s="1"/>
  <c r="BQ111" i="23"/>
  <c r="BS111" i="23" s="1"/>
  <c r="BK111" i="23"/>
  <c r="BM111" i="23" s="1"/>
  <c r="BE111" i="23"/>
  <c r="BG111" i="23" s="1"/>
  <c r="AY111" i="23"/>
  <c r="BA111" i="23" s="1"/>
  <c r="AS111" i="23"/>
  <c r="AU111" i="23" s="1"/>
  <c r="AM111" i="23"/>
  <c r="AO111" i="23" s="1"/>
  <c r="AG111" i="23"/>
  <c r="AI111" i="23" s="1"/>
  <c r="AA111" i="23"/>
  <c r="AC111" i="23" s="1"/>
  <c r="U111" i="23"/>
  <c r="W111" i="23" s="1"/>
  <c r="P111" i="23"/>
  <c r="Q111" i="23" s="1"/>
  <c r="J111" i="23"/>
  <c r="K111" i="23" s="1"/>
  <c r="D111" i="23"/>
  <c r="E111" i="23" s="1"/>
  <c r="BW110" i="23"/>
  <c r="BY110" i="23" s="1"/>
  <c r="BQ110" i="23"/>
  <c r="BS110" i="23" s="1"/>
  <c r="BK110" i="23"/>
  <c r="BM110" i="23" s="1"/>
  <c r="BE110" i="23"/>
  <c r="BG110" i="23" s="1"/>
  <c r="AY110" i="23"/>
  <c r="BA110" i="23" s="1"/>
  <c r="AS110" i="23"/>
  <c r="AU110" i="23" s="1"/>
  <c r="AM110" i="23"/>
  <c r="AO110" i="23" s="1"/>
  <c r="AG110" i="23"/>
  <c r="AI110" i="23" s="1"/>
  <c r="AA110" i="23"/>
  <c r="AC110" i="23" s="1"/>
  <c r="U110" i="23"/>
  <c r="W110" i="23" s="1"/>
  <c r="P110" i="23"/>
  <c r="Q110" i="23" s="1"/>
  <c r="J110" i="23"/>
  <c r="K110" i="23" s="1"/>
  <c r="D110" i="23"/>
  <c r="E110" i="23" s="1"/>
  <c r="P109" i="23"/>
  <c r="O109" i="23"/>
  <c r="BW106" i="23"/>
  <c r="BY106" i="23" s="1"/>
  <c r="BQ106" i="23"/>
  <c r="BS106" i="23" s="1"/>
  <c r="BK106" i="23"/>
  <c r="BM106" i="23" s="1"/>
  <c r="BE106" i="23"/>
  <c r="BG106" i="23" s="1"/>
  <c r="AY106" i="23"/>
  <c r="BA106" i="23" s="1"/>
  <c r="AS106" i="23"/>
  <c r="AU106" i="23" s="1"/>
  <c r="AM106" i="23"/>
  <c r="AO106" i="23" s="1"/>
  <c r="AG106" i="23"/>
  <c r="AI106" i="23" s="1"/>
  <c r="AA106" i="23"/>
  <c r="AC106" i="23" s="1"/>
  <c r="U106" i="23"/>
  <c r="W106" i="23" s="1"/>
  <c r="P106" i="23"/>
  <c r="Q106" i="23" s="1"/>
  <c r="J106" i="23"/>
  <c r="K106" i="23" s="1"/>
  <c r="D106" i="23"/>
  <c r="E106" i="23" s="1"/>
  <c r="BW105" i="23"/>
  <c r="BY105" i="23" s="1"/>
  <c r="BQ105" i="23"/>
  <c r="BS105" i="23" s="1"/>
  <c r="BK105" i="23"/>
  <c r="BM105" i="23" s="1"/>
  <c r="BE105" i="23"/>
  <c r="BG105" i="23" s="1"/>
  <c r="AY105" i="23"/>
  <c r="BA105" i="23" s="1"/>
  <c r="AS105" i="23"/>
  <c r="AU105" i="23" s="1"/>
  <c r="AM105" i="23"/>
  <c r="AO105" i="23" s="1"/>
  <c r="AG105" i="23"/>
  <c r="AI105" i="23" s="1"/>
  <c r="AA105" i="23"/>
  <c r="AC105" i="23" s="1"/>
  <c r="U105" i="23"/>
  <c r="W105" i="23" s="1"/>
  <c r="P105" i="23"/>
  <c r="Q105" i="23" s="1"/>
  <c r="J105" i="23"/>
  <c r="K105" i="23" s="1"/>
  <c r="D105" i="23"/>
  <c r="E105" i="23" s="1"/>
  <c r="BW104" i="23"/>
  <c r="BY104" i="23" s="1"/>
  <c r="BQ104" i="23"/>
  <c r="BS104" i="23" s="1"/>
  <c r="BK104" i="23"/>
  <c r="BM104" i="23" s="1"/>
  <c r="BE104" i="23"/>
  <c r="BG104" i="23" s="1"/>
  <c r="AY104" i="23"/>
  <c r="BA104" i="23" s="1"/>
  <c r="AS104" i="23"/>
  <c r="AU104" i="23" s="1"/>
  <c r="AM104" i="23"/>
  <c r="AO104" i="23" s="1"/>
  <c r="AG104" i="23"/>
  <c r="AI104" i="23" s="1"/>
  <c r="AA104" i="23"/>
  <c r="AC104" i="23" s="1"/>
  <c r="U104" i="23"/>
  <c r="W104" i="23" s="1"/>
  <c r="P104" i="23"/>
  <c r="Q104" i="23" s="1"/>
  <c r="J104" i="23"/>
  <c r="K104" i="23" s="1"/>
  <c r="D104" i="23"/>
  <c r="E104" i="23" s="1"/>
  <c r="BW103" i="23"/>
  <c r="BY103" i="23" s="1"/>
  <c r="BQ103" i="23"/>
  <c r="BS103" i="23" s="1"/>
  <c r="BK103" i="23"/>
  <c r="BM103" i="23" s="1"/>
  <c r="BE103" i="23"/>
  <c r="BG103" i="23" s="1"/>
  <c r="AY103" i="23"/>
  <c r="BA103" i="23" s="1"/>
  <c r="AS103" i="23"/>
  <c r="AU103" i="23" s="1"/>
  <c r="AM103" i="23"/>
  <c r="AO103" i="23" s="1"/>
  <c r="AG103" i="23"/>
  <c r="AI103" i="23" s="1"/>
  <c r="AA103" i="23"/>
  <c r="AC103" i="23" s="1"/>
  <c r="U103" i="23"/>
  <c r="W103" i="23" s="1"/>
  <c r="P103" i="23"/>
  <c r="Q103" i="23" s="1"/>
  <c r="J103" i="23"/>
  <c r="K103" i="23" s="1"/>
  <c r="D103" i="23"/>
  <c r="E103" i="23" s="1"/>
  <c r="BW102" i="23"/>
  <c r="BY102" i="23" s="1"/>
  <c r="BQ102" i="23"/>
  <c r="BS102" i="23" s="1"/>
  <c r="BK102" i="23"/>
  <c r="BM102" i="23" s="1"/>
  <c r="BE102" i="23"/>
  <c r="BG102" i="23" s="1"/>
  <c r="AY102" i="23"/>
  <c r="BA102" i="23" s="1"/>
  <c r="AS102" i="23"/>
  <c r="AU102" i="23" s="1"/>
  <c r="AM102" i="23"/>
  <c r="AO102" i="23" s="1"/>
  <c r="AG102" i="23"/>
  <c r="AI102" i="23" s="1"/>
  <c r="AA102" i="23"/>
  <c r="AC102" i="23" s="1"/>
  <c r="U102" i="23"/>
  <c r="W102" i="23" s="1"/>
  <c r="P102" i="23"/>
  <c r="Q102" i="23" s="1"/>
  <c r="J102" i="23"/>
  <c r="K102" i="23" s="1"/>
  <c r="D102" i="23"/>
  <c r="E102" i="23" s="1"/>
  <c r="BW101" i="23"/>
  <c r="BY101" i="23" s="1"/>
  <c r="BQ101" i="23"/>
  <c r="BS101" i="23" s="1"/>
  <c r="BK101" i="23"/>
  <c r="BM101" i="23" s="1"/>
  <c r="BE101" i="23"/>
  <c r="BG101" i="23" s="1"/>
  <c r="AY101" i="23"/>
  <c r="BA101" i="23" s="1"/>
  <c r="AS101" i="23"/>
  <c r="AU101" i="23" s="1"/>
  <c r="AM101" i="23"/>
  <c r="AO101" i="23" s="1"/>
  <c r="AG101" i="23"/>
  <c r="AI101" i="23" s="1"/>
  <c r="AA101" i="23"/>
  <c r="AC101" i="23" s="1"/>
  <c r="U101" i="23"/>
  <c r="W101" i="23" s="1"/>
  <c r="P101" i="23"/>
  <c r="Q101" i="23" s="1"/>
  <c r="J101" i="23"/>
  <c r="K101" i="23" s="1"/>
  <c r="D101" i="23"/>
  <c r="E101" i="23" s="1"/>
  <c r="BW100" i="23"/>
  <c r="BY100" i="23" s="1"/>
  <c r="BQ100" i="23"/>
  <c r="BS100" i="23" s="1"/>
  <c r="BK100" i="23"/>
  <c r="BM100" i="23" s="1"/>
  <c r="BE100" i="23"/>
  <c r="BG100" i="23" s="1"/>
  <c r="AY100" i="23"/>
  <c r="BA100" i="23" s="1"/>
  <c r="AS100" i="23"/>
  <c r="AU100" i="23" s="1"/>
  <c r="AM100" i="23"/>
  <c r="AO100" i="23" s="1"/>
  <c r="AG100" i="23"/>
  <c r="AI100" i="23" s="1"/>
  <c r="AA100" i="23"/>
  <c r="AC100" i="23" s="1"/>
  <c r="U100" i="23"/>
  <c r="W100" i="23" s="1"/>
  <c r="P100" i="23"/>
  <c r="Q100" i="23" s="1"/>
  <c r="J100" i="23"/>
  <c r="K100" i="23" s="1"/>
  <c r="D100" i="23"/>
  <c r="E100" i="23" s="1"/>
  <c r="BW99" i="23"/>
  <c r="BY99" i="23" s="1"/>
  <c r="BQ99" i="23"/>
  <c r="BS99" i="23" s="1"/>
  <c r="BK99" i="23"/>
  <c r="BM99" i="23" s="1"/>
  <c r="BE99" i="23"/>
  <c r="BG99" i="23" s="1"/>
  <c r="AY99" i="23"/>
  <c r="BA99" i="23" s="1"/>
  <c r="AS99" i="23"/>
  <c r="AU99" i="23" s="1"/>
  <c r="AM99" i="23"/>
  <c r="AO99" i="23" s="1"/>
  <c r="AG99" i="23"/>
  <c r="AI99" i="23" s="1"/>
  <c r="AA99" i="23"/>
  <c r="AC99" i="23" s="1"/>
  <c r="U99" i="23"/>
  <c r="W99" i="23" s="1"/>
  <c r="P99" i="23"/>
  <c r="Q99" i="23" s="1"/>
  <c r="J99" i="23"/>
  <c r="K99" i="23" s="1"/>
  <c r="D99" i="23"/>
  <c r="E99" i="23" s="1"/>
  <c r="BW98" i="23"/>
  <c r="BY98" i="23" s="1"/>
  <c r="BQ98" i="23"/>
  <c r="BS98" i="23" s="1"/>
  <c r="BK98" i="23"/>
  <c r="BM98" i="23" s="1"/>
  <c r="BE98" i="23"/>
  <c r="BG98" i="23" s="1"/>
  <c r="AY98" i="23"/>
  <c r="BA98" i="23" s="1"/>
  <c r="AS98" i="23"/>
  <c r="AU98" i="23" s="1"/>
  <c r="AM98" i="23"/>
  <c r="AO98" i="23" s="1"/>
  <c r="AG98" i="23"/>
  <c r="AI98" i="23" s="1"/>
  <c r="AA98" i="23"/>
  <c r="AC98" i="23" s="1"/>
  <c r="U98" i="23"/>
  <c r="W98" i="23" s="1"/>
  <c r="P98" i="23"/>
  <c r="Q98" i="23" s="1"/>
  <c r="J98" i="23"/>
  <c r="K98" i="23" s="1"/>
  <c r="D98" i="23"/>
  <c r="E98" i="23" s="1"/>
  <c r="BW97" i="23"/>
  <c r="BY97" i="23" s="1"/>
  <c r="BQ97" i="23"/>
  <c r="BS97" i="23" s="1"/>
  <c r="BK97" i="23"/>
  <c r="BM97" i="23" s="1"/>
  <c r="BE97" i="23"/>
  <c r="BG97" i="23" s="1"/>
  <c r="AY97" i="23"/>
  <c r="BA97" i="23" s="1"/>
  <c r="AS97" i="23"/>
  <c r="AU97" i="23" s="1"/>
  <c r="AM97" i="23"/>
  <c r="AO97" i="23" s="1"/>
  <c r="AG97" i="23"/>
  <c r="AI97" i="23" s="1"/>
  <c r="AA97" i="23"/>
  <c r="AC97" i="23" s="1"/>
  <c r="U97" i="23"/>
  <c r="W97" i="23" s="1"/>
  <c r="P97" i="23"/>
  <c r="Q97" i="23" s="1"/>
  <c r="J97" i="23"/>
  <c r="K97" i="23" s="1"/>
  <c r="D97" i="23"/>
  <c r="E97" i="23" s="1"/>
  <c r="BW96" i="23"/>
  <c r="BY96" i="23" s="1"/>
  <c r="BQ96" i="23"/>
  <c r="BS96" i="23" s="1"/>
  <c r="BK96" i="23"/>
  <c r="BM96" i="23" s="1"/>
  <c r="BE96" i="23"/>
  <c r="BG96" i="23" s="1"/>
  <c r="AY96" i="23"/>
  <c r="BA96" i="23" s="1"/>
  <c r="AS96" i="23"/>
  <c r="AU96" i="23" s="1"/>
  <c r="AM96" i="23"/>
  <c r="AO96" i="23" s="1"/>
  <c r="AG96" i="23"/>
  <c r="AI96" i="23" s="1"/>
  <c r="AA96" i="23"/>
  <c r="AC96" i="23" s="1"/>
  <c r="U96" i="23"/>
  <c r="W96" i="23" s="1"/>
  <c r="P96" i="23"/>
  <c r="Q96" i="23" s="1"/>
  <c r="J96" i="23"/>
  <c r="K96" i="23" s="1"/>
  <c r="D96" i="23"/>
  <c r="E96" i="23" s="1"/>
  <c r="BW95" i="23"/>
  <c r="BY95" i="23" s="1"/>
  <c r="BQ95" i="23"/>
  <c r="BS95" i="23" s="1"/>
  <c r="BK95" i="23"/>
  <c r="BM95" i="23" s="1"/>
  <c r="BE95" i="23"/>
  <c r="BG95" i="23" s="1"/>
  <c r="AY95" i="23"/>
  <c r="BA95" i="23" s="1"/>
  <c r="AS95" i="23"/>
  <c r="AU95" i="23" s="1"/>
  <c r="AM95" i="23"/>
  <c r="AO95" i="23" s="1"/>
  <c r="AG95" i="23"/>
  <c r="AI95" i="23" s="1"/>
  <c r="AA95" i="23"/>
  <c r="AC95" i="23" s="1"/>
  <c r="U95" i="23"/>
  <c r="W95" i="23" s="1"/>
  <c r="P95" i="23"/>
  <c r="Q95" i="23" s="1"/>
  <c r="J95" i="23"/>
  <c r="K95" i="23" s="1"/>
  <c r="D95" i="23"/>
  <c r="E95" i="23" s="1"/>
  <c r="P94" i="23"/>
  <c r="O94" i="23"/>
  <c r="BW91" i="23"/>
  <c r="BY91" i="23" s="1"/>
  <c r="BQ91" i="23"/>
  <c r="BS91" i="23" s="1"/>
  <c r="BK91" i="23"/>
  <c r="BM91" i="23" s="1"/>
  <c r="BE91" i="23"/>
  <c r="BG91" i="23" s="1"/>
  <c r="AY91" i="23"/>
  <c r="BA91" i="23" s="1"/>
  <c r="AS91" i="23"/>
  <c r="AU91" i="23" s="1"/>
  <c r="AM91" i="23"/>
  <c r="AO91" i="23" s="1"/>
  <c r="AG91" i="23"/>
  <c r="AI91" i="23" s="1"/>
  <c r="AA91" i="23"/>
  <c r="AC91" i="23" s="1"/>
  <c r="U91" i="23"/>
  <c r="W91" i="23" s="1"/>
  <c r="P91" i="23"/>
  <c r="Q91" i="23" s="1"/>
  <c r="J91" i="23"/>
  <c r="K91" i="23" s="1"/>
  <c r="D91" i="23"/>
  <c r="E91" i="23" s="1"/>
  <c r="BW90" i="23"/>
  <c r="BY90" i="23" s="1"/>
  <c r="BQ90" i="23"/>
  <c r="BS90" i="23" s="1"/>
  <c r="BK90" i="23"/>
  <c r="BM90" i="23" s="1"/>
  <c r="BE90" i="23"/>
  <c r="BG90" i="23" s="1"/>
  <c r="AY90" i="23"/>
  <c r="BA90" i="23" s="1"/>
  <c r="AS90" i="23"/>
  <c r="AU90" i="23" s="1"/>
  <c r="AM90" i="23"/>
  <c r="AO90" i="23" s="1"/>
  <c r="AG90" i="23"/>
  <c r="AI90" i="23" s="1"/>
  <c r="AA90" i="23"/>
  <c r="AC90" i="23" s="1"/>
  <c r="U90" i="23"/>
  <c r="W90" i="23" s="1"/>
  <c r="P90" i="23"/>
  <c r="Q90" i="23" s="1"/>
  <c r="J90" i="23"/>
  <c r="K90" i="23" s="1"/>
  <c r="D90" i="23"/>
  <c r="E90" i="23" s="1"/>
  <c r="BW89" i="23"/>
  <c r="BY89" i="23" s="1"/>
  <c r="BQ89" i="23"/>
  <c r="BS89" i="23" s="1"/>
  <c r="BK89" i="23"/>
  <c r="BM89" i="23" s="1"/>
  <c r="BE89" i="23"/>
  <c r="BG89" i="23" s="1"/>
  <c r="AY89" i="23"/>
  <c r="BA89" i="23" s="1"/>
  <c r="AS89" i="23"/>
  <c r="AU89" i="23" s="1"/>
  <c r="AM89" i="23"/>
  <c r="AO89" i="23" s="1"/>
  <c r="AG89" i="23"/>
  <c r="AI89" i="23" s="1"/>
  <c r="AA89" i="23"/>
  <c r="AC89" i="23" s="1"/>
  <c r="U89" i="23"/>
  <c r="W89" i="23" s="1"/>
  <c r="P89" i="23"/>
  <c r="Q89" i="23" s="1"/>
  <c r="J89" i="23"/>
  <c r="K89" i="23" s="1"/>
  <c r="D89" i="23"/>
  <c r="E89" i="23" s="1"/>
  <c r="BW88" i="23"/>
  <c r="BY88" i="23" s="1"/>
  <c r="BQ88" i="23"/>
  <c r="BS88" i="23" s="1"/>
  <c r="BK88" i="23"/>
  <c r="BM88" i="23" s="1"/>
  <c r="BE88" i="23"/>
  <c r="BG88" i="23" s="1"/>
  <c r="AY88" i="23"/>
  <c r="BA88" i="23" s="1"/>
  <c r="AS88" i="23"/>
  <c r="AU88" i="23" s="1"/>
  <c r="AM88" i="23"/>
  <c r="AO88" i="23" s="1"/>
  <c r="AG88" i="23"/>
  <c r="AI88" i="23" s="1"/>
  <c r="AA88" i="23"/>
  <c r="AC88" i="23" s="1"/>
  <c r="U88" i="23"/>
  <c r="W88" i="23" s="1"/>
  <c r="P88" i="23"/>
  <c r="Q88" i="23" s="1"/>
  <c r="J88" i="23"/>
  <c r="K88" i="23" s="1"/>
  <c r="D88" i="23"/>
  <c r="E88" i="23" s="1"/>
  <c r="BW87" i="23"/>
  <c r="BY87" i="23" s="1"/>
  <c r="BQ87" i="23"/>
  <c r="BS87" i="23" s="1"/>
  <c r="BK87" i="23"/>
  <c r="BM87" i="23" s="1"/>
  <c r="BE87" i="23"/>
  <c r="BG87" i="23" s="1"/>
  <c r="AY87" i="23"/>
  <c r="BA87" i="23" s="1"/>
  <c r="AS87" i="23"/>
  <c r="AU87" i="23" s="1"/>
  <c r="AM87" i="23"/>
  <c r="AO87" i="23" s="1"/>
  <c r="AG87" i="23"/>
  <c r="AI87" i="23" s="1"/>
  <c r="AA87" i="23"/>
  <c r="AC87" i="23" s="1"/>
  <c r="U87" i="23"/>
  <c r="W87" i="23" s="1"/>
  <c r="P87" i="23"/>
  <c r="Q87" i="23" s="1"/>
  <c r="J87" i="23"/>
  <c r="K87" i="23" s="1"/>
  <c r="D87" i="23"/>
  <c r="E87" i="23" s="1"/>
  <c r="BW86" i="23"/>
  <c r="BY86" i="23" s="1"/>
  <c r="BQ86" i="23"/>
  <c r="BS86" i="23" s="1"/>
  <c r="BK86" i="23"/>
  <c r="BM86" i="23" s="1"/>
  <c r="BE86" i="23"/>
  <c r="BG86" i="23" s="1"/>
  <c r="AY86" i="23"/>
  <c r="BA86" i="23" s="1"/>
  <c r="AS86" i="23"/>
  <c r="AU86" i="23" s="1"/>
  <c r="AM86" i="23"/>
  <c r="AO86" i="23" s="1"/>
  <c r="AG86" i="23"/>
  <c r="AI86" i="23" s="1"/>
  <c r="AA86" i="23"/>
  <c r="AC86" i="23" s="1"/>
  <c r="U86" i="23"/>
  <c r="W86" i="23" s="1"/>
  <c r="P86" i="23"/>
  <c r="Q86" i="23" s="1"/>
  <c r="J86" i="23"/>
  <c r="K86" i="23" s="1"/>
  <c r="D86" i="23"/>
  <c r="E86" i="23" s="1"/>
  <c r="BW85" i="23"/>
  <c r="BY85" i="23" s="1"/>
  <c r="BQ85" i="23"/>
  <c r="BS85" i="23" s="1"/>
  <c r="BK85" i="23"/>
  <c r="BM85" i="23" s="1"/>
  <c r="BE85" i="23"/>
  <c r="BG85" i="23" s="1"/>
  <c r="AY85" i="23"/>
  <c r="BA85" i="23" s="1"/>
  <c r="AS85" i="23"/>
  <c r="AU85" i="23" s="1"/>
  <c r="AM85" i="23"/>
  <c r="AO85" i="23" s="1"/>
  <c r="AG85" i="23"/>
  <c r="AI85" i="23" s="1"/>
  <c r="AA85" i="23"/>
  <c r="AC85" i="23" s="1"/>
  <c r="U85" i="23"/>
  <c r="W85" i="23" s="1"/>
  <c r="P85" i="23"/>
  <c r="Q85" i="23" s="1"/>
  <c r="J85" i="23"/>
  <c r="K85" i="23" s="1"/>
  <c r="D85" i="23"/>
  <c r="E85" i="23" s="1"/>
  <c r="BW84" i="23"/>
  <c r="BY84" i="23" s="1"/>
  <c r="BQ84" i="23"/>
  <c r="BS84" i="23" s="1"/>
  <c r="BK84" i="23"/>
  <c r="BM84" i="23" s="1"/>
  <c r="BE84" i="23"/>
  <c r="BG84" i="23" s="1"/>
  <c r="AY84" i="23"/>
  <c r="BA84" i="23" s="1"/>
  <c r="AS84" i="23"/>
  <c r="AU84" i="23" s="1"/>
  <c r="AM84" i="23"/>
  <c r="AO84" i="23" s="1"/>
  <c r="AG84" i="23"/>
  <c r="AI84" i="23" s="1"/>
  <c r="AA84" i="23"/>
  <c r="AC84" i="23" s="1"/>
  <c r="U84" i="23"/>
  <c r="W84" i="23" s="1"/>
  <c r="P84" i="23"/>
  <c r="Q84" i="23" s="1"/>
  <c r="J84" i="23"/>
  <c r="K84" i="23" s="1"/>
  <c r="D84" i="23"/>
  <c r="E84" i="23" s="1"/>
  <c r="BW83" i="23"/>
  <c r="BY83" i="23" s="1"/>
  <c r="BQ83" i="23"/>
  <c r="BS83" i="23" s="1"/>
  <c r="BK83" i="23"/>
  <c r="BM83" i="23" s="1"/>
  <c r="BE83" i="23"/>
  <c r="BG83" i="23" s="1"/>
  <c r="AY83" i="23"/>
  <c r="BA83" i="23" s="1"/>
  <c r="AS83" i="23"/>
  <c r="AU83" i="23" s="1"/>
  <c r="AM83" i="23"/>
  <c r="AO83" i="23" s="1"/>
  <c r="AG83" i="23"/>
  <c r="AI83" i="23" s="1"/>
  <c r="AA83" i="23"/>
  <c r="AC83" i="23" s="1"/>
  <c r="U83" i="23"/>
  <c r="W83" i="23" s="1"/>
  <c r="P83" i="23"/>
  <c r="Q83" i="23" s="1"/>
  <c r="J83" i="23"/>
  <c r="K83" i="23" s="1"/>
  <c r="D83" i="23"/>
  <c r="E83" i="23" s="1"/>
  <c r="BW82" i="23"/>
  <c r="BY82" i="23" s="1"/>
  <c r="BQ82" i="23"/>
  <c r="BS82" i="23" s="1"/>
  <c r="BK82" i="23"/>
  <c r="BM82" i="23" s="1"/>
  <c r="BE82" i="23"/>
  <c r="BG82" i="23" s="1"/>
  <c r="AY82" i="23"/>
  <c r="BA82" i="23" s="1"/>
  <c r="AS82" i="23"/>
  <c r="AU82" i="23" s="1"/>
  <c r="AM82" i="23"/>
  <c r="AO82" i="23" s="1"/>
  <c r="AG82" i="23"/>
  <c r="AI82" i="23" s="1"/>
  <c r="AA82" i="23"/>
  <c r="AC82" i="23" s="1"/>
  <c r="U82" i="23"/>
  <c r="W82" i="23" s="1"/>
  <c r="P82" i="23"/>
  <c r="Q82" i="23" s="1"/>
  <c r="J82" i="23"/>
  <c r="K82" i="23" s="1"/>
  <c r="D82" i="23"/>
  <c r="E82" i="23" s="1"/>
  <c r="BW81" i="23"/>
  <c r="BY81" i="23" s="1"/>
  <c r="BQ81" i="23"/>
  <c r="BS81" i="23" s="1"/>
  <c r="BK81" i="23"/>
  <c r="BM81" i="23" s="1"/>
  <c r="BE81" i="23"/>
  <c r="BG81" i="23" s="1"/>
  <c r="AY81" i="23"/>
  <c r="BA81" i="23" s="1"/>
  <c r="AS81" i="23"/>
  <c r="AU81" i="23" s="1"/>
  <c r="AM81" i="23"/>
  <c r="AO81" i="23" s="1"/>
  <c r="AG81" i="23"/>
  <c r="AI81" i="23" s="1"/>
  <c r="AA81" i="23"/>
  <c r="AC81" i="23" s="1"/>
  <c r="U81" i="23"/>
  <c r="W81" i="23" s="1"/>
  <c r="P81" i="23"/>
  <c r="Q81" i="23" s="1"/>
  <c r="J81" i="23"/>
  <c r="K81" i="23" s="1"/>
  <c r="D81" i="23"/>
  <c r="E81" i="23" s="1"/>
  <c r="BW80" i="23"/>
  <c r="BY80" i="23" s="1"/>
  <c r="BQ80" i="23"/>
  <c r="BS80" i="23" s="1"/>
  <c r="BK80" i="23"/>
  <c r="BM80" i="23" s="1"/>
  <c r="BE80" i="23"/>
  <c r="BG80" i="23" s="1"/>
  <c r="AY80" i="23"/>
  <c r="BA80" i="23" s="1"/>
  <c r="AS80" i="23"/>
  <c r="AU80" i="23" s="1"/>
  <c r="AM80" i="23"/>
  <c r="AO80" i="23" s="1"/>
  <c r="AG80" i="23"/>
  <c r="AI80" i="23" s="1"/>
  <c r="AA80" i="23"/>
  <c r="AC80" i="23" s="1"/>
  <c r="U80" i="23"/>
  <c r="W80" i="23" s="1"/>
  <c r="P80" i="23"/>
  <c r="Q80" i="23" s="1"/>
  <c r="J80" i="23"/>
  <c r="K80" i="23" s="1"/>
  <c r="D80" i="23"/>
  <c r="E80" i="23" s="1"/>
  <c r="P79" i="23"/>
  <c r="O79" i="23"/>
  <c r="BW76" i="23"/>
  <c r="BY76" i="23" s="1"/>
  <c r="BQ76" i="23"/>
  <c r="BS76" i="23" s="1"/>
  <c r="BK76" i="23"/>
  <c r="BM76" i="23" s="1"/>
  <c r="BE76" i="23"/>
  <c r="BG76" i="23" s="1"/>
  <c r="AY76" i="23"/>
  <c r="BA76" i="23" s="1"/>
  <c r="AS76" i="23"/>
  <c r="AU76" i="23" s="1"/>
  <c r="AM76" i="23"/>
  <c r="AO76" i="23" s="1"/>
  <c r="AG76" i="23"/>
  <c r="AI76" i="23" s="1"/>
  <c r="AA76" i="23"/>
  <c r="AC76" i="23" s="1"/>
  <c r="U76" i="23"/>
  <c r="W76" i="23" s="1"/>
  <c r="P76" i="23"/>
  <c r="Q76" i="23" s="1"/>
  <c r="J76" i="23"/>
  <c r="K76" i="23" s="1"/>
  <c r="D76" i="23"/>
  <c r="E76" i="23" s="1"/>
  <c r="BW75" i="23"/>
  <c r="BY75" i="23" s="1"/>
  <c r="BQ75" i="23"/>
  <c r="BS75" i="23" s="1"/>
  <c r="BK75" i="23"/>
  <c r="BM75" i="23" s="1"/>
  <c r="BE75" i="23"/>
  <c r="BG75" i="23" s="1"/>
  <c r="AY75" i="23"/>
  <c r="BA75" i="23" s="1"/>
  <c r="AS75" i="23"/>
  <c r="AU75" i="23" s="1"/>
  <c r="AM75" i="23"/>
  <c r="AO75" i="23" s="1"/>
  <c r="AG75" i="23"/>
  <c r="AI75" i="23" s="1"/>
  <c r="AA75" i="23"/>
  <c r="AC75" i="23" s="1"/>
  <c r="U75" i="23"/>
  <c r="W75" i="23" s="1"/>
  <c r="P75" i="23"/>
  <c r="Q75" i="23" s="1"/>
  <c r="J75" i="23"/>
  <c r="K75" i="23" s="1"/>
  <c r="D75" i="23"/>
  <c r="E75" i="23" s="1"/>
  <c r="BW74" i="23"/>
  <c r="BY74" i="23" s="1"/>
  <c r="BQ74" i="23"/>
  <c r="BS74" i="23" s="1"/>
  <c r="BK74" i="23"/>
  <c r="BM74" i="23" s="1"/>
  <c r="BE74" i="23"/>
  <c r="BG74" i="23" s="1"/>
  <c r="AY74" i="23"/>
  <c r="BA74" i="23" s="1"/>
  <c r="AS74" i="23"/>
  <c r="AU74" i="23" s="1"/>
  <c r="AM74" i="23"/>
  <c r="AO74" i="23" s="1"/>
  <c r="AG74" i="23"/>
  <c r="AI74" i="23" s="1"/>
  <c r="AA74" i="23"/>
  <c r="AC74" i="23" s="1"/>
  <c r="U74" i="23"/>
  <c r="W74" i="23" s="1"/>
  <c r="P74" i="23"/>
  <c r="Q74" i="23" s="1"/>
  <c r="J74" i="23"/>
  <c r="K74" i="23" s="1"/>
  <c r="D74" i="23"/>
  <c r="E74" i="23" s="1"/>
  <c r="BW73" i="23"/>
  <c r="BY73" i="23" s="1"/>
  <c r="BQ73" i="23"/>
  <c r="BS73" i="23" s="1"/>
  <c r="BK73" i="23"/>
  <c r="BM73" i="23" s="1"/>
  <c r="BE73" i="23"/>
  <c r="BG73" i="23" s="1"/>
  <c r="AY73" i="23"/>
  <c r="BA73" i="23" s="1"/>
  <c r="AS73" i="23"/>
  <c r="AU73" i="23" s="1"/>
  <c r="AM73" i="23"/>
  <c r="AO73" i="23" s="1"/>
  <c r="AG73" i="23"/>
  <c r="AI73" i="23" s="1"/>
  <c r="AA73" i="23"/>
  <c r="AC73" i="23" s="1"/>
  <c r="U73" i="23"/>
  <c r="W73" i="23" s="1"/>
  <c r="P73" i="23"/>
  <c r="Q73" i="23" s="1"/>
  <c r="J73" i="23"/>
  <c r="K73" i="23" s="1"/>
  <c r="D73" i="23"/>
  <c r="E73" i="23" s="1"/>
  <c r="BW72" i="23"/>
  <c r="BY72" i="23" s="1"/>
  <c r="BQ72" i="23"/>
  <c r="BS72" i="23" s="1"/>
  <c r="BK72" i="23"/>
  <c r="BM72" i="23" s="1"/>
  <c r="BE72" i="23"/>
  <c r="BG72" i="23" s="1"/>
  <c r="AY72" i="23"/>
  <c r="BA72" i="23" s="1"/>
  <c r="AS72" i="23"/>
  <c r="AU72" i="23" s="1"/>
  <c r="AM72" i="23"/>
  <c r="AO72" i="23" s="1"/>
  <c r="AG72" i="23"/>
  <c r="AI72" i="23" s="1"/>
  <c r="AA72" i="23"/>
  <c r="AC72" i="23" s="1"/>
  <c r="U72" i="23"/>
  <c r="W72" i="23" s="1"/>
  <c r="P72" i="23"/>
  <c r="Q72" i="23" s="1"/>
  <c r="J72" i="23"/>
  <c r="K72" i="23" s="1"/>
  <c r="D72" i="23"/>
  <c r="E72" i="23" s="1"/>
  <c r="BW71" i="23"/>
  <c r="BY71" i="23" s="1"/>
  <c r="BQ71" i="23"/>
  <c r="BS71" i="23" s="1"/>
  <c r="BK71" i="23"/>
  <c r="BM71" i="23" s="1"/>
  <c r="BE71" i="23"/>
  <c r="BG71" i="23" s="1"/>
  <c r="AY71" i="23"/>
  <c r="BA71" i="23" s="1"/>
  <c r="AS71" i="23"/>
  <c r="AU71" i="23" s="1"/>
  <c r="AM71" i="23"/>
  <c r="AO71" i="23" s="1"/>
  <c r="AG71" i="23"/>
  <c r="AI71" i="23" s="1"/>
  <c r="AA71" i="23"/>
  <c r="AC71" i="23" s="1"/>
  <c r="U71" i="23"/>
  <c r="W71" i="23" s="1"/>
  <c r="P71" i="23"/>
  <c r="Q71" i="23" s="1"/>
  <c r="J71" i="23"/>
  <c r="K71" i="23" s="1"/>
  <c r="D71" i="23"/>
  <c r="E71" i="23" s="1"/>
  <c r="BW70" i="23"/>
  <c r="BY70" i="23" s="1"/>
  <c r="BQ70" i="23"/>
  <c r="BS70" i="23" s="1"/>
  <c r="BK70" i="23"/>
  <c r="BM70" i="23" s="1"/>
  <c r="BE70" i="23"/>
  <c r="BG70" i="23" s="1"/>
  <c r="AY70" i="23"/>
  <c r="BA70" i="23" s="1"/>
  <c r="AS70" i="23"/>
  <c r="AU70" i="23" s="1"/>
  <c r="AM70" i="23"/>
  <c r="AO70" i="23" s="1"/>
  <c r="AG70" i="23"/>
  <c r="AI70" i="23" s="1"/>
  <c r="AA70" i="23"/>
  <c r="AC70" i="23" s="1"/>
  <c r="U70" i="23"/>
  <c r="W70" i="23" s="1"/>
  <c r="P70" i="23"/>
  <c r="Q70" i="23" s="1"/>
  <c r="J70" i="23"/>
  <c r="K70" i="23" s="1"/>
  <c r="D70" i="23"/>
  <c r="E70" i="23" s="1"/>
  <c r="BW69" i="23"/>
  <c r="BY69" i="23" s="1"/>
  <c r="BQ69" i="23"/>
  <c r="BS69" i="23" s="1"/>
  <c r="BK69" i="23"/>
  <c r="BM69" i="23" s="1"/>
  <c r="BE69" i="23"/>
  <c r="BG69" i="23" s="1"/>
  <c r="AY69" i="23"/>
  <c r="BA69" i="23" s="1"/>
  <c r="AS69" i="23"/>
  <c r="AU69" i="23" s="1"/>
  <c r="AM69" i="23"/>
  <c r="AO69" i="23" s="1"/>
  <c r="AG69" i="23"/>
  <c r="AI69" i="23" s="1"/>
  <c r="AA69" i="23"/>
  <c r="AC69" i="23" s="1"/>
  <c r="U69" i="23"/>
  <c r="W69" i="23" s="1"/>
  <c r="P69" i="23"/>
  <c r="Q69" i="23" s="1"/>
  <c r="J69" i="23"/>
  <c r="K69" i="23" s="1"/>
  <c r="D69" i="23"/>
  <c r="E69" i="23" s="1"/>
  <c r="BW68" i="23"/>
  <c r="BY68" i="23" s="1"/>
  <c r="BQ68" i="23"/>
  <c r="BS68" i="23" s="1"/>
  <c r="BK68" i="23"/>
  <c r="BM68" i="23" s="1"/>
  <c r="BE68" i="23"/>
  <c r="BG68" i="23" s="1"/>
  <c r="AY68" i="23"/>
  <c r="BA68" i="23" s="1"/>
  <c r="AS68" i="23"/>
  <c r="AU68" i="23" s="1"/>
  <c r="AM68" i="23"/>
  <c r="AO68" i="23" s="1"/>
  <c r="AG68" i="23"/>
  <c r="AI68" i="23" s="1"/>
  <c r="AA68" i="23"/>
  <c r="AC68" i="23" s="1"/>
  <c r="U68" i="23"/>
  <c r="W68" i="23" s="1"/>
  <c r="P68" i="23"/>
  <c r="Q68" i="23" s="1"/>
  <c r="J68" i="23"/>
  <c r="K68" i="23" s="1"/>
  <c r="D68" i="23"/>
  <c r="E68" i="23" s="1"/>
  <c r="BW67" i="23"/>
  <c r="BY67" i="23" s="1"/>
  <c r="BQ67" i="23"/>
  <c r="BS67" i="23" s="1"/>
  <c r="BK67" i="23"/>
  <c r="BM67" i="23" s="1"/>
  <c r="BE67" i="23"/>
  <c r="BG67" i="23" s="1"/>
  <c r="AY67" i="23"/>
  <c r="BA67" i="23" s="1"/>
  <c r="AS67" i="23"/>
  <c r="AU67" i="23" s="1"/>
  <c r="AM67" i="23"/>
  <c r="AO67" i="23" s="1"/>
  <c r="AG67" i="23"/>
  <c r="AI67" i="23" s="1"/>
  <c r="AA67" i="23"/>
  <c r="AC67" i="23" s="1"/>
  <c r="U67" i="23"/>
  <c r="W67" i="23" s="1"/>
  <c r="P67" i="23"/>
  <c r="Q67" i="23" s="1"/>
  <c r="J67" i="23"/>
  <c r="K67" i="23" s="1"/>
  <c r="D67" i="23"/>
  <c r="E67" i="23" s="1"/>
  <c r="BW66" i="23"/>
  <c r="BY66" i="23" s="1"/>
  <c r="BQ66" i="23"/>
  <c r="BS66" i="23" s="1"/>
  <c r="BK66" i="23"/>
  <c r="BM66" i="23" s="1"/>
  <c r="BE66" i="23"/>
  <c r="BG66" i="23" s="1"/>
  <c r="AY66" i="23"/>
  <c r="BA66" i="23" s="1"/>
  <c r="AS66" i="23"/>
  <c r="AU66" i="23" s="1"/>
  <c r="AM66" i="23"/>
  <c r="AO66" i="23" s="1"/>
  <c r="AI66" i="23"/>
  <c r="AA66" i="23"/>
  <c r="AC66" i="23" s="1"/>
  <c r="U66" i="23"/>
  <c r="W66" i="23" s="1"/>
  <c r="P66" i="23"/>
  <c r="Q66" i="23" s="1"/>
  <c r="J66" i="23"/>
  <c r="K66" i="23" s="1"/>
  <c r="D66" i="23"/>
  <c r="E66" i="23" s="1"/>
  <c r="P64" i="23"/>
  <c r="O64" i="23"/>
  <c r="BW61" i="23"/>
  <c r="BY61" i="23" s="1"/>
  <c r="BQ61" i="23"/>
  <c r="BS61" i="23" s="1"/>
  <c r="BK61" i="23"/>
  <c r="BM61" i="23" s="1"/>
  <c r="BE61" i="23"/>
  <c r="BG61" i="23" s="1"/>
  <c r="AY61" i="23"/>
  <c r="BA61" i="23" s="1"/>
  <c r="AS61" i="23"/>
  <c r="AU61" i="23" s="1"/>
  <c r="AM61" i="23"/>
  <c r="AO61" i="23" s="1"/>
  <c r="AG61" i="23"/>
  <c r="AI61" i="23" s="1"/>
  <c r="AA61" i="23"/>
  <c r="AC61" i="23" s="1"/>
  <c r="U61" i="23"/>
  <c r="W61" i="23" s="1"/>
  <c r="P61" i="23"/>
  <c r="Q61" i="23" s="1"/>
  <c r="J61" i="23"/>
  <c r="K61" i="23" s="1"/>
  <c r="D61" i="23"/>
  <c r="E61" i="23" s="1"/>
  <c r="BW60" i="23"/>
  <c r="BY60" i="23" s="1"/>
  <c r="BQ60" i="23"/>
  <c r="BS60" i="23" s="1"/>
  <c r="BK60" i="23"/>
  <c r="BM60" i="23" s="1"/>
  <c r="BE60" i="23"/>
  <c r="BG60" i="23" s="1"/>
  <c r="AY60" i="23"/>
  <c r="BA60" i="23" s="1"/>
  <c r="AS60" i="23"/>
  <c r="AU60" i="23" s="1"/>
  <c r="AM60" i="23"/>
  <c r="AO60" i="23" s="1"/>
  <c r="AG60" i="23"/>
  <c r="AI60" i="23" s="1"/>
  <c r="AA60" i="23"/>
  <c r="AC60" i="23" s="1"/>
  <c r="U60" i="23"/>
  <c r="W60" i="23" s="1"/>
  <c r="P60" i="23"/>
  <c r="Q60" i="23" s="1"/>
  <c r="J60" i="23"/>
  <c r="K60" i="23" s="1"/>
  <c r="D60" i="23"/>
  <c r="E60" i="23" s="1"/>
  <c r="BW59" i="23"/>
  <c r="BY59" i="23" s="1"/>
  <c r="BQ59" i="23"/>
  <c r="BS59" i="23" s="1"/>
  <c r="BK59" i="23"/>
  <c r="BM59" i="23" s="1"/>
  <c r="BE59" i="23"/>
  <c r="BG59" i="23" s="1"/>
  <c r="AY59" i="23"/>
  <c r="BA59" i="23" s="1"/>
  <c r="AS59" i="23"/>
  <c r="AU59" i="23" s="1"/>
  <c r="AM59" i="23"/>
  <c r="AO59" i="23" s="1"/>
  <c r="AG59" i="23"/>
  <c r="AI59" i="23" s="1"/>
  <c r="AA59" i="23"/>
  <c r="AC59" i="23" s="1"/>
  <c r="U59" i="23"/>
  <c r="W59" i="23" s="1"/>
  <c r="P59" i="23"/>
  <c r="Q59" i="23" s="1"/>
  <c r="J59" i="23"/>
  <c r="K59" i="23" s="1"/>
  <c r="D59" i="23"/>
  <c r="E59" i="23" s="1"/>
  <c r="BW58" i="23"/>
  <c r="BY58" i="23" s="1"/>
  <c r="BQ58" i="23"/>
  <c r="BS58" i="23" s="1"/>
  <c r="BK58" i="23"/>
  <c r="BM58" i="23" s="1"/>
  <c r="BE58" i="23"/>
  <c r="BG58" i="23" s="1"/>
  <c r="AY58" i="23"/>
  <c r="BA58" i="23" s="1"/>
  <c r="AS58" i="23"/>
  <c r="AU58" i="23" s="1"/>
  <c r="AM58" i="23"/>
  <c r="AO58" i="23" s="1"/>
  <c r="AG58" i="23"/>
  <c r="AI58" i="23" s="1"/>
  <c r="AA58" i="23"/>
  <c r="AC58" i="23" s="1"/>
  <c r="U58" i="23"/>
  <c r="W58" i="23" s="1"/>
  <c r="P58" i="23"/>
  <c r="Q58" i="23" s="1"/>
  <c r="J58" i="23"/>
  <c r="K58" i="23" s="1"/>
  <c r="D58" i="23"/>
  <c r="E58" i="23" s="1"/>
  <c r="BW57" i="23"/>
  <c r="BY57" i="23" s="1"/>
  <c r="BQ57" i="23"/>
  <c r="BS57" i="23" s="1"/>
  <c r="BK57" i="23"/>
  <c r="BM57" i="23" s="1"/>
  <c r="BE57" i="23"/>
  <c r="BG57" i="23" s="1"/>
  <c r="AY57" i="23"/>
  <c r="BA57" i="23" s="1"/>
  <c r="AS57" i="23"/>
  <c r="AU57" i="23" s="1"/>
  <c r="AM57" i="23"/>
  <c r="AO57" i="23" s="1"/>
  <c r="AG57" i="23"/>
  <c r="AI57" i="23" s="1"/>
  <c r="AA57" i="23"/>
  <c r="AC57" i="23" s="1"/>
  <c r="U57" i="23"/>
  <c r="W57" i="23" s="1"/>
  <c r="P57" i="23"/>
  <c r="Q57" i="23" s="1"/>
  <c r="J57" i="23"/>
  <c r="K57" i="23" s="1"/>
  <c r="D57" i="23"/>
  <c r="E57" i="23" s="1"/>
  <c r="BW56" i="23"/>
  <c r="BY56" i="23" s="1"/>
  <c r="BQ56" i="23"/>
  <c r="BS56" i="23" s="1"/>
  <c r="BK56" i="23"/>
  <c r="BM56" i="23" s="1"/>
  <c r="BE56" i="23"/>
  <c r="BG56" i="23" s="1"/>
  <c r="AY56" i="23"/>
  <c r="BA56" i="23" s="1"/>
  <c r="AS56" i="23"/>
  <c r="AU56" i="23" s="1"/>
  <c r="AM56" i="23"/>
  <c r="AO56" i="23" s="1"/>
  <c r="AG56" i="23"/>
  <c r="AI56" i="23" s="1"/>
  <c r="AA56" i="23"/>
  <c r="AC56" i="23" s="1"/>
  <c r="U56" i="23"/>
  <c r="W56" i="23" s="1"/>
  <c r="P56" i="23"/>
  <c r="Q56" i="23" s="1"/>
  <c r="J56" i="23"/>
  <c r="K56" i="23" s="1"/>
  <c r="D56" i="23"/>
  <c r="E56" i="23" s="1"/>
  <c r="BW55" i="23"/>
  <c r="BY55" i="23" s="1"/>
  <c r="BQ55" i="23"/>
  <c r="BS55" i="23" s="1"/>
  <c r="BK55" i="23"/>
  <c r="BM55" i="23" s="1"/>
  <c r="BE55" i="23"/>
  <c r="BG55" i="23" s="1"/>
  <c r="AY55" i="23"/>
  <c r="BA55" i="23" s="1"/>
  <c r="AS55" i="23"/>
  <c r="AU55" i="23" s="1"/>
  <c r="AM55" i="23"/>
  <c r="AO55" i="23" s="1"/>
  <c r="AG55" i="23"/>
  <c r="AI55" i="23" s="1"/>
  <c r="AA55" i="23"/>
  <c r="AC55" i="23" s="1"/>
  <c r="U55" i="23"/>
  <c r="W55" i="23" s="1"/>
  <c r="P55" i="23"/>
  <c r="Q55" i="23" s="1"/>
  <c r="J55" i="23"/>
  <c r="K55" i="23" s="1"/>
  <c r="D55" i="23"/>
  <c r="E55" i="23" s="1"/>
  <c r="BW54" i="23"/>
  <c r="BY54" i="23" s="1"/>
  <c r="BQ54" i="23"/>
  <c r="BS54" i="23" s="1"/>
  <c r="BK54" i="23"/>
  <c r="BM54" i="23" s="1"/>
  <c r="BE54" i="23"/>
  <c r="BG54" i="23" s="1"/>
  <c r="AY54" i="23"/>
  <c r="BA54" i="23" s="1"/>
  <c r="AS54" i="23"/>
  <c r="AU54" i="23" s="1"/>
  <c r="AM54" i="23"/>
  <c r="AO54" i="23" s="1"/>
  <c r="AG54" i="23"/>
  <c r="AI54" i="23" s="1"/>
  <c r="AA54" i="23"/>
  <c r="AC54" i="23" s="1"/>
  <c r="U54" i="23"/>
  <c r="W54" i="23" s="1"/>
  <c r="P54" i="23"/>
  <c r="Q54" i="23" s="1"/>
  <c r="J54" i="23"/>
  <c r="K54" i="23" s="1"/>
  <c r="D54" i="23"/>
  <c r="E54" i="23" s="1"/>
  <c r="BW53" i="23"/>
  <c r="BY53" i="23" s="1"/>
  <c r="BQ53" i="23"/>
  <c r="BS53" i="23" s="1"/>
  <c r="BK53" i="23"/>
  <c r="BM53" i="23" s="1"/>
  <c r="BE53" i="23"/>
  <c r="BG53" i="23" s="1"/>
  <c r="AY53" i="23"/>
  <c r="BA53" i="23" s="1"/>
  <c r="AS53" i="23"/>
  <c r="AU53" i="23" s="1"/>
  <c r="AM53" i="23"/>
  <c r="AO53" i="23" s="1"/>
  <c r="AG53" i="23"/>
  <c r="AI53" i="23" s="1"/>
  <c r="AA53" i="23"/>
  <c r="AC53" i="23" s="1"/>
  <c r="U53" i="23"/>
  <c r="W53" i="23" s="1"/>
  <c r="P53" i="23"/>
  <c r="Q53" i="23" s="1"/>
  <c r="J53" i="23"/>
  <c r="K53" i="23" s="1"/>
  <c r="D53" i="23"/>
  <c r="E53" i="23" s="1"/>
  <c r="BW52" i="23"/>
  <c r="BY52" i="23" s="1"/>
  <c r="BQ52" i="23"/>
  <c r="BS52" i="23" s="1"/>
  <c r="BK52" i="23"/>
  <c r="BM52" i="23" s="1"/>
  <c r="BE52" i="23"/>
  <c r="BG52" i="23" s="1"/>
  <c r="AY52" i="23"/>
  <c r="BA52" i="23" s="1"/>
  <c r="AS52" i="23"/>
  <c r="AU52" i="23" s="1"/>
  <c r="AM52" i="23"/>
  <c r="AO52" i="23" s="1"/>
  <c r="AG52" i="23"/>
  <c r="AI52" i="23" s="1"/>
  <c r="AA52" i="23"/>
  <c r="AC52" i="23" s="1"/>
  <c r="U52" i="23"/>
  <c r="W52" i="23" s="1"/>
  <c r="P52" i="23"/>
  <c r="Q52" i="23" s="1"/>
  <c r="J52" i="23"/>
  <c r="K52" i="23" s="1"/>
  <c r="D52" i="23"/>
  <c r="E52" i="23" s="1"/>
  <c r="BW51" i="23"/>
  <c r="BY51" i="23" s="1"/>
  <c r="BQ51" i="23"/>
  <c r="BS51" i="23" s="1"/>
  <c r="BK51" i="23"/>
  <c r="BM51" i="23" s="1"/>
  <c r="BE51" i="23"/>
  <c r="BG51" i="23" s="1"/>
  <c r="AY51" i="23"/>
  <c r="BA51" i="23" s="1"/>
  <c r="AS51" i="23"/>
  <c r="AU51" i="23" s="1"/>
  <c r="AM51" i="23"/>
  <c r="AO51" i="23" s="1"/>
  <c r="AG51" i="23"/>
  <c r="AI51" i="23" s="1"/>
  <c r="AA51" i="23"/>
  <c r="AC51" i="23" s="1"/>
  <c r="U51" i="23"/>
  <c r="W51" i="23" s="1"/>
  <c r="P51" i="23"/>
  <c r="Q51" i="23" s="1"/>
  <c r="J51" i="23"/>
  <c r="K51" i="23" s="1"/>
  <c r="D51" i="23"/>
  <c r="E51" i="23" s="1"/>
  <c r="BW50" i="23"/>
  <c r="BY50" i="23" s="1"/>
  <c r="BQ50" i="23"/>
  <c r="BS50" i="23" s="1"/>
  <c r="BK50" i="23"/>
  <c r="BM50" i="23" s="1"/>
  <c r="BE50" i="23"/>
  <c r="BG50" i="23" s="1"/>
  <c r="AY50" i="23"/>
  <c r="BA50" i="23" s="1"/>
  <c r="AS50" i="23"/>
  <c r="AU50" i="23" s="1"/>
  <c r="AM50" i="23"/>
  <c r="AO50" i="23" s="1"/>
  <c r="AG50" i="23"/>
  <c r="AI50" i="23" s="1"/>
  <c r="AA50" i="23"/>
  <c r="AC50" i="23" s="1"/>
  <c r="U50" i="23"/>
  <c r="W50" i="23" s="1"/>
  <c r="P50" i="23"/>
  <c r="Q50" i="23" s="1"/>
  <c r="J50" i="23"/>
  <c r="K50" i="23" s="1"/>
  <c r="D50" i="23"/>
  <c r="E50" i="23" s="1"/>
  <c r="P49" i="23"/>
  <c r="O49" i="23"/>
  <c r="BW46" i="23"/>
  <c r="BY46" i="23" s="1"/>
  <c r="BQ46" i="23"/>
  <c r="BS46" i="23" s="1"/>
  <c r="BK46" i="23"/>
  <c r="BM46" i="23" s="1"/>
  <c r="BE46" i="23"/>
  <c r="BG46" i="23" s="1"/>
  <c r="AY46" i="23"/>
  <c r="BA46" i="23" s="1"/>
  <c r="AS46" i="23"/>
  <c r="AU46" i="23" s="1"/>
  <c r="AM46" i="23"/>
  <c r="AO46" i="23" s="1"/>
  <c r="AG46" i="23"/>
  <c r="AI46" i="23" s="1"/>
  <c r="AA46" i="23"/>
  <c r="AC46" i="23" s="1"/>
  <c r="U46" i="23"/>
  <c r="W46" i="23" s="1"/>
  <c r="P46" i="23"/>
  <c r="Q46" i="23" s="1"/>
  <c r="J46" i="23"/>
  <c r="K46" i="23" s="1"/>
  <c r="D46" i="23"/>
  <c r="E46" i="23" s="1"/>
  <c r="BW45" i="23"/>
  <c r="BY45" i="23" s="1"/>
  <c r="BQ45" i="23"/>
  <c r="BS45" i="23" s="1"/>
  <c r="BK45" i="23"/>
  <c r="BM45" i="23" s="1"/>
  <c r="BE45" i="23"/>
  <c r="BG45" i="23" s="1"/>
  <c r="AY45" i="23"/>
  <c r="BA45" i="23" s="1"/>
  <c r="AS45" i="23"/>
  <c r="AU45" i="23" s="1"/>
  <c r="AM45" i="23"/>
  <c r="AO45" i="23" s="1"/>
  <c r="AG45" i="23"/>
  <c r="AI45" i="23" s="1"/>
  <c r="AA45" i="23"/>
  <c r="AC45" i="23" s="1"/>
  <c r="U45" i="23"/>
  <c r="W45" i="23" s="1"/>
  <c r="P45" i="23"/>
  <c r="Q45" i="23" s="1"/>
  <c r="J45" i="23"/>
  <c r="K45" i="23" s="1"/>
  <c r="D45" i="23"/>
  <c r="E45" i="23" s="1"/>
  <c r="BW44" i="23"/>
  <c r="BY44" i="23" s="1"/>
  <c r="BQ44" i="23"/>
  <c r="BS44" i="23" s="1"/>
  <c r="BK44" i="23"/>
  <c r="BM44" i="23" s="1"/>
  <c r="BE44" i="23"/>
  <c r="BG44" i="23" s="1"/>
  <c r="AY44" i="23"/>
  <c r="BA44" i="23" s="1"/>
  <c r="AS44" i="23"/>
  <c r="AU44" i="23" s="1"/>
  <c r="AM44" i="23"/>
  <c r="AO44" i="23" s="1"/>
  <c r="AG44" i="23"/>
  <c r="AI44" i="23" s="1"/>
  <c r="AA44" i="23"/>
  <c r="AC44" i="23" s="1"/>
  <c r="U44" i="23"/>
  <c r="W44" i="23" s="1"/>
  <c r="P44" i="23"/>
  <c r="Q44" i="23" s="1"/>
  <c r="J44" i="23"/>
  <c r="K44" i="23" s="1"/>
  <c r="D44" i="23"/>
  <c r="E44" i="23" s="1"/>
  <c r="BW43" i="23"/>
  <c r="BY43" i="23" s="1"/>
  <c r="BQ43" i="23"/>
  <c r="BS43" i="23" s="1"/>
  <c r="BK43" i="23"/>
  <c r="BM43" i="23" s="1"/>
  <c r="BE43" i="23"/>
  <c r="BG43" i="23" s="1"/>
  <c r="AY43" i="23"/>
  <c r="BA43" i="23" s="1"/>
  <c r="AS43" i="23"/>
  <c r="AU43" i="23" s="1"/>
  <c r="AM43" i="23"/>
  <c r="AO43" i="23" s="1"/>
  <c r="AG43" i="23"/>
  <c r="AI43" i="23" s="1"/>
  <c r="AA43" i="23"/>
  <c r="AC43" i="23" s="1"/>
  <c r="U43" i="23"/>
  <c r="W43" i="23" s="1"/>
  <c r="P43" i="23"/>
  <c r="Q43" i="23" s="1"/>
  <c r="J43" i="23"/>
  <c r="K43" i="23" s="1"/>
  <c r="D43" i="23"/>
  <c r="E43" i="23" s="1"/>
  <c r="BW42" i="23"/>
  <c r="BY42" i="23" s="1"/>
  <c r="BQ42" i="23"/>
  <c r="BS42" i="23" s="1"/>
  <c r="BK42" i="23"/>
  <c r="BM42" i="23" s="1"/>
  <c r="BE42" i="23"/>
  <c r="BG42" i="23" s="1"/>
  <c r="AY42" i="23"/>
  <c r="BA42" i="23" s="1"/>
  <c r="AS42" i="23"/>
  <c r="AU42" i="23" s="1"/>
  <c r="AM42" i="23"/>
  <c r="AO42" i="23" s="1"/>
  <c r="AG42" i="23"/>
  <c r="AI42" i="23" s="1"/>
  <c r="AA42" i="23"/>
  <c r="AC42" i="23" s="1"/>
  <c r="U42" i="23"/>
  <c r="W42" i="23" s="1"/>
  <c r="P42" i="23"/>
  <c r="Q42" i="23" s="1"/>
  <c r="J42" i="23"/>
  <c r="K42" i="23" s="1"/>
  <c r="D42" i="23"/>
  <c r="E42" i="23" s="1"/>
  <c r="BW41" i="23"/>
  <c r="BY41" i="23" s="1"/>
  <c r="BQ41" i="23"/>
  <c r="BS41" i="23" s="1"/>
  <c r="BK41" i="23"/>
  <c r="BM41" i="23" s="1"/>
  <c r="BE41" i="23"/>
  <c r="BG41" i="23" s="1"/>
  <c r="AY41" i="23"/>
  <c r="BA41" i="23" s="1"/>
  <c r="AS41" i="23"/>
  <c r="AU41" i="23" s="1"/>
  <c r="AM41" i="23"/>
  <c r="AO41" i="23" s="1"/>
  <c r="AG41" i="23"/>
  <c r="AI41" i="23" s="1"/>
  <c r="AA41" i="23"/>
  <c r="AC41" i="23" s="1"/>
  <c r="U41" i="23"/>
  <c r="W41" i="23" s="1"/>
  <c r="P41" i="23"/>
  <c r="Q41" i="23" s="1"/>
  <c r="J41" i="23"/>
  <c r="K41" i="23" s="1"/>
  <c r="D41" i="23"/>
  <c r="E41" i="23" s="1"/>
  <c r="BW40" i="23"/>
  <c r="BY40" i="23" s="1"/>
  <c r="BQ40" i="23"/>
  <c r="BS40" i="23" s="1"/>
  <c r="BK40" i="23"/>
  <c r="BM40" i="23" s="1"/>
  <c r="BE40" i="23"/>
  <c r="BG40" i="23" s="1"/>
  <c r="AY40" i="23"/>
  <c r="BA40" i="23" s="1"/>
  <c r="AS40" i="23"/>
  <c r="AU40" i="23" s="1"/>
  <c r="AM40" i="23"/>
  <c r="AO40" i="23" s="1"/>
  <c r="AG40" i="23"/>
  <c r="AI40" i="23" s="1"/>
  <c r="AA40" i="23"/>
  <c r="AC40" i="23" s="1"/>
  <c r="U40" i="23"/>
  <c r="W40" i="23" s="1"/>
  <c r="P40" i="23"/>
  <c r="Q40" i="23" s="1"/>
  <c r="J40" i="23"/>
  <c r="K40" i="23" s="1"/>
  <c r="D40" i="23"/>
  <c r="E40" i="23" s="1"/>
  <c r="BW39" i="23"/>
  <c r="BY39" i="23" s="1"/>
  <c r="BQ39" i="23"/>
  <c r="BS39" i="23" s="1"/>
  <c r="BK39" i="23"/>
  <c r="BM39" i="23" s="1"/>
  <c r="BE39" i="23"/>
  <c r="BG39" i="23" s="1"/>
  <c r="AY39" i="23"/>
  <c r="BA39" i="23" s="1"/>
  <c r="AS39" i="23"/>
  <c r="AU39" i="23" s="1"/>
  <c r="AM39" i="23"/>
  <c r="AO39" i="23" s="1"/>
  <c r="AG39" i="23"/>
  <c r="AI39" i="23" s="1"/>
  <c r="AA39" i="23"/>
  <c r="AC39" i="23" s="1"/>
  <c r="U39" i="23"/>
  <c r="W39" i="23" s="1"/>
  <c r="P39" i="23"/>
  <c r="Q39" i="23" s="1"/>
  <c r="J39" i="23"/>
  <c r="K39" i="23" s="1"/>
  <c r="D39" i="23"/>
  <c r="E39" i="23" s="1"/>
  <c r="BW38" i="23"/>
  <c r="BY38" i="23" s="1"/>
  <c r="BQ38" i="23"/>
  <c r="BS38" i="23" s="1"/>
  <c r="BK38" i="23"/>
  <c r="BM38" i="23" s="1"/>
  <c r="BE38" i="23"/>
  <c r="BG38" i="23" s="1"/>
  <c r="AY38" i="23"/>
  <c r="BA38" i="23" s="1"/>
  <c r="AS38" i="23"/>
  <c r="AU38" i="23" s="1"/>
  <c r="AM38" i="23"/>
  <c r="AO38" i="23" s="1"/>
  <c r="AG38" i="23"/>
  <c r="AI38" i="23" s="1"/>
  <c r="AA38" i="23"/>
  <c r="AC38" i="23" s="1"/>
  <c r="U38" i="23"/>
  <c r="W38" i="23" s="1"/>
  <c r="P38" i="23"/>
  <c r="Q38" i="23" s="1"/>
  <c r="J38" i="23"/>
  <c r="K38" i="23" s="1"/>
  <c r="D38" i="23"/>
  <c r="E38" i="23" s="1"/>
  <c r="BW37" i="23"/>
  <c r="BY37" i="23" s="1"/>
  <c r="BQ37" i="23"/>
  <c r="BS37" i="23" s="1"/>
  <c r="BK37" i="23"/>
  <c r="BM37" i="23" s="1"/>
  <c r="BE37" i="23"/>
  <c r="BG37" i="23" s="1"/>
  <c r="AY37" i="23"/>
  <c r="BA37" i="23" s="1"/>
  <c r="AS37" i="23"/>
  <c r="AU37" i="23" s="1"/>
  <c r="AM37" i="23"/>
  <c r="AO37" i="23" s="1"/>
  <c r="AG37" i="23"/>
  <c r="AI37" i="23" s="1"/>
  <c r="AA37" i="23"/>
  <c r="AC37" i="23" s="1"/>
  <c r="U37" i="23"/>
  <c r="W37" i="23" s="1"/>
  <c r="P37" i="23"/>
  <c r="Q37" i="23" s="1"/>
  <c r="J37" i="23"/>
  <c r="K37" i="23" s="1"/>
  <c r="D37" i="23"/>
  <c r="E37" i="23" s="1"/>
  <c r="BW36" i="23"/>
  <c r="BY36" i="23" s="1"/>
  <c r="BQ36" i="23"/>
  <c r="BS36" i="23" s="1"/>
  <c r="BK36" i="23"/>
  <c r="BM36" i="23" s="1"/>
  <c r="BE36" i="23"/>
  <c r="BG36" i="23" s="1"/>
  <c r="AY36" i="23"/>
  <c r="BA36" i="23" s="1"/>
  <c r="AS36" i="23"/>
  <c r="AU36" i="23" s="1"/>
  <c r="AM36" i="23"/>
  <c r="AO36" i="23" s="1"/>
  <c r="AG36" i="23"/>
  <c r="AI36" i="23" s="1"/>
  <c r="AA36" i="23"/>
  <c r="AC36" i="23" s="1"/>
  <c r="U36" i="23"/>
  <c r="W36" i="23" s="1"/>
  <c r="P36" i="23"/>
  <c r="Q36" i="23" s="1"/>
  <c r="J36" i="23"/>
  <c r="K36" i="23" s="1"/>
  <c r="D36" i="23"/>
  <c r="E36" i="23" s="1"/>
  <c r="BW35" i="23"/>
  <c r="BY35" i="23" s="1"/>
  <c r="BQ35" i="23"/>
  <c r="BS35" i="23" s="1"/>
  <c r="BK35" i="23"/>
  <c r="BM35" i="23" s="1"/>
  <c r="BE35" i="23"/>
  <c r="BG35" i="23" s="1"/>
  <c r="AY35" i="23"/>
  <c r="BA35" i="23" s="1"/>
  <c r="AS35" i="23"/>
  <c r="AU35" i="23" s="1"/>
  <c r="AM35" i="23"/>
  <c r="AO35" i="23" s="1"/>
  <c r="AG35" i="23"/>
  <c r="AI35" i="23" s="1"/>
  <c r="AA35" i="23"/>
  <c r="AC35" i="23" s="1"/>
  <c r="U35" i="23"/>
  <c r="W35" i="23" s="1"/>
  <c r="P35" i="23"/>
  <c r="Q35" i="23" s="1"/>
  <c r="J35" i="23"/>
  <c r="K35" i="23" s="1"/>
  <c r="D35" i="23"/>
  <c r="E35" i="23" s="1"/>
  <c r="P34" i="23"/>
  <c r="P139" i="23" s="1"/>
  <c r="O34" i="23"/>
  <c r="O139" i="23" s="1"/>
  <c r="BW31" i="23"/>
  <c r="BY31" i="23" s="1"/>
  <c r="BQ31" i="23"/>
  <c r="BS31" i="23" s="1"/>
  <c r="BK31" i="23"/>
  <c r="BM31" i="23" s="1"/>
  <c r="BE31" i="23"/>
  <c r="BG31" i="23" s="1"/>
  <c r="AY31" i="23"/>
  <c r="BA31" i="23" s="1"/>
  <c r="AS31" i="23"/>
  <c r="AU31" i="23" s="1"/>
  <c r="AM31" i="23"/>
  <c r="AO31" i="23" s="1"/>
  <c r="AG31" i="23"/>
  <c r="AI31" i="23" s="1"/>
  <c r="AA31" i="23"/>
  <c r="AC31" i="23" s="1"/>
  <c r="U31" i="23"/>
  <c r="W31" i="23" s="1"/>
  <c r="P31" i="23"/>
  <c r="Q31" i="23" s="1"/>
  <c r="J31" i="23"/>
  <c r="K31" i="23" s="1"/>
  <c r="D31" i="23"/>
  <c r="E31" i="23" s="1"/>
  <c r="BW30" i="23"/>
  <c r="BY30" i="23" s="1"/>
  <c r="BQ30" i="23"/>
  <c r="BS30" i="23" s="1"/>
  <c r="BK30" i="23"/>
  <c r="BM30" i="23" s="1"/>
  <c r="BE30" i="23"/>
  <c r="BG30" i="23" s="1"/>
  <c r="AY30" i="23"/>
  <c r="BA30" i="23" s="1"/>
  <c r="AS30" i="23"/>
  <c r="AU30" i="23" s="1"/>
  <c r="AM30" i="23"/>
  <c r="AO30" i="23" s="1"/>
  <c r="AG30" i="23"/>
  <c r="AI30" i="23" s="1"/>
  <c r="AA30" i="23"/>
  <c r="AC30" i="23" s="1"/>
  <c r="U30" i="23"/>
  <c r="W30" i="23" s="1"/>
  <c r="P30" i="23"/>
  <c r="Q30" i="23" s="1"/>
  <c r="J30" i="23"/>
  <c r="K30" i="23" s="1"/>
  <c r="D30" i="23"/>
  <c r="E30" i="23" s="1"/>
  <c r="BW29" i="23"/>
  <c r="BY29" i="23" s="1"/>
  <c r="BQ29" i="23"/>
  <c r="BS29" i="23" s="1"/>
  <c r="BK29" i="23"/>
  <c r="BM29" i="23" s="1"/>
  <c r="BE29" i="23"/>
  <c r="BG29" i="23" s="1"/>
  <c r="AY29" i="23"/>
  <c r="BA29" i="23" s="1"/>
  <c r="AS29" i="23"/>
  <c r="AU29" i="23" s="1"/>
  <c r="AM29" i="23"/>
  <c r="AO29" i="23" s="1"/>
  <c r="AG29" i="23"/>
  <c r="AI29" i="23" s="1"/>
  <c r="AA29" i="23"/>
  <c r="AC29" i="23" s="1"/>
  <c r="U29" i="23"/>
  <c r="W29" i="23" s="1"/>
  <c r="P29" i="23"/>
  <c r="Q29" i="23" s="1"/>
  <c r="J29" i="23"/>
  <c r="K29" i="23" s="1"/>
  <c r="D29" i="23"/>
  <c r="E29" i="23" s="1"/>
  <c r="BW28" i="23"/>
  <c r="BY28" i="23" s="1"/>
  <c r="BQ28" i="23"/>
  <c r="BS28" i="23" s="1"/>
  <c r="BK28" i="23"/>
  <c r="BM28" i="23" s="1"/>
  <c r="BE28" i="23"/>
  <c r="BG28" i="23" s="1"/>
  <c r="AY28" i="23"/>
  <c r="BA28" i="23" s="1"/>
  <c r="AS28" i="23"/>
  <c r="AU28" i="23" s="1"/>
  <c r="AM28" i="23"/>
  <c r="AO28" i="23" s="1"/>
  <c r="AG28" i="23"/>
  <c r="AI28" i="23" s="1"/>
  <c r="AA28" i="23"/>
  <c r="AC28" i="23" s="1"/>
  <c r="U28" i="23"/>
  <c r="W28" i="23" s="1"/>
  <c r="P28" i="23"/>
  <c r="Q28" i="23" s="1"/>
  <c r="J28" i="23"/>
  <c r="K28" i="23" s="1"/>
  <c r="D28" i="23"/>
  <c r="E28" i="23" s="1"/>
  <c r="BW27" i="23"/>
  <c r="BY27" i="23" s="1"/>
  <c r="BQ27" i="23"/>
  <c r="BS27" i="23" s="1"/>
  <c r="BK27" i="23"/>
  <c r="BM27" i="23" s="1"/>
  <c r="BE27" i="23"/>
  <c r="BG27" i="23" s="1"/>
  <c r="AY27" i="23"/>
  <c r="BA27" i="23" s="1"/>
  <c r="AS27" i="23"/>
  <c r="AU27" i="23" s="1"/>
  <c r="AM27" i="23"/>
  <c r="AO27" i="23" s="1"/>
  <c r="AG27" i="23"/>
  <c r="AI27" i="23" s="1"/>
  <c r="AA27" i="23"/>
  <c r="AC27" i="23" s="1"/>
  <c r="U27" i="23"/>
  <c r="W27" i="23" s="1"/>
  <c r="P27" i="23"/>
  <c r="Q27" i="23" s="1"/>
  <c r="J27" i="23"/>
  <c r="K27" i="23" s="1"/>
  <c r="D27" i="23"/>
  <c r="E27" i="23" s="1"/>
  <c r="BW26" i="23"/>
  <c r="BY26" i="23" s="1"/>
  <c r="BQ26" i="23"/>
  <c r="BS26" i="23" s="1"/>
  <c r="BK26" i="23"/>
  <c r="BM26" i="23" s="1"/>
  <c r="BE26" i="23"/>
  <c r="BG26" i="23" s="1"/>
  <c r="AY26" i="23"/>
  <c r="BA26" i="23" s="1"/>
  <c r="AS26" i="23"/>
  <c r="AU26" i="23" s="1"/>
  <c r="AM26" i="23"/>
  <c r="AO26" i="23" s="1"/>
  <c r="AG26" i="23"/>
  <c r="AI26" i="23" s="1"/>
  <c r="AA26" i="23"/>
  <c r="AC26" i="23" s="1"/>
  <c r="U26" i="23"/>
  <c r="W26" i="23" s="1"/>
  <c r="P26" i="23"/>
  <c r="Q26" i="23" s="1"/>
  <c r="J26" i="23"/>
  <c r="K26" i="23" s="1"/>
  <c r="D26" i="23"/>
  <c r="E26" i="23" s="1"/>
  <c r="BW25" i="23"/>
  <c r="BY25" i="23" s="1"/>
  <c r="BQ25" i="23"/>
  <c r="BS25" i="23" s="1"/>
  <c r="BK25" i="23"/>
  <c r="BM25" i="23" s="1"/>
  <c r="BE25" i="23"/>
  <c r="BG25" i="23" s="1"/>
  <c r="AY25" i="23"/>
  <c r="BA25" i="23" s="1"/>
  <c r="AS25" i="23"/>
  <c r="AU25" i="23" s="1"/>
  <c r="AM25" i="23"/>
  <c r="AO25" i="23" s="1"/>
  <c r="AG25" i="23"/>
  <c r="AI25" i="23" s="1"/>
  <c r="AA25" i="23"/>
  <c r="AC25" i="23" s="1"/>
  <c r="U25" i="23"/>
  <c r="W25" i="23" s="1"/>
  <c r="P25" i="23"/>
  <c r="Q25" i="23" s="1"/>
  <c r="J25" i="23"/>
  <c r="K25" i="23" s="1"/>
  <c r="D25" i="23"/>
  <c r="E25" i="23" s="1"/>
  <c r="BW24" i="23"/>
  <c r="BY24" i="23" s="1"/>
  <c r="BQ24" i="23"/>
  <c r="BS24" i="23" s="1"/>
  <c r="BK24" i="23"/>
  <c r="BM24" i="23" s="1"/>
  <c r="BE24" i="23"/>
  <c r="BG24" i="23" s="1"/>
  <c r="AY24" i="23"/>
  <c r="BA24" i="23" s="1"/>
  <c r="AS24" i="23"/>
  <c r="AU24" i="23" s="1"/>
  <c r="AM24" i="23"/>
  <c r="AO24" i="23" s="1"/>
  <c r="AG24" i="23"/>
  <c r="AI24" i="23" s="1"/>
  <c r="AA24" i="23"/>
  <c r="AC24" i="23" s="1"/>
  <c r="U24" i="23"/>
  <c r="W24" i="23" s="1"/>
  <c r="P24" i="23"/>
  <c r="Q24" i="23" s="1"/>
  <c r="J24" i="23"/>
  <c r="K24" i="23" s="1"/>
  <c r="D24" i="23"/>
  <c r="E24" i="23" s="1"/>
  <c r="BW23" i="23"/>
  <c r="BY23" i="23" s="1"/>
  <c r="BQ23" i="23"/>
  <c r="BS23" i="23" s="1"/>
  <c r="BK23" i="23"/>
  <c r="BM23" i="23" s="1"/>
  <c r="BE23" i="23"/>
  <c r="BG23" i="23" s="1"/>
  <c r="AY23" i="23"/>
  <c r="BA23" i="23" s="1"/>
  <c r="AS23" i="23"/>
  <c r="AU23" i="23" s="1"/>
  <c r="AM23" i="23"/>
  <c r="AO23" i="23" s="1"/>
  <c r="AG23" i="23"/>
  <c r="AI23" i="23" s="1"/>
  <c r="AA23" i="23"/>
  <c r="AC23" i="23" s="1"/>
  <c r="U23" i="23"/>
  <c r="W23" i="23" s="1"/>
  <c r="P23" i="23"/>
  <c r="Q23" i="23" s="1"/>
  <c r="J23" i="23"/>
  <c r="K23" i="23" s="1"/>
  <c r="D23" i="23"/>
  <c r="E23" i="23" s="1"/>
  <c r="BW22" i="23"/>
  <c r="BY22" i="23" s="1"/>
  <c r="BQ22" i="23"/>
  <c r="BS22" i="23" s="1"/>
  <c r="BK22" i="23"/>
  <c r="BM22" i="23" s="1"/>
  <c r="BE22" i="23"/>
  <c r="BG22" i="23" s="1"/>
  <c r="AY22" i="23"/>
  <c r="BA22" i="23" s="1"/>
  <c r="AS22" i="23"/>
  <c r="AU22" i="23" s="1"/>
  <c r="AM22" i="23"/>
  <c r="AO22" i="23" s="1"/>
  <c r="AG22" i="23"/>
  <c r="AI22" i="23" s="1"/>
  <c r="AA22" i="23"/>
  <c r="AC22" i="23" s="1"/>
  <c r="U22" i="23"/>
  <c r="W22" i="23" s="1"/>
  <c r="P22" i="23"/>
  <c r="Q22" i="23" s="1"/>
  <c r="J22" i="23"/>
  <c r="K22" i="23" s="1"/>
  <c r="D22" i="23"/>
  <c r="E22" i="23" s="1"/>
  <c r="BW21" i="23"/>
  <c r="BY21" i="23" s="1"/>
  <c r="BQ21" i="23"/>
  <c r="BS21" i="23" s="1"/>
  <c r="BK21" i="23"/>
  <c r="BM21" i="23" s="1"/>
  <c r="BE21" i="23"/>
  <c r="BG21" i="23" s="1"/>
  <c r="AY21" i="23"/>
  <c r="BA21" i="23" s="1"/>
  <c r="AS21" i="23"/>
  <c r="AU21" i="23" s="1"/>
  <c r="AM21" i="23"/>
  <c r="AO21" i="23" s="1"/>
  <c r="AG21" i="23"/>
  <c r="AI21" i="23" s="1"/>
  <c r="AA21" i="23"/>
  <c r="AC21" i="23" s="1"/>
  <c r="U21" i="23"/>
  <c r="W21" i="23" s="1"/>
  <c r="P21" i="23"/>
  <c r="Q21" i="23" s="1"/>
  <c r="J21" i="23"/>
  <c r="K21" i="23" s="1"/>
  <c r="D21" i="23"/>
  <c r="E21" i="23" s="1"/>
  <c r="BW20" i="23"/>
  <c r="BY20" i="23" s="1"/>
  <c r="BQ20" i="23"/>
  <c r="BS20" i="23" s="1"/>
  <c r="BK20" i="23"/>
  <c r="BM20" i="23" s="1"/>
  <c r="BE20" i="23"/>
  <c r="BG20" i="23" s="1"/>
  <c r="AY20" i="23"/>
  <c r="BA20" i="23" s="1"/>
  <c r="AS20" i="23"/>
  <c r="AU20" i="23" s="1"/>
  <c r="AM20" i="23"/>
  <c r="AO20" i="23" s="1"/>
  <c r="AG20" i="23"/>
  <c r="AI20" i="23" s="1"/>
  <c r="AA20" i="23"/>
  <c r="AC20" i="23" s="1"/>
  <c r="U20" i="23"/>
  <c r="W20" i="23" s="1"/>
  <c r="P20" i="23"/>
  <c r="Q20" i="23" s="1"/>
  <c r="J20" i="23"/>
  <c r="K20" i="23" s="1"/>
  <c r="D20" i="23"/>
  <c r="E20" i="23" s="1"/>
  <c r="CO19" i="23"/>
  <c r="CO34" i="23" s="1"/>
  <c r="CO49" i="23" s="1"/>
  <c r="CO64" i="23" s="1"/>
  <c r="CO79" i="23" s="1"/>
  <c r="CO94" i="23" s="1"/>
  <c r="CO109" i="23" s="1"/>
  <c r="CO124" i="23" s="1"/>
  <c r="CO139" i="23" s="1"/>
  <c r="CI19" i="23"/>
  <c r="CI34" i="23" s="1"/>
  <c r="CI49" i="23" s="1"/>
  <c r="CI64" i="23" s="1"/>
  <c r="CI79" i="23" s="1"/>
  <c r="CI94" i="23" s="1"/>
  <c r="CI109" i="23" s="1"/>
  <c r="CI124" i="23" s="1"/>
  <c r="CI139" i="23" s="1"/>
  <c r="CC19" i="23"/>
  <c r="CC34" i="23" s="1"/>
  <c r="CC49" i="23" s="1"/>
  <c r="CC64" i="23" s="1"/>
  <c r="CC79" i="23" s="1"/>
  <c r="CC94" i="23" s="1"/>
  <c r="CC109" i="23" s="1"/>
  <c r="CC124" i="23" s="1"/>
  <c r="CC139" i="23" s="1"/>
  <c r="BW19" i="23"/>
  <c r="BW34" i="23" s="1"/>
  <c r="BW49" i="23" s="1"/>
  <c r="BW64" i="23" s="1"/>
  <c r="BW79" i="23" s="1"/>
  <c r="BW94" i="23" s="1"/>
  <c r="BW109" i="23" s="1"/>
  <c r="BW124" i="23" s="1"/>
  <c r="BW139" i="23" s="1"/>
  <c r="BQ19" i="23"/>
  <c r="BQ34" i="23" s="1"/>
  <c r="BQ49" i="23" s="1"/>
  <c r="BQ64" i="23" s="1"/>
  <c r="BQ79" i="23" s="1"/>
  <c r="BQ94" i="23" s="1"/>
  <c r="BQ109" i="23" s="1"/>
  <c r="BQ124" i="23" s="1"/>
  <c r="BQ139" i="23" s="1"/>
  <c r="BK19" i="23"/>
  <c r="BK34" i="23" s="1"/>
  <c r="BK49" i="23" s="1"/>
  <c r="BK64" i="23" s="1"/>
  <c r="BK79" i="23" s="1"/>
  <c r="BK94" i="23" s="1"/>
  <c r="BK109" i="23" s="1"/>
  <c r="BK124" i="23" s="1"/>
  <c r="BK139" i="23" s="1"/>
  <c r="BE19" i="23"/>
  <c r="BE34" i="23" s="1"/>
  <c r="BE49" i="23" s="1"/>
  <c r="BE64" i="23" s="1"/>
  <c r="BE79" i="23" s="1"/>
  <c r="BE94" i="23" s="1"/>
  <c r="BE109" i="23" s="1"/>
  <c r="BE124" i="23" s="1"/>
  <c r="BE139" i="23" s="1"/>
  <c r="AY19" i="23"/>
  <c r="AY34" i="23" s="1"/>
  <c r="AY49" i="23" s="1"/>
  <c r="AY64" i="23" s="1"/>
  <c r="AY79" i="23" s="1"/>
  <c r="AY94" i="23" s="1"/>
  <c r="AY109" i="23" s="1"/>
  <c r="AY124" i="23" s="1"/>
  <c r="AY139" i="23" s="1"/>
  <c r="AS19" i="23"/>
  <c r="AS34" i="23" s="1"/>
  <c r="AS49" i="23" s="1"/>
  <c r="AS64" i="23" s="1"/>
  <c r="AS79" i="23" s="1"/>
  <c r="AS94" i="23" s="1"/>
  <c r="AS109" i="23" s="1"/>
  <c r="AS124" i="23" s="1"/>
  <c r="AS139" i="23" s="1"/>
  <c r="AM19" i="23"/>
  <c r="AM34" i="23" s="1"/>
  <c r="AM49" i="23" s="1"/>
  <c r="AM64" i="23" s="1"/>
  <c r="AM79" i="23" s="1"/>
  <c r="AM94" i="23" s="1"/>
  <c r="AM109" i="23" s="1"/>
  <c r="AM124" i="23" s="1"/>
  <c r="AM139" i="23" s="1"/>
  <c r="AH19" i="23"/>
  <c r="AH34" i="23" s="1"/>
  <c r="AH49" i="23" s="1"/>
  <c r="AH64" i="23" s="1"/>
  <c r="AH79" i="23" s="1"/>
  <c r="AH94" i="23" s="1"/>
  <c r="AH109" i="23" s="1"/>
  <c r="AH124" i="23" s="1"/>
  <c r="AH139" i="23" s="1"/>
  <c r="AG19" i="23"/>
  <c r="AG34" i="23" s="1"/>
  <c r="AG49" i="23" s="1"/>
  <c r="AG64" i="23" s="1"/>
  <c r="AG79" i="23" s="1"/>
  <c r="AG94" i="23" s="1"/>
  <c r="AG109" i="23" s="1"/>
  <c r="AG124" i="23" s="1"/>
  <c r="AG139" i="23" s="1"/>
  <c r="AA19" i="23"/>
  <c r="AA34" i="23" s="1"/>
  <c r="AA49" i="23" s="1"/>
  <c r="AA64" i="23" s="1"/>
  <c r="AA79" i="23" s="1"/>
  <c r="AA94" i="23" s="1"/>
  <c r="AA109" i="23" s="1"/>
  <c r="AA124" i="23" s="1"/>
  <c r="AA139" i="23" s="1"/>
  <c r="U19" i="23"/>
  <c r="U34" i="23" s="1"/>
  <c r="U49" i="23" s="1"/>
  <c r="U64" i="23" s="1"/>
  <c r="U79" i="23" s="1"/>
  <c r="U94" i="23" s="1"/>
  <c r="U109" i="23" s="1"/>
  <c r="U124" i="23" s="1"/>
  <c r="U139" i="23" s="1"/>
  <c r="P19" i="23"/>
  <c r="P124" i="23" s="1"/>
  <c r="O19" i="23"/>
  <c r="O124" i="23" s="1"/>
  <c r="J19" i="23"/>
  <c r="J34" i="23" s="1"/>
  <c r="J49" i="23" s="1"/>
  <c r="J64" i="23" s="1"/>
  <c r="J79" i="23" s="1"/>
  <c r="J94" i="23" s="1"/>
  <c r="J109" i="23" s="1"/>
  <c r="I19" i="23"/>
  <c r="I34" i="23" s="1"/>
  <c r="I49" i="23" s="1"/>
  <c r="I64" i="23" s="1"/>
  <c r="I79" i="23" s="1"/>
  <c r="I94" i="23" s="1"/>
  <c r="I109" i="23" s="1"/>
  <c r="D19" i="23"/>
  <c r="D34" i="23" s="1"/>
  <c r="D49" i="23" s="1"/>
  <c r="D64" i="23" s="1"/>
  <c r="D79" i="23" s="1"/>
  <c r="D94" i="23" s="1"/>
  <c r="D109" i="23" s="1"/>
  <c r="O18" i="23"/>
  <c r="O33" i="23" s="1"/>
  <c r="O48" i="23" s="1"/>
  <c r="O63" i="23" s="1"/>
  <c r="O78" i="23" s="1"/>
  <c r="O93" i="23" s="1"/>
  <c r="O108" i="23" s="1"/>
  <c r="O123" i="23" s="1"/>
  <c r="O138" i="23" s="1"/>
  <c r="I18" i="23"/>
  <c r="I33" i="23" s="1"/>
  <c r="I48" i="23" s="1"/>
  <c r="I63" i="23" s="1"/>
  <c r="I78" i="23" s="1"/>
  <c r="I93" i="23" s="1"/>
  <c r="I108" i="23" s="1"/>
  <c r="I123" i="23" s="1"/>
  <c r="I138" i="23" s="1"/>
  <c r="C18" i="23"/>
  <c r="C33" i="23" s="1"/>
  <c r="C48" i="23" s="1"/>
  <c r="C63" i="23" s="1"/>
  <c r="C78" i="23" s="1"/>
  <c r="C93" i="23" s="1"/>
  <c r="C108" i="23" s="1"/>
  <c r="C123" i="23" s="1"/>
  <c r="C138" i="23" s="1"/>
  <c r="CO16" i="23"/>
  <c r="CQ16" i="23" s="1"/>
  <c r="CQ31" i="23" s="1"/>
  <c r="CQ46" i="23" s="1"/>
  <c r="CQ61" i="23" s="1"/>
  <c r="CQ76" i="23" s="1"/>
  <c r="CQ91" i="23" s="1"/>
  <c r="CQ106" i="23" s="1"/>
  <c r="CQ121" i="23" s="1"/>
  <c r="CQ136" i="23" s="1"/>
  <c r="CQ151" i="23" s="1"/>
  <c r="CI16" i="23"/>
  <c r="CI31" i="23" s="1"/>
  <c r="CI46" i="23" s="1"/>
  <c r="CI61" i="23" s="1"/>
  <c r="CI76" i="23" s="1"/>
  <c r="CI91" i="23" s="1"/>
  <c r="CI106" i="23" s="1"/>
  <c r="CI121" i="23" s="1"/>
  <c r="CI136" i="23" s="1"/>
  <c r="CI151" i="23" s="1"/>
  <c r="CC16" i="23"/>
  <c r="CE16" i="23" s="1"/>
  <c r="CE31" i="23" s="1"/>
  <c r="CE46" i="23" s="1"/>
  <c r="CE61" i="23" s="1"/>
  <c r="CE76" i="23" s="1"/>
  <c r="CE91" i="23" s="1"/>
  <c r="CE106" i="23" s="1"/>
  <c r="CE121" i="23" s="1"/>
  <c r="CE136" i="23" s="1"/>
  <c r="CE151" i="23" s="1"/>
  <c r="BW16" i="23"/>
  <c r="BY16" i="23" s="1"/>
  <c r="BQ16" i="23"/>
  <c r="BS16" i="23" s="1"/>
  <c r="BK16" i="23"/>
  <c r="BM16" i="23" s="1"/>
  <c r="BE16" i="23"/>
  <c r="BG16" i="23" s="1"/>
  <c r="AY16" i="23"/>
  <c r="BA16" i="23" s="1"/>
  <c r="AS16" i="23"/>
  <c r="AU16" i="23" s="1"/>
  <c r="AM16" i="23"/>
  <c r="AO16" i="23" s="1"/>
  <c r="AG16" i="23"/>
  <c r="AI16" i="23" s="1"/>
  <c r="AA16" i="23"/>
  <c r="AC16" i="23" s="1"/>
  <c r="U16" i="23"/>
  <c r="W16" i="23" s="1"/>
  <c r="P16" i="23"/>
  <c r="Q16" i="23" s="1"/>
  <c r="J16" i="23"/>
  <c r="K16" i="23" s="1"/>
  <c r="D16" i="23"/>
  <c r="E16" i="23" s="1"/>
  <c r="CO15" i="23"/>
  <c r="CQ15" i="23" s="1"/>
  <c r="CQ30" i="23" s="1"/>
  <c r="CQ45" i="23" s="1"/>
  <c r="CQ60" i="23" s="1"/>
  <c r="CQ75" i="23" s="1"/>
  <c r="CQ90" i="23" s="1"/>
  <c r="CQ105" i="23" s="1"/>
  <c r="CQ120" i="23" s="1"/>
  <c r="CQ135" i="23" s="1"/>
  <c r="CQ150" i="23" s="1"/>
  <c r="CI15" i="23"/>
  <c r="CI30" i="23" s="1"/>
  <c r="CI45" i="23" s="1"/>
  <c r="CI60" i="23" s="1"/>
  <c r="CI75" i="23" s="1"/>
  <c r="CI90" i="23" s="1"/>
  <c r="CI105" i="23" s="1"/>
  <c r="CI120" i="23" s="1"/>
  <c r="CI135" i="23" s="1"/>
  <c r="CI150" i="23" s="1"/>
  <c r="CC15" i="23"/>
  <c r="CE15" i="23" s="1"/>
  <c r="CE30" i="23" s="1"/>
  <c r="CE45" i="23" s="1"/>
  <c r="CE60" i="23" s="1"/>
  <c r="CE75" i="23" s="1"/>
  <c r="CE90" i="23" s="1"/>
  <c r="CE105" i="23" s="1"/>
  <c r="CE120" i="23" s="1"/>
  <c r="CE135" i="23" s="1"/>
  <c r="CE150" i="23" s="1"/>
  <c r="BW15" i="23"/>
  <c r="BY15" i="23" s="1"/>
  <c r="BQ15" i="23"/>
  <c r="BS15" i="23" s="1"/>
  <c r="BK15" i="23"/>
  <c r="BM15" i="23" s="1"/>
  <c r="BE15" i="23"/>
  <c r="BG15" i="23" s="1"/>
  <c r="AY15" i="23"/>
  <c r="BA15" i="23" s="1"/>
  <c r="AS15" i="23"/>
  <c r="AU15" i="23" s="1"/>
  <c r="AM15" i="23"/>
  <c r="AO15" i="23" s="1"/>
  <c r="AG15" i="23"/>
  <c r="AI15" i="23" s="1"/>
  <c r="AA15" i="23"/>
  <c r="AC15" i="23" s="1"/>
  <c r="U15" i="23"/>
  <c r="W15" i="23" s="1"/>
  <c r="P15" i="23"/>
  <c r="Q15" i="23" s="1"/>
  <c r="J15" i="23"/>
  <c r="K15" i="23" s="1"/>
  <c r="D15" i="23"/>
  <c r="E15" i="23" s="1"/>
  <c r="CO14" i="23"/>
  <c r="CQ14" i="23" s="1"/>
  <c r="CQ29" i="23" s="1"/>
  <c r="CQ44" i="23" s="1"/>
  <c r="CQ59" i="23" s="1"/>
  <c r="CQ74" i="23" s="1"/>
  <c r="CQ89" i="23" s="1"/>
  <c r="CQ104" i="23" s="1"/>
  <c r="CQ119" i="23" s="1"/>
  <c r="CQ134" i="23" s="1"/>
  <c r="CQ149" i="23" s="1"/>
  <c r="CI14" i="23"/>
  <c r="CI29" i="23" s="1"/>
  <c r="CI44" i="23" s="1"/>
  <c r="CI59" i="23" s="1"/>
  <c r="CI74" i="23" s="1"/>
  <c r="CI89" i="23" s="1"/>
  <c r="CI104" i="23" s="1"/>
  <c r="CI119" i="23" s="1"/>
  <c r="CI134" i="23" s="1"/>
  <c r="CI149" i="23" s="1"/>
  <c r="CC14" i="23"/>
  <c r="CE14" i="23" s="1"/>
  <c r="CE29" i="23" s="1"/>
  <c r="CE44" i="23" s="1"/>
  <c r="CE59" i="23" s="1"/>
  <c r="CE74" i="23" s="1"/>
  <c r="CE89" i="23" s="1"/>
  <c r="CE104" i="23" s="1"/>
  <c r="CE119" i="23" s="1"/>
  <c r="CE134" i="23" s="1"/>
  <c r="CE149" i="23" s="1"/>
  <c r="BW14" i="23"/>
  <c r="BY14" i="23" s="1"/>
  <c r="BQ14" i="23"/>
  <c r="BS14" i="23" s="1"/>
  <c r="BK14" i="23"/>
  <c r="BM14" i="23" s="1"/>
  <c r="BE14" i="23"/>
  <c r="BG14" i="23" s="1"/>
  <c r="AY14" i="23"/>
  <c r="BA14" i="23" s="1"/>
  <c r="AS14" i="23"/>
  <c r="AU14" i="23" s="1"/>
  <c r="AM14" i="23"/>
  <c r="AO14" i="23" s="1"/>
  <c r="AG14" i="23"/>
  <c r="AI14" i="23" s="1"/>
  <c r="AA14" i="23"/>
  <c r="AC14" i="23" s="1"/>
  <c r="U14" i="23"/>
  <c r="W14" i="23" s="1"/>
  <c r="P14" i="23"/>
  <c r="Q14" i="23" s="1"/>
  <c r="J14" i="23"/>
  <c r="K14" i="23" s="1"/>
  <c r="D14" i="23"/>
  <c r="E14" i="23" s="1"/>
  <c r="CO13" i="23"/>
  <c r="CQ13" i="23" s="1"/>
  <c r="CQ28" i="23" s="1"/>
  <c r="CQ43" i="23" s="1"/>
  <c r="CQ58" i="23" s="1"/>
  <c r="CQ73" i="23" s="1"/>
  <c r="CQ88" i="23" s="1"/>
  <c r="CQ103" i="23" s="1"/>
  <c r="CQ118" i="23" s="1"/>
  <c r="CQ133" i="23" s="1"/>
  <c r="CQ148" i="23" s="1"/>
  <c r="CI13" i="23"/>
  <c r="CI28" i="23" s="1"/>
  <c r="CI43" i="23" s="1"/>
  <c r="CI58" i="23" s="1"/>
  <c r="CI73" i="23" s="1"/>
  <c r="CI88" i="23" s="1"/>
  <c r="CI103" i="23" s="1"/>
  <c r="CI118" i="23" s="1"/>
  <c r="CI133" i="23" s="1"/>
  <c r="CI148" i="23" s="1"/>
  <c r="CC13" i="23"/>
  <c r="CE13" i="23" s="1"/>
  <c r="CE28" i="23" s="1"/>
  <c r="CE43" i="23" s="1"/>
  <c r="CE58" i="23" s="1"/>
  <c r="CE73" i="23" s="1"/>
  <c r="CE88" i="23" s="1"/>
  <c r="CE103" i="23" s="1"/>
  <c r="CE118" i="23" s="1"/>
  <c r="CE133" i="23" s="1"/>
  <c r="CE148" i="23" s="1"/>
  <c r="BW13" i="23"/>
  <c r="BY13" i="23" s="1"/>
  <c r="BQ13" i="23"/>
  <c r="BS13" i="23" s="1"/>
  <c r="BK13" i="23"/>
  <c r="BM13" i="23" s="1"/>
  <c r="BE13" i="23"/>
  <c r="BG13" i="23" s="1"/>
  <c r="AY13" i="23"/>
  <c r="BA13" i="23" s="1"/>
  <c r="AS13" i="23"/>
  <c r="AU13" i="23" s="1"/>
  <c r="AM13" i="23"/>
  <c r="AO13" i="23" s="1"/>
  <c r="AG13" i="23"/>
  <c r="AI13" i="23" s="1"/>
  <c r="AA13" i="23"/>
  <c r="AC13" i="23" s="1"/>
  <c r="U13" i="23"/>
  <c r="W13" i="23" s="1"/>
  <c r="P13" i="23"/>
  <c r="Q13" i="23" s="1"/>
  <c r="J13" i="23"/>
  <c r="K13" i="23" s="1"/>
  <c r="D13" i="23"/>
  <c r="E13" i="23" s="1"/>
  <c r="CO12" i="23"/>
  <c r="CQ12" i="23" s="1"/>
  <c r="CQ27" i="23" s="1"/>
  <c r="CQ42" i="23" s="1"/>
  <c r="CQ57" i="23" s="1"/>
  <c r="CQ72" i="23" s="1"/>
  <c r="CQ87" i="23" s="1"/>
  <c r="CQ102" i="23" s="1"/>
  <c r="CQ117" i="23" s="1"/>
  <c r="CQ132" i="23" s="1"/>
  <c r="CQ147" i="23" s="1"/>
  <c r="CI12" i="23"/>
  <c r="CI27" i="23" s="1"/>
  <c r="CI42" i="23" s="1"/>
  <c r="CI57" i="23" s="1"/>
  <c r="CI72" i="23" s="1"/>
  <c r="CI87" i="23" s="1"/>
  <c r="CI102" i="23" s="1"/>
  <c r="CI117" i="23" s="1"/>
  <c r="CI132" i="23" s="1"/>
  <c r="CI147" i="23" s="1"/>
  <c r="CC12" i="23"/>
  <c r="CE12" i="23" s="1"/>
  <c r="CE27" i="23" s="1"/>
  <c r="CE42" i="23" s="1"/>
  <c r="CE57" i="23" s="1"/>
  <c r="CE72" i="23" s="1"/>
  <c r="CE87" i="23" s="1"/>
  <c r="CE102" i="23" s="1"/>
  <c r="CE117" i="23" s="1"/>
  <c r="CE132" i="23" s="1"/>
  <c r="CE147" i="23" s="1"/>
  <c r="BW12" i="23"/>
  <c r="BY12" i="23" s="1"/>
  <c r="BQ12" i="23"/>
  <c r="BS12" i="23" s="1"/>
  <c r="BK12" i="23"/>
  <c r="BM12" i="23" s="1"/>
  <c r="BE12" i="23"/>
  <c r="BG12" i="23" s="1"/>
  <c r="AY12" i="23"/>
  <c r="BA12" i="23" s="1"/>
  <c r="AS12" i="23"/>
  <c r="AU12" i="23" s="1"/>
  <c r="AM12" i="23"/>
  <c r="AO12" i="23" s="1"/>
  <c r="AG12" i="23"/>
  <c r="AI12" i="23" s="1"/>
  <c r="AA12" i="23"/>
  <c r="AC12" i="23" s="1"/>
  <c r="U12" i="23"/>
  <c r="W12" i="23" s="1"/>
  <c r="P12" i="23"/>
  <c r="Q12" i="23" s="1"/>
  <c r="J12" i="23"/>
  <c r="K12" i="23" s="1"/>
  <c r="D12" i="23"/>
  <c r="E12" i="23" s="1"/>
  <c r="CO11" i="23"/>
  <c r="CQ11" i="23" s="1"/>
  <c r="CQ26" i="23" s="1"/>
  <c r="CQ41" i="23" s="1"/>
  <c r="CQ56" i="23" s="1"/>
  <c r="CQ71" i="23" s="1"/>
  <c r="CQ86" i="23" s="1"/>
  <c r="CQ101" i="23" s="1"/>
  <c r="CQ116" i="23" s="1"/>
  <c r="CQ131" i="23" s="1"/>
  <c r="CQ146" i="23" s="1"/>
  <c r="CI11" i="23"/>
  <c r="CI26" i="23" s="1"/>
  <c r="CI41" i="23" s="1"/>
  <c r="CI56" i="23" s="1"/>
  <c r="CI71" i="23" s="1"/>
  <c r="CI86" i="23" s="1"/>
  <c r="CI101" i="23" s="1"/>
  <c r="CI116" i="23" s="1"/>
  <c r="CI131" i="23" s="1"/>
  <c r="CI146" i="23" s="1"/>
  <c r="CC11" i="23"/>
  <c r="CE11" i="23" s="1"/>
  <c r="CE26" i="23" s="1"/>
  <c r="CE41" i="23" s="1"/>
  <c r="CE56" i="23" s="1"/>
  <c r="CE71" i="23" s="1"/>
  <c r="CE86" i="23" s="1"/>
  <c r="CE101" i="23" s="1"/>
  <c r="CE116" i="23" s="1"/>
  <c r="CE131" i="23" s="1"/>
  <c r="CE146" i="23" s="1"/>
  <c r="BW11" i="23"/>
  <c r="BY11" i="23" s="1"/>
  <c r="BQ11" i="23"/>
  <c r="BS11" i="23" s="1"/>
  <c r="BK11" i="23"/>
  <c r="BM11" i="23" s="1"/>
  <c r="BE11" i="23"/>
  <c r="BG11" i="23" s="1"/>
  <c r="AY11" i="23"/>
  <c r="BA11" i="23" s="1"/>
  <c r="AS11" i="23"/>
  <c r="AU11" i="23" s="1"/>
  <c r="AM11" i="23"/>
  <c r="AO11" i="23" s="1"/>
  <c r="AG11" i="23"/>
  <c r="AI11" i="23" s="1"/>
  <c r="AA11" i="23"/>
  <c r="AC11" i="23" s="1"/>
  <c r="U11" i="23"/>
  <c r="W11" i="23" s="1"/>
  <c r="P11" i="23"/>
  <c r="Q11" i="23" s="1"/>
  <c r="J11" i="23"/>
  <c r="K11" i="23" s="1"/>
  <c r="D11" i="23"/>
  <c r="E11" i="23" s="1"/>
  <c r="CO10" i="23"/>
  <c r="CO25" i="23" s="1"/>
  <c r="CO40" i="23" s="1"/>
  <c r="CO55" i="23" s="1"/>
  <c r="CI10" i="23"/>
  <c r="CC10" i="23"/>
  <c r="BW10" i="23"/>
  <c r="BY10" i="23" s="1"/>
  <c r="BQ10" i="23"/>
  <c r="BS10" i="23" s="1"/>
  <c r="BK10" i="23"/>
  <c r="BM10" i="23" s="1"/>
  <c r="BE10" i="23"/>
  <c r="BG10" i="23" s="1"/>
  <c r="AY10" i="23"/>
  <c r="BA10" i="23" s="1"/>
  <c r="AS10" i="23"/>
  <c r="AU10" i="23" s="1"/>
  <c r="AM10" i="23"/>
  <c r="AO10" i="23" s="1"/>
  <c r="AG10" i="23"/>
  <c r="AI10" i="23" s="1"/>
  <c r="AA10" i="23"/>
  <c r="AC10" i="23" s="1"/>
  <c r="U10" i="23"/>
  <c r="W10" i="23" s="1"/>
  <c r="P10" i="23"/>
  <c r="Q10" i="23" s="1"/>
  <c r="J10" i="23"/>
  <c r="K10" i="23" s="1"/>
  <c r="D10" i="23"/>
  <c r="E10" i="23" s="1"/>
  <c r="CO9" i="23"/>
  <c r="CQ9" i="23" s="1"/>
  <c r="CQ24" i="23" s="1"/>
  <c r="CQ39" i="23" s="1"/>
  <c r="CQ54" i="23" s="1"/>
  <c r="CQ69" i="23" s="1"/>
  <c r="CQ84" i="23" s="1"/>
  <c r="CQ99" i="23" s="1"/>
  <c r="CQ114" i="23" s="1"/>
  <c r="CQ129" i="23" s="1"/>
  <c r="CQ144" i="23" s="1"/>
  <c r="CI9" i="23"/>
  <c r="CC9" i="23"/>
  <c r="CE9" i="23" s="1"/>
  <c r="CE24" i="23" s="1"/>
  <c r="CE39" i="23" s="1"/>
  <c r="CE54" i="23" s="1"/>
  <c r="CE69" i="23" s="1"/>
  <c r="CE84" i="23" s="1"/>
  <c r="CE99" i="23" s="1"/>
  <c r="CE114" i="23" s="1"/>
  <c r="CE129" i="23" s="1"/>
  <c r="CE144" i="23" s="1"/>
  <c r="BW9" i="23"/>
  <c r="BY9" i="23" s="1"/>
  <c r="BQ9" i="23"/>
  <c r="BS9" i="23" s="1"/>
  <c r="BK9" i="23"/>
  <c r="BM9" i="23" s="1"/>
  <c r="BE9" i="23"/>
  <c r="BG9" i="23" s="1"/>
  <c r="AY9" i="23"/>
  <c r="BA9" i="23" s="1"/>
  <c r="AS9" i="23"/>
  <c r="AU9" i="23" s="1"/>
  <c r="AM9" i="23"/>
  <c r="AO9" i="23" s="1"/>
  <c r="AG9" i="23"/>
  <c r="AI9" i="23" s="1"/>
  <c r="AA9" i="23"/>
  <c r="AC9" i="23" s="1"/>
  <c r="U9" i="23"/>
  <c r="W9" i="23" s="1"/>
  <c r="P9" i="23"/>
  <c r="Q9" i="23" s="1"/>
  <c r="J9" i="23"/>
  <c r="K9" i="23" s="1"/>
  <c r="D9" i="23"/>
  <c r="E9" i="23" s="1"/>
  <c r="CO8" i="23"/>
  <c r="CO23" i="23" s="1"/>
  <c r="CO38" i="23" s="1"/>
  <c r="CO53" i="23" s="1"/>
  <c r="CI8" i="23"/>
  <c r="CC8" i="23"/>
  <c r="CE8" i="23" s="1"/>
  <c r="CE23" i="23" s="1"/>
  <c r="CE38" i="23" s="1"/>
  <c r="CE53" i="23" s="1"/>
  <c r="CE68" i="23" s="1"/>
  <c r="CE83" i="23" s="1"/>
  <c r="CE98" i="23" s="1"/>
  <c r="CE113" i="23" s="1"/>
  <c r="CE128" i="23" s="1"/>
  <c r="CE143" i="23" s="1"/>
  <c r="BW8" i="23"/>
  <c r="BY8" i="23" s="1"/>
  <c r="BQ8" i="23"/>
  <c r="BS8" i="23" s="1"/>
  <c r="BK8" i="23"/>
  <c r="BM8" i="23" s="1"/>
  <c r="BE8" i="23"/>
  <c r="BG8" i="23" s="1"/>
  <c r="AY8" i="23"/>
  <c r="BA8" i="23" s="1"/>
  <c r="AS8" i="23"/>
  <c r="AU8" i="23" s="1"/>
  <c r="AM8" i="23"/>
  <c r="AO8" i="23" s="1"/>
  <c r="AG8" i="23"/>
  <c r="AI8" i="23" s="1"/>
  <c r="AA8" i="23"/>
  <c r="AC8" i="23" s="1"/>
  <c r="U8" i="23"/>
  <c r="W8" i="23" s="1"/>
  <c r="P8" i="23"/>
  <c r="Q8" i="23" s="1"/>
  <c r="J8" i="23"/>
  <c r="K8" i="23" s="1"/>
  <c r="D8" i="23"/>
  <c r="E8" i="23" s="1"/>
  <c r="CO7" i="23"/>
  <c r="CQ7" i="23" s="1"/>
  <c r="CQ22" i="23" s="1"/>
  <c r="CQ37" i="23" s="1"/>
  <c r="CQ52" i="23" s="1"/>
  <c r="CQ67" i="23" s="1"/>
  <c r="CQ82" i="23" s="1"/>
  <c r="CQ97" i="23" s="1"/>
  <c r="CQ112" i="23" s="1"/>
  <c r="CQ127" i="23" s="1"/>
  <c r="CQ142" i="23" s="1"/>
  <c r="CI7" i="23"/>
  <c r="CC7" i="23"/>
  <c r="CE7" i="23" s="1"/>
  <c r="CE22" i="23" s="1"/>
  <c r="CE37" i="23" s="1"/>
  <c r="CE52" i="23" s="1"/>
  <c r="CE67" i="23" s="1"/>
  <c r="CE82" i="23" s="1"/>
  <c r="CE97" i="23" s="1"/>
  <c r="CE112" i="23" s="1"/>
  <c r="CE127" i="23" s="1"/>
  <c r="CE142" i="23" s="1"/>
  <c r="BW7" i="23"/>
  <c r="BY7" i="23" s="1"/>
  <c r="BQ7" i="23"/>
  <c r="BS7" i="23" s="1"/>
  <c r="BK7" i="23"/>
  <c r="BM7" i="23" s="1"/>
  <c r="BE7" i="23"/>
  <c r="BG7" i="23" s="1"/>
  <c r="AY7" i="23"/>
  <c r="BA7" i="23" s="1"/>
  <c r="AS7" i="23"/>
  <c r="AU7" i="23" s="1"/>
  <c r="AM7" i="23"/>
  <c r="AO7" i="23" s="1"/>
  <c r="AG7" i="23"/>
  <c r="AI7" i="23" s="1"/>
  <c r="AA7" i="23"/>
  <c r="AC7" i="23" s="1"/>
  <c r="U7" i="23"/>
  <c r="W7" i="23" s="1"/>
  <c r="P7" i="23"/>
  <c r="Q7" i="23" s="1"/>
  <c r="J7" i="23"/>
  <c r="K7" i="23" s="1"/>
  <c r="D7" i="23"/>
  <c r="E7" i="23" s="1"/>
  <c r="CO6" i="23"/>
  <c r="CO21" i="23" s="1"/>
  <c r="CO36" i="23" s="1"/>
  <c r="CO51" i="23" s="1"/>
  <c r="CI6" i="23"/>
  <c r="CI21" i="23" s="1"/>
  <c r="CI36" i="23" s="1"/>
  <c r="CI51" i="23" s="1"/>
  <c r="CI66" i="23" s="1"/>
  <c r="CI81" i="23" s="1"/>
  <c r="CI96" i="23" s="1"/>
  <c r="CI111" i="23" s="1"/>
  <c r="CI126" i="23" s="1"/>
  <c r="CI141" i="23" s="1"/>
  <c r="CC6" i="23"/>
  <c r="BW6" i="23"/>
  <c r="BY6" i="23" s="1"/>
  <c r="BQ6" i="23"/>
  <c r="BS6" i="23" s="1"/>
  <c r="BK6" i="23"/>
  <c r="BM6" i="23" s="1"/>
  <c r="BE6" i="23"/>
  <c r="BG6" i="23" s="1"/>
  <c r="AY6" i="23"/>
  <c r="BA6" i="23" s="1"/>
  <c r="AS6" i="23"/>
  <c r="AU6" i="23" s="1"/>
  <c r="AM6" i="23"/>
  <c r="AO6" i="23" s="1"/>
  <c r="AG6" i="23"/>
  <c r="AI6" i="23" s="1"/>
  <c r="AA6" i="23"/>
  <c r="AC6" i="23" s="1"/>
  <c r="U6" i="23"/>
  <c r="W6" i="23" s="1"/>
  <c r="P6" i="23"/>
  <c r="Q6" i="23" s="1"/>
  <c r="J6" i="23"/>
  <c r="D6" i="23"/>
  <c r="E6" i="23" s="1"/>
  <c r="CO5" i="23"/>
  <c r="CO20" i="23" s="1"/>
  <c r="CO35" i="23" s="1"/>
  <c r="CO50" i="23" s="1"/>
  <c r="CI5" i="23"/>
  <c r="CI20" i="23" s="1"/>
  <c r="CI35" i="23" s="1"/>
  <c r="CI50" i="23" s="1"/>
  <c r="CC5" i="23"/>
  <c r="CC20" i="23" s="1"/>
  <c r="BW5" i="23"/>
  <c r="BY5" i="23" s="1"/>
  <c r="BQ5" i="23"/>
  <c r="BS5" i="23" s="1"/>
  <c r="BK5" i="23"/>
  <c r="BM5" i="23" s="1"/>
  <c r="BE5" i="23"/>
  <c r="BG5" i="23" s="1"/>
  <c r="AY5" i="23"/>
  <c r="BA5" i="23" s="1"/>
  <c r="AS5" i="23"/>
  <c r="AU5" i="23" s="1"/>
  <c r="AM5" i="23"/>
  <c r="AO5" i="23" s="1"/>
  <c r="AG5" i="23"/>
  <c r="AI5" i="23" s="1"/>
  <c r="AA5" i="23"/>
  <c r="AC5" i="23" s="1"/>
  <c r="U5" i="23"/>
  <c r="W5" i="23" s="1"/>
  <c r="P5" i="23"/>
  <c r="Q5" i="23" s="1"/>
  <c r="J5" i="23"/>
  <c r="K5" i="23" s="1"/>
  <c r="D5" i="23"/>
  <c r="E5" i="23" s="1"/>
  <c r="CI3" i="23"/>
  <c r="CI18" i="23" s="1"/>
  <c r="CI33" i="23" s="1"/>
  <c r="CI48" i="23" s="1"/>
  <c r="CI63" i="23" s="1"/>
  <c r="CI78" i="23" s="1"/>
  <c r="CI93" i="23" s="1"/>
  <c r="CI108" i="23" s="1"/>
  <c r="CI123" i="23" s="1"/>
  <c r="CI138" i="23" s="1"/>
  <c r="CC3" i="23"/>
  <c r="CC18" i="23" s="1"/>
  <c r="CC33" i="23" s="1"/>
  <c r="CC48" i="23" s="1"/>
  <c r="CC63" i="23" s="1"/>
  <c r="CC78" i="23" s="1"/>
  <c r="CC93" i="23" s="1"/>
  <c r="CC108" i="23" s="1"/>
  <c r="CC123" i="23" s="1"/>
  <c r="CC138" i="23" s="1"/>
  <c r="BW3" i="23"/>
  <c r="BW18" i="23" s="1"/>
  <c r="BW33" i="23" s="1"/>
  <c r="BW48" i="23" s="1"/>
  <c r="BW63" i="23" s="1"/>
  <c r="BW78" i="23" s="1"/>
  <c r="BW93" i="23" s="1"/>
  <c r="BW108" i="23" s="1"/>
  <c r="BW123" i="23" s="1"/>
  <c r="BW138" i="23" s="1"/>
  <c r="BK3" i="23"/>
  <c r="BK18" i="23" s="1"/>
  <c r="BK33" i="23" s="1"/>
  <c r="BK48" i="23" s="1"/>
  <c r="BK63" i="23" s="1"/>
  <c r="BK78" i="23" s="1"/>
  <c r="BK93" i="23" s="1"/>
  <c r="BK108" i="23" s="1"/>
  <c r="BK123" i="23" s="1"/>
  <c r="BK138" i="23" s="1"/>
  <c r="AM3" i="23"/>
  <c r="AM18" i="23" s="1"/>
  <c r="AM33" i="23" s="1"/>
  <c r="AM48" i="23" s="1"/>
  <c r="AM63" i="23" s="1"/>
  <c r="AM78" i="23" s="1"/>
  <c r="AM93" i="23" s="1"/>
  <c r="AM108" i="23" s="1"/>
  <c r="AM123" i="23" s="1"/>
  <c r="AM138" i="23" s="1"/>
  <c r="AG3" i="23"/>
  <c r="AG18" i="23" s="1"/>
  <c r="AG33" i="23" s="1"/>
  <c r="AG48" i="23" s="1"/>
  <c r="AG63" i="23" s="1"/>
  <c r="AG78" i="23" s="1"/>
  <c r="AG93" i="23" s="1"/>
  <c r="AG108" i="23" s="1"/>
  <c r="AG123" i="23" s="1"/>
  <c r="AG138" i="23" s="1"/>
  <c r="AA3" i="23"/>
  <c r="AA18" i="23" s="1"/>
  <c r="AA33" i="23" s="1"/>
  <c r="AA48" i="23" s="1"/>
  <c r="AA63" i="23" s="1"/>
  <c r="AA78" i="23" s="1"/>
  <c r="AA93" i="23" s="1"/>
  <c r="AA108" i="23" s="1"/>
  <c r="AA123" i="23" s="1"/>
  <c r="AA138" i="23" s="1"/>
  <c r="U3" i="23"/>
  <c r="U18" i="23" s="1"/>
  <c r="U33" i="23" s="1"/>
  <c r="U48" i="23" s="1"/>
  <c r="U63" i="23" s="1"/>
  <c r="U78" i="23" s="1"/>
  <c r="U93" i="23" s="1"/>
  <c r="U108" i="23" s="1"/>
  <c r="U123" i="23" s="1"/>
  <c r="U138" i="23" s="1"/>
  <c r="C273" i="23" l="1"/>
  <c r="CI80" i="23"/>
  <c r="CI95" i="23" s="1"/>
  <c r="CI110" i="23" s="1"/>
  <c r="CI125" i="23" s="1"/>
  <c r="CI140" i="23" s="1"/>
  <c r="CI65" i="23"/>
  <c r="CO80" i="23"/>
  <c r="CO95" i="23" s="1"/>
  <c r="CO110" i="23" s="1"/>
  <c r="CO125" i="23" s="1"/>
  <c r="CO140" i="23" s="1"/>
  <c r="CO65" i="23"/>
  <c r="C260" i="23"/>
  <c r="CO66" i="23"/>
  <c r="CO81" i="23"/>
  <c r="CO68" i="23"/>
  <c r="CO83" i="23"/>
  <c r="CO70" i="23"/>
  <c r="CO85" i="23"/>
  <c r="BQ3" i="23"/>
  <c r="BQ18" i="23" s="1"/>
  <c r="BQ33" i="23" s="1"/>
  <c r="BQ48" i="23" s="1"/>
  <c r="BQ63" i="23" s="1"/>
  <c r="BQ78" i="23" s="1"/>
  <c r="BQ93" i="23" s="1"/>
  <c r="BQ108" i="23" s="1"/>
  <c r="BQ123" i="23" s="1"/>
  <c r="BQ138" i="23" s="1"/>
  <c r="CK5" i="23"/>
  <c r="CK20" i="23" s="1"/>
  <c r="CK35" i="23" s="1"/>
  <c r="CK50" i="23" s="1"/>
  <c r="CE5" i="23"/>
  <c r="CE20" i="23" s="1"/>
  <c r="CE35" i="23" s="1"/>
  <c r="CE50" i="23" s="1"/>
  <c r="CE65" i="23" s="1"/>
  <c r="CQ10" i="23"/>
  <c r="CQ25" i="23" s="1"/>
  <c r="CQ40" i="23" s="1"/>
  <c r="CQ55" i="23" s="1"/>
  <c r="CQ70" i="23" s="1"/>
  <c r="CQ85" i="23" s="1"/>
  <c r="CQ100" i="23" s="1"/>
  <c r="CQ115" i="23" s="1"/>
  <c r="CQ130" i="23" s="1"/>
  <c r="CQ145" i="23" s="1"/>
  <c r="CO30" i="23"/>
  <c r="CO45" i="23" s="1"/>
  <c r="CO60" i="23" s="1"/>
  <c r="CO27" i="23"/>
  <c r="CO42" i="23" s="1"/>
  <c r="CO57" i="23" s="1"/>
  <c r="CO31" i="23"/>
  <c r="CO46" i="23" s="1"/>
  <c r="CO61" i="23" s="1"/>
  <c r="CK6" i="23"/>
  <c r="CK21" i="23" s="1"/>
  <c r="CK36" i="23" s="1"/>
  <c r="CK51" i="23" s="1"/>
  <c r="CK66" i="23" s="1"/>
  <c r="CK81" i="23" s="1"/>
  <c r="CK96" i="23" s="1"/>
  <c r="CK111" i="23" s="1"/>
  <c r="CK126" i="23" s="1"/>
  <c r="CK141" i="23" s="1"/>
  <c r="CQ5" i="23"/>
  <c r="CQ20" i="23" s="1"/>
  <c r="CQ35" i="23" s="1"/>
  <c r="CQ50" i="23" s="1"/>
  <c r="CO24" i="23"/>
  <c r="CO39" i="23" s="1"/>
  <c r="CO54" i="23" s="1"/>
  <c r="AS3" i="23"/>
  <c r="AS18" i="23" s="1"/>
  <c r="AS33" i="23" s="1"/>
  <c r="AS48" i="23" s="1"/>
  <c r="AS63" i="23" s="1"/>
  <c r="AS78" i="23" s="1"/>
  <c r="AS93" i="23" s="1"/>
  <c r="AS108" i="23" s="1"/>
  <c r="AS123" i="23" s="1"/>
  <c r="AS138" i="23" s="1"/>
  <c r="BE3" i="23"/>
  <c r="BE18" i="23" s="1"/>
  <c r="BE33" i="23" s="1"/>
  <c r="BE48" i="23" s="1"/>
  <c r="BE63" i="23" s="1"/>
  <c r="BE78" i="23" s="1"/>
  <c r="BE93" i="23" s="1"/>
  <c r="BE108" i="23" s="1"/>
  <c r="BE123" i="23" s="1"/>
  <c r="BE138" i="23" s="1"/>
  <c r="J173" i="23"/>
  <c r="J190" i="23" s="1"/>
  <c r="J207" i="23" s="1"/>
  <c r="J223" i="23" s="1"/>
  <c r="J239" i="23" s="1"/>
  <c r="J279" i="23" s="1"/>
  <c r="L173" i="23"/>
  <c r="L190" i="23" s="1"/>
  <c r="L207" i="23" s="1"/>
  <c r="L223" i="23" s="1"/>
  <c r="L239" i="23" s="1"/>
  <c r="L279" i="23" s="1"/>
  <c r="AF156" i="23"/>
  <c r="AF173" i="23" s="1"/>
  <c r="AF190" i="23" s="1"/>
  <c r="AF207" i="23" s="1"/>
  <c r="AF223" i="23" s="1"/>
  <c r="AF239" i="23" s="1"/>
  <c r="CI22" i="23"/>
  <c r="CI37" i="23" s="1"/>
  <c r="CI52" i="23" s="1"/>
  <c r="CI67" i="23" s="1"/>
  <c r="CI82" i="23" s="1"/>
  <c r="CI97" i="23" s="1"/>
  <c r="CI112" i="23" s="1"/>
  <c r="CI127" i="23" s="1"/>
  <c r="CI142" i="23" s="1"/>
  <c r="CK7" i="23"/>
  <c r="CK22" i="23" s="1"/>
  <c r="CK37" i="23" s="1"/>
  <c r="CK52" i="23" s="1"/>
  <c r="CK67" i="23" s="1"/>
  <c r="CK82" i="23" s="1"/>
  <c r="CK97" i="23" s="1"/>
  <c r="CK112" i="23" s="1"/>
  <c r="CK127" i="23" s="1"/>
  <c r="CK142" i="23" s="1"/>
  <c r="CI24" i="23"/>
  <c r="CI39" i="23" s="1"/>
  <c r="CI54" i="23" s="1"/>
  <c r="CI69" i="23" s="1"/>
  <c r="CI84" i="23" s="1"/>
  <c r="CI99" i="23" s="1"/>
  <c r="CI114" i="23" s="1"/>
  <c r="CI129" i="23" s="1"/>
  <c r="CI144" i="23" s="1"/>
  <c r="CK9" i="23"/>
  <c r="CK24" i="23" s="1"/>
  <c r="CK39" i="23" s="1"/>
  <c r="CK54" i="23" s="1"/>
  <c r="CK69" i="23" s="1"/>
  <c r="CK84" i="23" s="1"/>
  <c r="CK99" i="23" s="1"/>
  <c r="CK114" i="23" s="1"/>
  <c r="CK129" i="23" s="1"/>
  <c r="CK144" i="23" s="1"/>
  <c r="CO22" i="23"/>
  <c r="CO37" i="23" s="1"/>
  <c r="CO52" i="23" s="1"/>
  <c r="CC35" i="23"/>
  <c r="CC50" i="23" s="1"/>
  <c r="CC65" i="23" s="1"/>
  <c r="CQ8" i="23"/>
  <c r="CQ23" i="23" s="1"/>
  <c r="CQ38" i="23" s="1"/>
  <c r="CQ53" i="23" s="1"/>
  <c r="CQ68" i="23" s="1"/>
  <c r="CQ83" i="23" s="1"/>
  <c r="CQ98" i="23" s="1"/>
  <c r="CQ113" i="23" s="1"/>
  <c r="CQ128" i="23" s="1"/>
  <c r="CQ143" i="23" s="1"/>
  <c r="CC38" i="23"/>
  <c r="CC53" i="23" s="1"/>
  <c r="CC68" i="23" s="1"/>
  <c r="CC23" i="23"/>
  <c r="CE10" i="23"/>
  <c r="CE25" i="23" s="1"/>
  <c r="CE40" i="23" s="1"/>
  <c r="CE55" i="23" s="1"/>
  <c r="CE70" i="23" s="1"/>
  <c r="CE85" i="23" s="1"/>
  <c r="CE100" i="23" s="1"/>
  <c r="CE115" i="23" s="1"/>
  <c r="CE130" i="23" s="1"/>
  <c r="CE145" i="23" s="1"/>
  <c r="CC25" i="23"/>
  <c r="CO28" i="23"/>
  <c r="CO43" i="23" s="1"/>
  <c r="CO58" i="23" s="1"/>
  <c r="CC40" i="23"/>
  <c r="CC55" i="23" s="1"/>
  <c r="CC70" i="23" s="1"/>
  <c r="CC36" i="23"/>
  <c r="CC51" i="23" s="1"/>
  <c r="CC66" i="23" s="1"/>
  <c r="CC21" i="23"/>
  <c r="CE6" i="23"/>
  <c r="CE21" i="23" s="1"/>
  <c r="CE36" i="23" s="1"/>
  <c r="CE51" i="23" s="1"/>
  <c r="CE66" i="23" s="1"/>
  <c r="CI25" i="23"/>
  <c r="CI40" i="23" s="1"/>
  <c r="CI55" i="23" s="1"/>
  <c r="CI70" i="23" s="1"/>
  <c r="CI85" i="23" s="1"/>
  <c r="CI100" i="23" s="1"/>
  <c r="CI115" i="23" s="1"/>
  <c r="CI130" i="23" s="1"/>
  <c r="CI145" i="23" s="1"/>
  <c r="CK10" i="23"/>
  <c r="CK25" i="23" s="1"/>
  <c r="CK40" i="23" s="1"/>
  <c r="CK55" i="23" s="1"/>
  <c r="CK70" i="23" s="1"/>
  <c r="CK85" i="23" s="1"/>
  <c r="CK100" i="23" s="1"/>
  <c r="CK115" i="23" s="1"/>
  <c r="CK130" i="23" s="1"/>
  <c r="CK145" i="23" s="1"/>
  <c r="CI23" i="23"/>
  <c r="CI38" i="23" s="1"/>
  <c r="CI53" i="23" s="1"/>
  <c r="CI68" i="23" s="1"/>
  <c r="CI83" i="23" s="1"/>
  <c r="CI98" i="23" s="1"/>
  <c r="CI113" i="23" s="1"/>
  <c r="CI128" i="23" s="1"/>
  <c r="CI143" i="23" s="1"/>
  <c r="CK8" i="23"/>
  <c r="CK23" i="23" s="1"/>
  <c r="CK38" i="23" s="1"/>
  <c r="CK53" i="23" s="1"/>
  <c r="CK68" i="23" s="1"/>
  <c r="CK83" i="23" s="1"/>
  <c r="CK98" i="23" s="1"/>
  <c r="CK113" i="23" s="1"/>
  <c r="CK128" i="23" s="1"/>
  <c r="CK143" i="23" s="1"/>
  <c r="CO26" i="23"/>
  <c r="CO41" i="23" s="1"/>
  <c r="CO56" i="23" s="1"/>
  <c r="CQ6" i="23"/>
  <c r="CQ21" i="23" s="1"/>
  <c r="CQ36" i="23" s="1"/>
  <c r="CQ51" i="23" s="1"/>
  <c r="CQ66" i="23" s="1"/>
  <c r="CQ81" i="23" s="1"/>
  <c r="CQ96" i="23" s="1"/>
  <c r="CQ111" i="23" s="1"/>
  <c r="CQ126" i="23" s="1"/>
  <c r="CQ141" i="23" s="1"/>
  <c r="CC37" i="23"/>
  <c r="CC52" i="23" s="1"/>
  <c r="CC67" i="23" s="1"/>
  <c r="CC22" i="23"/>
  <c r="CC39" i="23"/>
  <c r="CC54" i="23" s="1"/>
  <c r="CC69" i="23" s="1"/>
  <c r="CC24" i="23"/>
  <c r="CO29" i="23"/>
  <c r="CO44" i="23" s="1"/>
  <c r="CO59" i="23" s="1"/>
  <c r="CC43" i="23"/>
  <c r="CC58" i="23" s="1"/>
  <c r="CC73" i="23" s="1"/>
  <c r="CK11" i="23"/>
  <c r="CK26" i="23" s="1"/>
  <c r="CK41" i="23" s="1"/>
  <c r="CK56" i="23" s="1"/>
  <c r="CK71" i="23" s="1"/>
  <c r="CK86" i="23" s="1"/>
  <c r="CK101" i="23" s="1"/>
  <c r="CK116" i="23" s="1"/>
  <c r="CK131" i="23" s="1"/>
  <c r="CK146" i="23" s="1"/>
  <c r="CK12" i="23"/>
  <c r="CK27" i="23" s="1"/>
  <c r="CK42" i="23" s="1"/>
  <c r="CK57" i="23" s="1"/>
  <c r="CK72" i="23" s="1"/>
  <c r="CK87" i="23" s="1"/>
  <c r="CK102" i="23" s="1"/>
  <c r="CK117" i="23" s="1"/>
  <c r="CK132" i="23" s="1"/>
  <c r="CK147" i="23" s="1"/>
  <c r="CK13" i="23"/>
  <c r="CK28" i="23" s="1"/>
  <c r="CK43" i="23" s="1"/>
  <c r="CK58" i="23" s="1"/>
  <c r="CK73" i="23" s="1"/>
  <c r="CK88" i="23" s="1"/>
  <c r="CK103" i="23" s="1"/>
  <c r="CK118" i="23" s="1"/>
  <c r="CK133" i="23" s="1"/>
  <c r="CK148" i="23" s="1"/>
  <c r="CK14" i="23"/>
  <c r="CK29" i="23" s="1"/>
  <c r="CK44" i="23" s="1"/>
  <c r="CK59" i="23" s="1"/>
  <c r="CK74" i="23" s="1"/>
  <c r="CK89" i="23" s="1"/>
  <c r="CK104" i="23" s="1"/>
  <c r="CK119" i="23" s="1"/>
  <c r="CK134" i="23" s="1"/>
  <c r="CK149" i="23" s="1"/>
  <c r="CK15" i="23"/>
  <c r="CK30" i="23" s="1"/>
  <c r="CK45" i="23" s="1"/>
  <c r="CK60" i="23" s="1"/>
  <c r="CK75" i="23" s="1"/>
  <c r="CK90" i="23" s="1"/>
  <c r="CK105" i="23" s="1"/>
  <c r="CK120" i="23" s="1"/>
  <c r="CK135" i="23" s="1"/>
  <c r="CK150" i="23" s="1"/>
  <c r="CK16" i="23"/>
  <c r="CK31" i="23" s="1"/>
  <c r="CK46" i="23" s="1"/>
  <c r="CK61" i="23" s="1"/>
  <c r="CK76" i="23" s="1"/>
  <c r="CK91" i="23" s="1"/>
  <c r="CK106" i="23" s="1"/>
  <c r="CK121" i="23" s="1"/>
  <c r="CK136" i="23" s="1"/>
  <c r="CK151" i="23" s="1"/>
  <c r="CC26" i="23"/>
  <c r="CC27" i="23"/>
  <c r="CC28" i="23"/>
  <c r="CC29" i="23"/>
  <c r="CC30" i="23"/>
  <c r="CC31" i="23"/>
  <c r="CC41" i="23"/>
  <c r="CC56" i="23" s="1"/>
  <c r="CC71" i="23" s="1"/>
  <c r="CC44" i="23"/>
  <c r="CC59" i="23" s="1"/>
  <c r="CC74" i="23" s="1"/>
  <c r="CC45" i="23"/>
  <c r="CC60" i="23" s="1"/>
  <c r="CC75" i="23" s="1"/>
  <c r="CC42" i="23"/>
  <c r="CC57" i="23" s="1"/>
  <c r="CC72" i="23" s="1"/>
  <c r="CC46" i="23"/>
  <c r="CC61" i="23" s="1"/>
  <c r="CC76" i="23" s="1"/>
  <c r="K173" i="23"/>
  <c r="K190" i="23" s="1"/>
  <c r="K207" i="23" s="1"/>
  <c r="K223" i="23" s="1"/>
  <c r="K239" i="23" s="1"/>
  <c r="K279" i="23" s="1"/>
  <c r="AC156" i="23"/>
  <c r="AC173" i="23" s="1"/>
  <c r="AC190" i="23" s="1"/>
  <c r="AC207" i="23" s="1"/>
  <c r="AC223" i="23" s="1"/>
  <c r="AC239" i="23" s="1"/>
  <c r="C173" i="23"/>
  <c r="V207" i="23"/>
  <c r="V223" i="23" s="1"/>
  <c r="V239" i="23" s="1"/>
  <c r="D223" i="23"/>
  <c r="D239" i="23" s="1"/>
  <c r="D279" i="23" s="1"/>
  <c r="E223" i="23"/>
  <c r="E239" i="23" s="1"/>
  <c r="E279" i="23" s="1"/>
  <c r="W207" i="23"/>
  <c r="W223" i="23" s="1"/>
  <c r="W239" i="23" s="1"/>
  <c r="I173" i="23"/>
  <c r="I190" i="23" s="1"/>
  <c r="I207" i="23" s="1"/>
  <c r="I223" i="23" s="1"/>
  <c r="I239" i="23" s="1"/>
  <c r="I279" i="23" s="1"/>
  <c r="C270" i="23"/>
  <c r="C266" i="23"/>
  <c r="C262" i="23"/>
  <c r="X156" i="23"/>
  <c r="C264" i="23"/>
  <c r="C263" i="23"/>
  <c r="C268" i="23"/>
  <c r="Y156" i="23"/>
  <c r="Y173" i="23" s="1"/>
  <c r="Y190" i="23" s="1"/>
  <c r="Y207" i="23" s="1"/>
  <c r="Y223" i="23" s="1"/>
  <c r="Y239" i="23" s="1"/>
  <c r="AG156" i="23"/>
  <c r="AG173" i="23" s="1"/>
  <c r="AG190" i="23" s="1"/>
  <c r="AG207" i="23" s="1"/>
  <c r="AG223" i="23" s="1"/>
  <c r="AG239" i="23" s="1"/>
  <c r="Z156" i="23"/>
  <c r="Z173" i="23" s="1"/>
  <c r="Z190" i="23" s="1"/>
  <c r="Z207" i="23" s="1"/>
  <c r="Z223" i="23" s="1"/>
  <c r="Z239" i="23" s="1"/>
  <c r="C272" i="23"/>
  <c r="M173" i="23"/>
  <c r="M190" i="23" s="1"/>
  <c r="M207" i="23" s="1"/>
  <c r="M223" i="23" s="1"/>
  <c r="M239" i="23" s="1"/>
  <c r="M279" i="23" s="1"/>
  <c r="D271" i="23"/>
  <c r="C271" i="23"/>
  <c r="C267" i="23"/>
  <c r="D298" i="23" s="1"/>
  <c r="C269" i="23"/>
  <c r="C261" i="23"/>
  <c r="C265" i="23"/>
  <c r="E271" i="23"/>
  <c r="E268" i="23" l="1"/>
  <c r="E266" i="23"/>
  <c r="D272" i="23"/>
  <c r="D263" i="23"/>
  <c r="CQ80" i="23"/>
  <c r="CQ95" i="23" s="1"/>
  <c r="CQ110" i="23" s="1"/>
  <c r="CQ125" i="23" s="1"/>
  <c r="CQ140" i="23" s="1"/>
  <c r="CQ65" i="23"/>
  <c r="D269" i="23"/>
  <c r="D268" i="23"/>
  <c r="CK80" i="23"/>
  <c r="CK95" i="23" s="1"/>
  <c r="CK110" i="23" s="1"/>
  <c r="CK125" i="23" s="1"/>
  <c r="CK140" i="23" s="1"/>
  <c r="CK65" i="23"/>
  <c r="X173" i="23"/>
  <c r="X190" i="23" s="1"/>
  <c r="X207" i="23" s="1"/>
  <c r="X223" i="23" s="1"/>
  <c r="X239" i="23" s="1"/>
  <c r="D273" i="23"/>
  <c r="D261" i="23"/>
  <c r="E260" i="23"/>
  <c r="E273" i="23"/>
  <c r="CC106" i="23"/>
  <c r="CC121" i="23" s="1"/>
  <c r="CC136" i="23" s="1"/>
  <c r="CC151" i="23" s="1"/>
  <c r="CC90" i="23"/>
  <c r="CC105" i="23" s="1"/>
  <c r="CC120" i="23" s="1"/>
  <c r="CC135" i="23" s="1"/>
  <c r="CC150" i="23" s="1"/>
  <c r="CC86" i="23"/>
  <c r="CC101" i="23" s="1"/>
  <c r="CC116" i="23" s="1"/>
  <c r="CC131" i="23" s="1"/>
  <c r="CC146" i="23" s="1"/>
  <c r="CC89" i="23"/>
  <c r="CC104" i="23" s="1"/>
  <c r="CC119" i="23" s="1"/>
  <c r="CC134" i="23" s="1"/>
  <c r="CC149" i="23" s="1"/>
  <c r="CC88" i="23"/>
  <c r="CC103" i="23" s="1"/>
  <c r="CC118" i="23" s="1"/>
  <c r="CC133" i="23" s="1"/>
  <c r="CC148" i="23" s="1"/>
  <c r="CC85" i="23"/>
  <c r="CC100" i="23" s="1"/>
  <c r="CC115" i="23" s="1"/>
  <c r="CC130" i="23" s="1"/>
  <c r="CC145" i="23" s="1"/>
  <c r="CC87" i="23"/>
  <c r="CC102" i="23" s="1"/>
  <c r="CC117" i="23" s="1"/>
  <c r="CC132" i="23" s="1"/>
  <c r="CC147" i="23" s="1"/>
  <c r="CO74" i="23"/>
  <c r="CO89" i="23"/>
  <c r="CC83" i="23"/>
  <c r="CC98" i="23" s="1"/>
  <c r="CC113" i="23" s="1"/>
  <c r="CC128" i="23" s="1"/>
  <c r="CC143" i="23" s="1"/>
  <c r="CC81" i="23"/>
  <c r="CC96" i="23" s="1"/>
  <c r="CC111" i="23" s="1"/>
  <c r="CC126" i="23" s="1"/>
  <c r="CC141" i="23" s="1"/>
  <c r="CO71" i="23"/>
  <c r="CO86" i="23"/>
  <c r="CC80" i="23"/>
  <c r="CC95" i="23" s="1"/>
  <c r="CC110" i="23" s="1"/>
  <c r="CC125" i="23" s="1"/>
  <c r="CC140" i="23" s="1"/>
  <c r="CC84" i="23"/>
  <c r="CC99" i="23" s="1"/>
  <c r="CC114" i="23" s="1"/>
  <c r="CC129" i="23" s="1"/>
  <c r="CC144" i="23" s="1"/>
  <c r="CO73" i="23"/>
  <c r="CO88" i="23"/>
  <c r="CC82" i="23"/>
  <c r="CC97" i="23" s="1"/>
  <c r="CC112" i="23" s="1"/>
  <c r="CC127" i="23" s="1"/>
  <c r="CC142" i="23" s="1"/>
  <c r="CO67" i="23"/>
  <c r="CO82" i="23"/>
  <c r="CO76" i="23"/>
  <c r="CO91" i="23"/>
  <c r="CO72" i="23"/>
  <c r="CO87" i="23"/>
  <c r="CO75" i="23"/>
  <c r="CO90" i="23"/>
  <c r="CO100" i="23"/>
  <c r="CO115" i="23" s="1"/>
  <c r="CO130" i="23" s="1"/>
  <c r="CO145" i="23" s="1"/>
  <c r="CO98" i="23"/>
  <c r="CO113" i="23" s="1"/>
  <c r="CO128" i="23" s="1"/>
  <c r="CO143" i="23" s="1"/>
  <c r="CO96" i="23"/>
  <c r="CO111" i="23" s="1"/>
  <c r="CO126" i="23" s="1"/>
  <c r="CO141" i="23" s="1"/>
  <c r="D266" i="23"/>
  <c r="D264" i="23"/>
  <c r="D260" i="23"/>
  <c r="D265" i="23"/>
  <c r="D267" i="23"/>
  <c r="D270" i="23"/>
  <c r="E264" i="23"/>
  <c r="E270" i="23"/>
  <c r="CO69" i="23"/>
  <c r="CO84" i="23"/>
  <c r="CE81" i="23"/>
  <c r="CE96" i="23" s="1"/>
  <c r="CE111" i="23" s="1"/>
  <c r="CE126" i="23" s="1"/>
  <c r="CE141" i="23" s="1"/>
  <c r="CE80" i="23"/>
  <c r="CE95" i="23" s="1"/>
  <c r="CE110" i="23" s="1"/>
  <c r="CE125" i="23" s="1"/>
  <c r="CE140" i="23" s="1"/>
  <c r="J350" i="23"/>
  <c r="K350" i="23" s="1"/>
  <c r="B106" i="2"/>
  <c r="D337" i="23"/>
  <c r="U173" i="23"/>
  <c r="E265" i="23"/>
  <c r="E261" i="23"/>
  <c r="E272" i="23"/>
  <c r="E267" i="23"/>
  <c r="D300" i="23" s="1"/>
  <c r="E262" i="23"/>
  <c r="E269" i="23"/>
  <c r="E263" i="23"/>
  <c r="J324" i="23"/>
  <c r="J337" i="23"/>
  <c r="D262" i="23"/>
  <c r="F273" i="23" l="1"/>
  <c r="J338" i="23"/>
  <c r="K86" i="2" s="1"/>
  <c r="CO105" i="23"/>
  <c r="CO120" i="23" s="1"/>
  <c r="CO135" i="23" s="1"/>
  <c r="CO150" i="23" s="1"/>
  <c r="CO102" i="23"/>
  <c r="CO117" i="23" s="1"/>
  <c r="CO132" i="23" s="1"/>
  <c r="CO147" i="23" s="1"/>
  <c r="CO106" i="23"/>
  <c r="CO121" i="23" s="1"/>
  <c r="CO136" i="23" s="1"/>
  <c r="CO151" i="23" s="1"/>
  <c r="CO97" i="23"/>
  <c r="CO112" i="23" s="1"/>
  <c r="CO127" i="23" s="1"/>
  <c r="CO142" i="23" s="1"/>
  <c r="CO103" i="23"/>
  <c r="CO118" i="23" s="1"/>
  <c r="CO133" i="23" s="1"/>
  <c r="CO148" i="23" s="1"/>
  <c r="CO101" i="23"/>
  <c r="CO116" i="23" s="1"/>
  <c r="CO131" i="23" s="1"/>
  <c r="CO146" i="23" s="1"/>
  <c r="CO104" i="23"/>
  <c r="CO119" i="23" s="1"/>
  <c r="CO134" i="23" s="1"/>
  <c r="CO149" i="23" s="1"/>
  <c r="D338" i="23"/>
  <c r="E338" i="23" s="1"/>
  <c r="J325" i="23"/>
  <c r="K325" i="23" s="1"/>
  <c r="CO99" i="23"/>
  <c r="CO114" i="23" s="1"/>
  <c r="CO129" i="23" s="1"/>
  <c r="CO144" i="23" s="1"/>
  <c r="M85" i="2"/>
  <c r="K337" i="23"/>
  <c r="K85" i="2"/>
  <c r="K324" i="23"/>
  <c r="I85" i="2"/>
  <c r="E337" i="23"/>
  <c r="J85" i="2"/>
  <c r="J352" i="23"/>
  <c r="J313" i="23"/>
  <c r="J339" i="23"/>
  <c r="J326" i="23"/>
  <c r="D339" i="23"/>
  <c r="C190" i="23"/>
  <c r="G273" i="23" s="1"/>
  <c r="F267" i="23"/>
  <c r="F260" i="23"/>
  <c r="F264" i="23"/>
  <c r="F270" i="23"/>
  <c r="F263" i="23"/>
  <c r="F261" i="23"/>
  <c r="F272" i="23"/>
  <c r="F262" i="23"/>
  <c r="F268" i="23"/>
  <c r="F266" i="23"/>
  <c r="F271" i="23"/>
  <c r="F265" i="23"/>
  <c r="F269" i="23"/>
  <c r="H26" i="4" l="1"/>
  <c r="J27" i="27" s="1"/>
  <c r="K27" i="27" s="1"/>
  <c r="H27" i="4"/>
  <c r="J28" i="27" s="1"/>
  <c r="K28" i="27" s="1"/>
  <c r="K338" i="23"/>
  <c r="I86" i="2"/>
  <c r="J86" i="2"/>
  <c r="U7" i="4"/>
  <c r="K339" i="23"/>
  <c r="K87" i="2"/>
  <c r="K352" i="23"/>
  <c r="M87" i="2"/>
  <c r="E339" i="23"/>
  <c r="J87" i="2"/>
  <c r="K326" i="23"/>
  <c r="I87" i="2"/>
  <c r="K313" i="23"/>
  <c r="G87" i="2"/>
  <c r="J353" i="23"/>
  <c r="J314" i="23"/>
  <c r="J340" i="23"/>
  <c r="J327" i="23"/>
  <c r="D340" i="23"/>
  <c r="G264" i="23"/>
  <c r="G260" i="23"/>
  <c r="U190" i="23"/>
  <c r="H273" i="23" s="1"/>
  <c r="G271" i="23"/>
  <c r="G262" i="23"/>
  <c r="G270" i="23"/>
  <c r="G266" i="23"/>
  <c r="G261" i="23"/>
  <c r="G268" i="23"/>
  <c r="G265" i="23"/>
  <c r="G267" i="23"/>
  <c r="G263" i="23"/>
  <c r="G272" i="23"/>
  <c r="D302" i="23" l="1"/>
  <c r="H25" i="4"/>
  <c r="E17" i="4"/>
  <c r="R5" i="4"/>
  <c r="S13" i="4" s="1"/>
  <c r="K340" i="23"/>
  <c r="K88" i="2"/>
  <c r="K353" i="23"/>
  <c r="M88" i="2"/>
  <c r="E340" i="23"/>
  <c r="J88" i="2"/>
  <c r="K327" i="23"/>
  <c r="I88" i="2"/>
  <c r="K314" i="23"/>
  <c r="G88" i="2"/>
  <c r="C207" i="23"/>
  <c r="I273" i="23" s="1"/>
  <c r="H268" i="23"/>
  <c r="H263" i="23"/>
  <c r="H267" i="23"/>
  <c r="H266" i="23"/>
  <c r="H262" i="23"/>
  <c r="H272" i="23"/>
  <c r="H260" i="23"/>
  <c r="H269" i="23"/>
  <c r="H261" i="23"/>
  <c r="H271" i="23"/>
  <c r="H265" i="23"/>
  <c r="H264" i="23"/>
  <c r="H270" i="23"/>
  <c r="J354" i="23"/>
  <c r="J341" i="23"/>
  <c r="J328" i="23"/>
  <c r="J315" i="23"/>
  <c r="O31" i="4" l="1"/>
  <c r="J26" i="27"/>
  <c r="K26" i="27" s="1"/>
  <c r="V30" i="4"/>
  <c r="X5" i="4"/>
  <c r="B108" i="2" s="1"/>
  <c r="R13" i="4"/>
  <c r="O33" i="4" s="1"/>
  <c r="K341" i="23"/>
  <c r="K89" i="2"/>
  <c r="K354" i="23"/>
  <c r="M89" i="2"/>
  <c r="K328" i="23"/>
  <c r="I89" i="2"/>
  <c r="K315" i="23"/>
  <c r="G89" i="2"/>
  <c r="J355" i="23"/>
  <c r="J342" i="23"/>
  <c r="J329" i="23"/>
  <c r="J316" i="23"/>
  <c r="I263" i="23"/>
  <c r="C223" i="23"/>
  <c r="K273" i="23" s="1"/>
  <c r="I267" i="23"/>
  <c r="D304" i="23" s="1"/>
  <c r="I260" i="23"/>
  <c r="I264" i="23"/>
  <c r="I266" i="23"/>
  <c r="I261" i="23"/>
  <c r="U207" i="23"/>
  <c r="J273" i="23" s="1"/>
  <c r="I265" i="23"/>
  <c r="I262" i="23"/>
  <c r="I272" i="23"/>
  <c r="I270" i="23"/>
  <c r="I268" i="23"/>
  <c r="I271" i="23"/>
  <c r="I269" i="23"/>
  <c r="V32" i="4" l="1"/>
  <c r="K342" i="23"/>
  <c r="K90" i="2"/>
  <c r="K355" i="23"/>
  <c r="M90" i="2"/>
  <c r="K329" i="23"/>
  <c r="I90" i="2"/>
  <c r="K316" i="23"/>
  <c r="G90" i="2"/>
  <c r="J356" i="23"/>
  <c r="J330" i="23"/>
  <c r="J317" i="23"/>
  <c r="J343" i="23"/>
  <c r="D343" i="23"/>
  <c r="C239" i="23"/>
  <c r="C279" i="23" s="1"/>
  <c r="K262" i="23"/>
  <c r="K260" i="23"/>
  <c r="K264" i="23"/>
  <c r="K270" i="23"/>
  <c r="K269" i="23"/>
  <c r="K263" i="23"/>
  <c r="K272" i="23"/>
  <c r="K268" i="23"/>
  <c r="K271" i="23"/>
  <c r="K265" i="23"/>
  <c r="K266" i="23"/>
  <c r="K267" i="23"/>
  <c r="K261" i="23"/>
  <c r="J271" i="23"/>
  <c r="J262" i="23"/>
  <c r="U223" i="23"/>
  <c r="L273" i="23" s="1"/>
  <c r="J269" i="23"/>
  <c r="J270" i="23"/>
  <c r="J265" i="23"/>
  <c r="J266" i="23"/>
  <c r="J260" i="23"/>
  <c r="J267" i="23"/>
  <c r="J268" i="23"/>
  <c r="J263" i="23"/>
  <c r="J272" i="23"/>
  <c r="J264" i="23"/>
  <c r="J261" i="23"/>
  <c r="K343" i="23" l="1"/>
  <c r="K91" i="2"/>
  <c r="K356" i="23"/>
  <c r="M91" i="2"/>
  <c r="E343" i="23"/>
  <c r="J91" i="2"/>
  <c r="K330" i="23"/>
  <c r="I91" i="2"/>
  <c r="K317" i="23"/>
  <c r="G91" i="2"/>
  <c r="J357" i="23"/>
  <c r="J344" i="23"/>
  <c r="J331" i="23"/>
  <c r="U239" i="23"/>
  <c r="L261" i="23"/>
  <c r="L265" i="23"/>
  <c r="L268" i="23"/>
  <c r="F10" i="3"/>
  <c r="L270" i="23"/>
  <c r="L272" i="23"/>
  <c r="L267" i="23"/>
  <c r="L264" i="23"/>
  <c r="L262" i="23"/>
  <c r="L269" i="23"/>
  <c r="L263" i="23"/>
  <c r="L266" i="23"/>
  <c r="L271" i="23"/>
  <c r="L260" i="23"/>
  <c r="K344" i="23" l="1"/>
  <c r="K92" i="2"/>
  <c r="K357" i="23"/>
  <c r="M92" i="2"/>
  <c r="K331" i="23"/>
  <c r="I92" i="2"/>
  <c r="E9" i="4" l="1"/>
  <c r="E10" i="5" l="1"/>
  <c r="E10" i="27"/>
  <c r="J26" i="4"/>
  <c r="B5" i="3"/>
  <c r="F12" i="3" s="1"/>
  <c r="D93" i="2"/>
  <c r="I93" i="2"/>
  <c r="O93" i="2" s="1"/>
  <c r="F15" i="3" s="1"/>
  <c r="B47" i="4"/>
  <c r="V27" i="2"/>
  <c r="R16" i="2" s="1"/>
  <c r="C25" i="4"/>
  <c r="C26" i="4"/>
  <c r="B62" i="5"/>
  <c r="B33" i="5"/>
  <c r="B24" i="5"/>
  <c r="B20" i="5"/>
  <c r="B68" i="2"/>
  <c r="B33" i="2"/>
  <c r="B25" i="2"/>
  <c r="B21" i="2"/>
  <c r="K44" i="5"/>
  <c r="I81" i="2"/>
  <c r="B85" i="2"/>
  <c r="I10" i="2" s="1"/>
  <c r="B42" i="4" s="1"/>
  <c r="L9" i="3"/>
  <c r="G9" i="3"/>
  <c r="M33" i="3"/>
  <c r="M32" i="3"/>
  <c r="M31" i="3"/>
  <c r="M30" i="3"/>
  <c r="M29" i="3"/>
  <c r="M28" i="3"/>
  <c r="K32" i="3"/>
  <c r="K31" i="3"/>
  <c r="K30" i="3"/>
  <c r="K29" i="3"/>
  <c r="K28" i="3"/>
  <c r="H33" i="3"/>
  <c r="H32" i="3"/>
  <c r="H31" i="3"/>
  <c r="H30" i="3"/>
  <c r="H29" i="3"/>
  <c r="F31" i="3"/>
  <c r="F29" i="3"/>
  <c r="L33" i="3"/>
  <c r="L32" i="3"/>
  <c r="N32" i="3" s="1"/>
  <c r="L31" i="3"/>
  <c r="L30" i="3"/>
  <c r="L29" i="3"/>
  <c r="K33" i="3"/>
  <c r="H28" i="3"/>
  <c r="F33" i="3"/>
  <c r="F32" i="3"/>
  <c r="F30" i="3"/>
  <c r="T92" i="2"/>
  <c r="T91" i="2"/>
  <c r="T90" i="2"/>
  <c r="T89" i="2"/>
  <c r="T88" i="2"/>
  <c r="T87" i="2"/>
  <c r="T86" i="2"/>
  <c r="T85" i="2"/>
  <c r="S94" i="2"/>
  <c r="S93" i="2"/>
  <c r="S92" i="2"/>
  <c r="S91" i="2"/>
  <c r="S90" i="2"/>
  <c r="S89" i="2"/>
  <c r="S88" i="2"/>
  <c r="S87" i="2"/>
  <c r="S86" i="2"/>
  <c r="S85" i="2"/>
  <c r="R94" i="2"/>
  <c r="R93" i="2"/>
  <c r="R92" i="2"/>
  <c r="R91" i="2"/>
  <c r="R90" i="2"/>
  <c r="R89" i="2"/>
  <c r="R88" i="2"/>
  <c r="R87" i="2"/>
  <c r="R86" i="2"/>
  <c r="R85" i="2"/>
  <c r="I40" i="2"/>
  <c r="F40" i="2"/>
  <c r="D40" i="2"/>
  <c r="R13" i="2"/>
  <c r="R12" i="2"/>
  <c r="Q13" i="2"/>
  <c r="Q12" i="2"/>
  <c r="L26" i="5"/>
  <c r="E67" i="4"/>
  <c r="C67" i="4"/>
  <c r="B62" i="4"/>
  <c r="B54" i="4"/>
  <c r="B53" i="4"/>
  <c r="B51" i="4"/>
  <c r="B45" i="4"/>
  <c r="H36" i="4"/>
  <c r="H33" i="4"/>
  <c r="H32" i="4"/>
  <c r="H31" i="4"/>
  <c r="E21" i="4"/>
  <c r="E20" i="4"/>
  <c r="E21" i="27" s="1"/>
  <c r="E12" i="4"/>
  <c r="E11" i="4"/>
  <c r="E10" i="4"/>
  <c r="E8" i="4"/>
  <c r="F7" i="4"/>
  <c r="E6" i="4"/>
  <c r="E5" i="4"/>
  <c r="E4" i="4"/>
  <c r="L28" i="3"/>
  <c r="B25" i="3"/>
  <c r="B24" i="3"/>
  <c r="G15" i="3"/>
  <c r="G14" i="3"/>
  <c r="G13" i="3"/>
  <c r="G12" i="3"/>
  <c r="G11" i="3"/>
  <c r="B6" i="3"/>
  <c r="P95" i="2"/>
  <c r="P82" i="2"/>
  <c r="S51" i="2"/>
  <c r="S50" i="2"/>
  <c r="S49" i="2"/>
  <c r="S48" i="2"/>
  <c r="S47" i="2"/>
  <c r="S46" i="2"/>
  <c r="S45" i="2"/>
  <c r="S44" i="2"/>
  <c r="S43" i="2"/>
  <c r="S42" i="2"/>
  <c r="S41" i="2"/>
  <c r="S40" i="2"/>
  <c r="C40" i="2"/>
  <c r="S39" i="2"/>
  <c r="D39" i="2"/>
  <c r="C39" i="2"/>
  <c r="E36" i="2"/>
  <c r="H34" i="4" s="1"/>
  <c r="G18" i="2"/>
  <c r="F18" i="2"/>
  <c r="G17" i="2"/>
  <c r="F17" i="2"/>
  <c r="N30" i="3"/>
  <c r="N28" i="3"/>
  <c r="B57" i="27" l="1"/>
  <c r="B56" i="27"/>
  <c r="B51" i="5"/>
  <c r="B51" i="27"/>
  <c r="I40" i="5"/>
  <c r="I40" i="27"/>
  <c r="B49" i="5"/>
  <c r="B49" i="27"/>
  <c r="B46" i="5"/>
  <c r="B46" i="27"/>
  <c r="E12" i="5"/>
  <c r="E12" i="27"/>
  <c r="E7" i="5"/>
  <c r="F7" i="27"/>
  <c r="O24" i="4"/>
  <c r="E22" i="27"/>
  <c r="E9" i="5"/>
  <c r="E9" i="27"/>
  <c r="E11" i="5"/>
  <c r="E11" i="27"/>
  <c r="E4" i="5"/>
  <c r="E4" i="27"/>
  <c r="B55" i="5"/>
  <c r="B55" i="27"/>
  <c r="I35" i="5"/>
  <c r="I35" i="27"/>
  <c r="B63" i="5"/>
  <c r="B63" i="27"/>
  <c r="I37" i="5"/>
  <c r="I37" i="27"/>
  <c r="I38" i="5"/>
  <c r="I38" i="27"/>
  <c r="E5" i="5"/>
  <c r="E5" i="27"/>
  <c r="E13" i="5"/>
  <c r="E13" i="27"/>
  <c r="E6" i="5"/>
  <c r="E6" i="27"/>
  <c r="I36" i="5"/>
  <c r="I36" i="27"/>
  <c r="C27" i="5"/>
  <c r="C27" i="27"/>
  <c r="L27" i="27" s="1"/>
  <c r="O32" i="4"/>
  <c r="O34" i="4" s="1"/>
  <c r="T378" i="24"/>
  <c r="T386" i="24" s="1"/>
  <c r="U378" i="24" s="1"/>
  <c r="T377" i="24"/>
  <c r="S386" i="24" s="1"/>
  <c r="U377" i="24" s="1"/>
  <c r="P93" i="2"/>
  <c r="L95" i="2" s="1"/>
  <c r="I9" i="2" s="1"/>
  <c r="C42" i="4" s="1"/>
  <c r="H12" i="3"/>
  <c r="M12" i="3" s="1"/>
  <c r="E21" i="5"/>
  <c r="O23" i="4"/>
  <c r="O25" i="4" s="1"/>
  <c r="B56" i="5"/>
  <c r="B57" i="5"/>
  <c r="L27" i="5"/>
  <c r="V31" i="4"/>
  <c r="V33" i="4" s="1"/>
  <c r="H15" i="3"/>
  <c r="M15" i="3" s="1"/>
  <c r="I94" i="2"/>
  <c r="D94" i="2"/>
  <c r="P94" i="2" s="1"/>
  <c r="L100" i="2" s="1"/>
  <c r="F39" i="2"/>
  <c r="H39" i="2" s="1"/>
  <c r="I39" i="2" s="1"/>
  <c r="H37" i="4"/>
  <c r="N29" i="3"/>
  <c r="M34" i="3"/>
  <c r="N33" i="3"/>
  <c r="N31" i="3"/>
  <c r="E22" i="5"/>
  <c r="R112" i="2"/>
  <c r="B48" i="4"/>
  <c r="B52" i="27" s="1"/>
  <c r="B46" i="4"/>
  <c r="D46" i="5" l="1"/>
  <c r="D46" i="27"/>
  <c r="N390" i="24"/>
  <c r="T381" i="24" s="1"/>
  <c r="E15" i="4" s="1"/>
  <c r="E16" i="5" s="1"/>
  <c r="E16" i="27"/>
  <c r="B50" i="5"/>
  <c r="B50" i="27"/>
  <c r="N391" i="24"/>
  <c r="T382" i="24" s="1"/>
  <c r="E16" i="4" s="1"/>
  <c r="E17" i="5" s="1"/>
  <c r="E17" i="27"/>
  <c r="O94" i="2"/>
  <c r="I41" i="5"/>
  <c r="I41" i="27"/>
  <c r="K15" i="3"/>
  <c r="N15" i="3" s="1"/>
  <c r="K12" i="3"/>
  <c r="N12" i="3" s="1"/>
  <c r="S6" i="2"/>
  <c r="N34" i="3"/>
  <c r="N35" i="3" s="1"/>
  <c r="N36" i="3" s="1"/>
  <c r="N37" i="3" s="1"/>
  <c r="B52" i="5"/>
  <c r="E18" i="5" l="1"/>
  <c r="J26" i="5"/>
  <c r="J27" i="5"/>
  <c r="J28" i="5"/>
  <c r="Q34" i="4" l="1"/>
  <c r="R58" i="4" l="1"/>
  <c r="H10" i="3" l="1"/>
  <c r="R57" i="4"/>
  <c r="R55" i="4"/>
  <c r="M10" i="3" l="1"/>
  <c r="K10" i="3"/>
  <c r="N10" i="3" s="1"/>
  <c r="M46" i="5" l="1"/>
  <c r="J312" i="23"/>
  <c r="G86" i="2" s="1"/>
  <c r="J318" i="23"/>
  <c r="G92" i="2" s="1"/>
  <c r="J299" i="23"/>
  <c r="K299" i="23" s="1"/>
  <c r="J300" i="23"/>
  <c r="K300" i="23" s="1"/>
  <c r="J301" i="23"/>
  <c r="K301" i="23" s="1"/>
  <c r="J302" i="23"/>
  <c r="E89" i="2" s="1"/>
  <c r="J303" i="23"/>
  <c r="K303" i="23" s="1"/>
  <c r="J304" i="23"/>
  <c r="K304" i="23" s="1"/>
  <c r="J305" i="23"/>
  <c r="K305" i="23" s="1"/>
  <c r="J298" i="23"/>
  <c r="E85" i="2" s="1"/>
  <c r="D351" i="23"/>
  <c r="L86" i="2" s="1"/>
  <c r="D352" i="23"/>
  <c r="E352" i="23" s="1"/>
  <c r="D353" i="23"/>
  <c r="E353" i="23" s="1"/>
  <c r="D354" i="23"/>
  <c r="E354" i="23" s="1"/>
  <c r="D355" i="23"/>
  <c r="L90" i="2" s="1"/>
  <c r="D325" i="23"/>
  <c r="E325" i="23" s="1"/>
  <c r="D328" i="23"/>
  <c r="H89" i="2" s="1"/>
  <c r="D330" i="23"/>
  <c r="H91" i="2" s="1"/>
  <c r="D324" i="23"/>
  <c r="E324" i="23" s="1"/>
  <c r="D313" i="23"/>
  <c r="E313" i="23" s="1"/>
  <c r="D315" i="23"/>
  <c r="E315" i="23" s="1"/>
  <c r="D317" i="23"/>
  <c r="E317" i="23" s="1"/>
  <c r="E300" i="23"/>
  <c r="D89" i="2"/>
  <c r="D91" i="2"/>
  <c r="J311" i="23"/>
  <c r="G85" i="2" s="1"/>
  <c r="E298" i="23"/>
  <c r="E302" i="23" l="1"/>
  <c r="E351" i="23"/>
  <c r="K312" i="23"/>
  <c r="E86" i="2"/>
  <c r="K318" i="23"/>
  <c r="E92" i="2"/>
  <c r="E88" i="2"/>
  <c r="E355" i="23"/>
  <c r="E328" i="23"/>
  <c r="E330" i="23"/>
  <c r="D85" i="2"/>
  <c r="K311" i="23"/>
  <c r="D87" i="2"/>
  <c r="K298" i="23"/>
  <c r="K302" i="23"/>
  <c r="L87" i="2"/>
  <c r="H86" i="2"/>
  <c r="E304" i="23"/>
  <c r="E91" i="2"/>
  <c r="F89" i="2"/>
  <c r="E87" i="2"/>
  <c r="F87" i="2"/>
  <c r="L89" i="2"/>
  <c r="E90" i="2"/>
  <c r="F91" i="2"/>
  <c r="L88" i="2"/>
  <c r="H85" i="2"/>
  <c r="D357" i="23" l="1"/>
  <c r="L92" i="2" s="1"/>
  <c r="D350" i="23"/>
  <c r="L85" i="2" s="1"/>
  <c r="D327" i="23"/>
  <c r="E327" i="23" s="1"/>
  <c r="D331" i="23"/>
  <c r="E331" i="23" s="1"/>
  <c r="D312" i="23"/>
  <c r="E312" i="23" s="1"/>
  <c r="D316" i="23"/>
  <c r="E316" i="23" s="1"/>
  <c r="D314" i="23"/>
  <c r="E314" i="23" s="1"/>
  <c r="D329" i="23"/>
  <c r="H90" i="2" s="1"/>
  <c r="D318" i="23"/>
  <c r="E318" i="23" s="1"/>
  <c r="D326" i="23"/>
  <c r="D305" i="23"/>
  <c r="E305" i="23" s="1"/>
  <c r="D303" i="23"/>
  <c r="D90" i="2" s="1"/>
  <c r="D301" i="23"/>
  <c r="D88" i="2" s="1"/>
  <c r="D299" i="23"/>
  <c r="E299" i="23" s="1"/>
  <c r="D344" i="23"/>
  <c r="E344" i="23" s="1"/>
  <c r="D356" i="23"/>
  <c r="L91" i="2" s="1"/>
  <c r="D342" i="23"/>
  <c r="J90" i="2" s="1"/>
  <c r="D341" i="23"/>
  <c r="J351" i="23"/>
  <c r="M86" i="2" s="1"/>
  <c r="D311" i="23"/>
  <c r="E311" i="23" s="1"/>
  <c r="P91" i="2" l="1"/>
  <c r="N91" i="2"/>
  <c r="F90" i="2"/>
  <c r="P90" i="2" s="1"/>
  <c r="E303" i="23"/>
  <c r="H92" i="2"/>
  <c r="E301" i="23"/>
  <c r="E350" i="23"/>
  <c r="K351" i="23"/>
  <c r="J92" i="2"/>
  <c r="F92" i="2"/>
  <c r="F86" i="2"/>
  <c r="E357" i="23"/>
  <c r="D92" i="2"/>
  <c r="E342" i="23"/>
  <c r="F88" i="2"/>
  <c r="E356" i="23"/>
  <c r="H88" i="2"/>
  <c r="F85" i="2"/>
  <c r="N85" i="2" s="1"/>
  <c r="E326" i="23"/>
  <c r="H87" i="2"/>
  <c r="N87" i="2" s="1"/>
  <c r="O91" i="2"/>
  <c r="J89" i="2"/>
  <c r="N89" i="2" s="1"/>
  <c r="E341" i="23"/>
  <c r="E329" i="23"/>
  <c r="D86" i="2"/>
  <c r="N92" i="2" l="1"/>
  <c r="N90" i="2"/>
  <c r="N86" i="2"/>
  <c r="N88" i="2"/>
  <c r="P92" i="2"/>
  <c r="O90" i="2"/>
  <c r="P88" i="2"/>
  <c r="O92" i="2"/>
  <c r="O88" i="2"/>
  <c r="O89" i="2"/>
  <c r="P89" i="2"/>
  <c r="O85" i="2"/>
  <c r="L99" i="2"/>
  <c r="P85" i="2"/>
  <c r="O87" i="2"/>
  <c r="P87" i="2"/>
  <c r="P86" i="2"/>
  <c r="O86" i="2"/>
  <c r="N93" i="2" l="1"/>
  <c r="F9" i="3" s="1"/>
  <c r="H9" i="3" s="1"/>
  <c r="K9" i="3" s="1"/>
  <c r="L98" i="2"/>
  <c r="F14" i="3" s="1"/>
  <c r="H14" i="3" s="1"/>
  <c r="G42" i="4"/>
  <c r="L101" i="2"/>
  <c r="L97" i="2"/>
  <c r="L96" i="2"/>
  <c r="F42" i="4" l="1"/>
  <c r="H46" i="5" s="1"/>
  <c r="M9" i="3"/>
  <c r="N9" i="3"/>
  <c r="F13" i="3"/>
  <c r="H13" i="3" s="1"/>
  <c r="E42" i="4"/>
  <c r="L102" i="2"/>
  <c r="D42" i="4"/>
  <c r="B290" i="23"/>
  <c r="I46" i="5"/>
  <c r="I46" i="27"/>
  <c r="K14" i="3"/>
  <c r="N14" i="3" s="1"/>
  <c r="M14" i="3"/>
  <c r="H46" i="27" l="1"/>
  <c r="K13" i="3"/>
  <c r="N13" i="3" s="1"/>
  <c r="M13" i="3"/>
  <c r="CR94" i="23"/>
  <c r="AJ64" i="23"/>
  <c r="BZ79" i="23"/>
  <c r="AJ79" i="23"/>
  <c r="L139" i="23"/>
  <c r="R79" i="23"/>
  <c r="F19" i="23"/>
  <c r="AV139" i="23"/>
  <c r="CF49" i="23"/>
  <c r="CR34" i="23"/>
  <c r="BB139" i="23"/>
  <c r="AD109" i="23"/>
  <c r="BB109" i="23"/>
  <c r="F139" i="23"/>
  <c r="BB49" i="23"/>
  <c r="CL64" i="23"/>
  <c r="CL4" i="23"/>
  <c r="AD49" i="23"/>
  <c r="CR19" i="23"/>
  <c r="R124" i="23"/>
  <c r="BH109" i="23"/>
  <c r="L34" i="23"/>
  <c r="R34" i="23"/>
  <c r="BB4" i="23"/>
  <c r="CL49" i="23"/>
  <c r="F34" i="23"/>
  <c r="AV124" i="23"/>
  <c r="CL94" i="23"/>
  <c r="BB79" i="23"/>
  <c r="AP34" i="23"/>
  <c r="BZ64" i="23"/>
  <c r="AD34" i="23"/>
  <c r="BH64" i="23"/>
  <c r="X124" i="23"/>
  <c r="BN79" i="23"/>
  <c r="AJ94" i="23"/>
  <c r="AJ139" i="23"/>
  <c r="X79" i="23"/>
  <c r="BN124" i="23"/>
  <c r="AD124" i="23"/>
  <c r="R49" i="23"/>
  <c r="BH19" i="23"/>
  <c r="CR139" i="23"/>
  <c r="R94" i="23"/>
  <c r="BB64" i="23"/>
  <c r="CL109" i="23"/>
  <c r="BT94" i="23"/>
  <c r="AD94" i="23"/>
  <c r="AP19" i="23"/>
  <c r="AJ4" i="23"/>
  <c r="BT139" i="23"/>
  <c r="BN4" i="23"/>
  <c r="X139" i="23"/>
  <c r="BN34" i="23"/>
  <c r="X94" i="23"/>
  <c r="R109" i="23"/>
  <c r="BH79" i="23"/>
  <c r="CR4" i="23"/>
  <c r="F79" i="23"/>
  <c r="AV49" i="23"/>
  <c r="CL19" i="23"/>
  <c r="CL139" i="23"/>
  <c r="AJ109" i="23"/>
  <c r="BT49" i="23"/>
  <c r="BH34" i="23"/>
  <c r="L109" i="23"/>
  <c r="AJ124" i="23"/>
  <c r="BZ139" i="23"/>
  <c r="X34" i="23"/>
  <c r="BT19" i="23"/>
  <c r="AD19" i="23"/>
  <c r="BN49" i="23"/>
  <c r="AV79" i="23"/>
  <c r="X4" i="23"/>
  <c r="BN94" i="23"/>
  <c r="R19" i="23"/>
  <c r="BB124" i="23"/>
  <c r="CR49" i="23"/>
  <c r="AP4" i="23"/>
  <c r="BZ124" i="23"/>
  <c r="BH49" i="23"/>
  <c r="BN139" i="23"/>
  <c r="AP94" i="23"/>
  <c r="CF19" i="23"/>
  <c r="AV19" i="23"/>
  <c r="AJ34" i="23"/>
  <c r="BT4" i="23"/>
  <c r="L19" i="23"/>
  <c r="BZ94" i="23"/>
  <c r="AD79" i="23"/>
  <c r="BN109" i="23"/>
  <c r="R4" i="23"/>
  <c r="X49" i="23"/>
  <c r="BH139" i="23"/>
  <c r="CR64" i="23"/>
  <c r="L124" i="23"/>
  <c r="AV94" i="23"/>
  <c r="CF64" i="23"/>
  <c r="BN64" i="23"/>
  <c r="L64" i="23"/>
  <c r="AV4" i="23"/>
  <c r="CF109" i="23"/>
  <c r="BZ49" i="23"/>
  <c r="AP79" i="23"/>
  <c r="BZ19" i="23"/>
  <c r="AD64" i="23"/>
  <c r="AJ19" i="23"/>
  <c r="BT64" i="23"/>
  <c r="BB94" i="23"/>
  <c r="X64" i="23"/>
  <c r="BN19" i="23"/>
  <c r="F64" i="23"/>
  <c r="AV109" i="23"/>
  <c r="CL79" i="23"/>
  <c r="AP49" i="23"/>
  <c r="F109" i="23"/>
  <c r="CF4" i="23"/>
  <c r="BB19" i="23"/>
  <c r="L4" i="23"/>
  <c r="BH94" i="23"/>
  <c r="CL124" i="23"/>
  <c r="BZ4" i="23"/>
  <c r="BZ109" i="23"/>
  <c r="AV64" i="23"/>
  <c r="AP64" i="23"/>
  <c r="BH124" i="23"/>
  <c r="AP124" i="23"/>
  <c r="X109" i="23"/>
  <c r="R64" i="23"/>
  <c r="F4" i="23"/>
  <c r="CF79" i="23"/>
  <c r="CF34" i="23"/>
  <c r="L79" i="23"/>
  <c r="BT109" i="23"/>
  <c r="L49" i="23"/>
  <c r="BT34" i="23"/>
  <c r="X19" i="23"/>
  <c r="F124" i="23"/>
  <c r="CL34" i="23"/>
  <c r="L94" i="23"/>
  <c r="AD139" i="23"/>
  <c r="BH4" i="23"/>
  <c r="CR109" i="23"/>
  <c r="BT79" i="23"/>
  <c r="BB34" i="23"/>
  <c r="BZ34" i="23"/>
  <c r="AP139" i="23"/>
  <c r="AJ49" i="23"/>
  <c r="F94" i="23"/>
  <c r="CR124" i="23"/>
  <c r="CF94" i="23"/>
  <c r="AP109" i="23"/>
  <c r="R139" i="23"/>
  <c r="CF124" i="23"/>
  <c r="CR79" i="23"/>
  <c r="F49" i="23"/>
  <c r="CF139" i="23"/>
  <c r="BT124" i="23"/>
  <c r="AD4" i="23"/>
  <c r="AV34" i="23"/>
  <c r="R42" i="4"/>
  <c r="F46" i="27"/>
  <c r="F46" i="5"/>
  <c r="G46" i="27"/>
  <c r="G46" i="5"/>
  <c r="X82" i="23" l="1"/>
  <c r="X86" i="23" s="1"/>
  <c r="BH7" i="23"/>
  <c r="BH11" i="23" s="1"/>
  <c r="L112" i="23"/>
  <c r="L116" i="23" s="1"/>
  <c r="R112" i="23"/>
  <c r="R116" i="23" s="1"/>
  <c r="BT82" i="23"/>
  <c r="BT86" i="23" s="1"/>
  <c r="AD52" i="23"/>
  <c r="AD56" i="23" s="1"/>
  <c r="BN127" i="23"/>
  <c r="BN131" i="23" s="1"/>
  <c r="BH112" i="23"/>
  <c r="BH116" i="23" s="1"/>
  <c r="BH97" i="23"/>
  <c r="BH101" i="23" s="1"/>
  <c r="F112" i="23"/>
  <c r="F116" i="23" s="1"/>
  <c r="X67" i="23"/>
  <c r="X71" i="23" s="1"/>
  <c r="AV112" i="23"/>
  <c r="AV116" i="23" s="1"/>
  <c r="CL37" i="23"/>
  <c r="CL41" i="23" s="1"/>
  <c r="BH37" i="23"/>
  <c r="BH41" i="23" s="1"/>
  <c r="X37" i="23"/>
  <c r="X41" i="23" s="1"/>
  <c r="AV37" i="23"/>
  <c r="AV41" i="23" s="1"/>
  <c r="BT112" i="23"/>
  <c r="BT116" i="23" s="1"/>
  <c r="AP22" i="23"/>
  <c r="AP26" i="23" s="1"/>
  <c r="AP142" i="23"/>
  <c r="AP146" i="23" s="1"/>
  <c r="CF82" i="23"/>
  <c r="CF86" i="23" s="1"/>
  <c r="F142" i="23"/>
  <c r="F146" i="23" s="1"/>
  <c r="CF97" i="23"/>
  <c r="CF101" i="23" s="1"/>
  <c r="AP127" i="23"/>
  <c r="AP131" i="23" s="1"/>
  <c r="BZ112" i="23"/>
  <c r="BZ116" i="23" s="1"/>
  <c r="X112" i="23"/>
  <c r="X116" i="23" s="1"/>
  <c r="BZ67" i="23"/>
  <c r="BZ71" i="23" s="1"/>
  <c r="BH67" i="23"/>
  <c r="BH71" i="23" s="1"/>
  <c r="X97" i="23"/>
  <c r="X101" i="23" s="1"/>
  <c r="BB22" i="23"/>
  <c r="BB26" i="23" s="1"/>
  <c r="AJ112" i="23"/>
  <c r="AJ116" i="23" s="1"/>
  <c r="AV82" i="23"/>
  <c r="AV86" i="23" s="1"/>
  <c r="AP112" i="23"/>
  <c r="AP116" i="23" s="1"/>
  <c r="BT67" i="23"/>
  <c r="BT71" i="23" s="1"/>
  <c r="L142" i="23"/>
  <c r="L146" i="23" s="1"/>
  <c r="F127" i="23"/>
  <c r="F131" i="23" s="1"/>
  <c r="BH82" i="23"/>
  <c r="BH86" i="23" s="1"/>
  <c r="BN22" i="23"/>
  <c r="BN26" i="23" s="1"/>
  <c r="BH52" i="23"/>
  <c r="BH56" i="23" s="1"/>
  <c r="AP37" i="23"/>
  <c r="AP41" i="23" s="1"/>
  <c r="AV97" i="23"/>
  <c r="AV101" i="23" s="1"/>
  <c r="CL82" i="23"/>
  <c r="CL86" i="23" s="1"/>
  <c r="AV22" i="23"/>
  <c r="AV26" i="23" s="1"/>
  <c r="CL7" i="23"/>
  <c r="CL11" i="23" s="1"/>
  <c r="R22" i="23"/>
  <c r="R26" i="23" s="1"/>
  <c r="AP67" i="23"/>
  <c r="AP71" i="23" s="1"/>
  <c r="BT52" i="23"/>
  <c r="BT56" i="23" s="1"/>
  <c r="F82" i="23"/>
  <c r="F86" i="23" s="1"/>
  <c r="AJ7" i="23"/>
  <c r="AJ11" i="23" s="1"/>
  <c r="F97" i="23"/>
  <c r="F101" i="23" s="1"/>
  <c r="BH127" i="23"/>
  <c r="BH131" i="23" s="1"/>
  <c r="CR82" i="23"/>
  <c r="CR86" i="23" s="1"/>
  <c r="AD7" i="23"/>
  <c r="AD11" i="23" s="1"/>
  <c r="BZ127" i="23"/>
  <c r="BZ131" i="23" s="1"/>
  <c r="BB142" i="23"/>
  <c r="BB146" i="23" s="1"/>
  <c r="BZ37" i="23"/>
  <c r="BZ41" i="23" s="1"/>
  <c r="BN37" i="23"/>
  <c r="BN41" i="23" s="1"/>
  <c r="R82" i="23"/>
  <c r="R86" i="23" s="1"/>
  <c r="X52" i="23"/>
  <c r="X56" i="23" s="1"/>
  <c r="BN67" i="23"/>
  <c r="BN71" i="23" s="1"/>
  <c r="R52" i="23"/>
  <c r="R56" i="23" s="1"/>
  <c r="BN82" i="23"/>
  <c r="BN86" i="23" s="1"/>
  <c r="AV142" i="23"/>
  <c r="AV146" i="23" s="1"/>
  <c r="AJ67" i="23"/>
  <c r="AJ71" i="23" s="1"/>
  <c r="F52" i="23"/>
  <c r="F56" i="23" s="1"/>
  <c r="BB112" i="23"/>
  <c r="BB116" i="23" s="1"/>
  <c r="CR142" i="23"/>
  <c r="CR146" i="23" s="1"/>
  <c r="CF7" i="23"/>
  <c r="CF11" i="23" s="1"/>
  <c r="L127" i="23"/>
  <c r="L131" i="23" s="1"/>
  <c r="AD112" i="23"/>
  <c r="AD116" i="23" s="1"/>
  <c r="BN97" i="23"/>
  <c r="BN101" i="23" s="1"/>
  <c r="CF127" i="23"/>
  <c r="CF131" i="23" s="1"/>
  <c r="AV67" i="23"/>
  <c r="AV71" i="23" s="1"/>
  <c r="CL127" i="23"/>
  <c r="CL131" i="23" s="1"/>
  <c r="AJ127" i="23"/>
  <c r="AJ131" i="23" s="1"/>
  <c r="CL22" i="23"/>
  <c r="CL26" i="23" s="1"/>
  <c r="L82" i="23"/>
  <c r="L86" i="23" s="1"/>
  <c r="L37" i="23"/>
  <c r="L41" i="23" s="1"/>
  <c r="AP82" i="23"/>
  <c r="AP86" i="23" s="1"/>
  <c r="BZ22" i="23"/>
  <c r="BZ26" i="23" s="1"/>
  <c r="AP52" i="23"/>
  <c r="AP56" i="23" s="1"/>
  <c r="X22" i="23"/>
  <c r="X26" i="23" s="1"/>
  <c r="BT142" i="23"/>
  <c r="BT146" i="23" s="1"/>
  <c r="BN112" i="23"/>
  <c r="BN116" i="23" s="1"/>
  <c r="AD142" i="23"/>
  <c r="AD146" i="23" s="1"/>
  <c r="L97" i="23"/>
  <c r="L101" i="23" s="1"/>
  <c r="AD97" i="23"/>
  <c r="AD101" i="23" s="1"/>
  <c r="BT22" i="23"/>
  <c r="BT26" i="23" s="1"/>
  <c r="BB127" i="23"/>
  <c r="BB131" i="23" s="1"/>
  <c r="R7" i="23"/>
  <c r="R11" i="23" s="1"/>
  <c r="AV127" i="23"/>
  <c r="AV131" i="23" s="1"/>
  <c r="CF22" i="23"/>
  <c r="CF26" i="23" s="1"/>
  <c r="R142" i="23"/>
  <c r="R146" i="23" s="1"/>
  <c r="BB7" i="23"/>
  <c r="BB11" i="23" s="1"/>
  <c r="BZ142" i="23"/>
  <c r="BZ146" i="23" s="1"/>
  <c r="BN142" i="23"/>
  <c r="BN146" i="23" s="1"/>
  <c r="CL97" i="23"/>
  <c r="CL101" i="23" s="1"/>
  <c r="BB97" i="23"/>
  <c r="BB101" i="23" s="1"/>
  <c r="X142" i="23"/>
  <c r="X146" i="23" s="1"/>
  <c r="L52" i="23"/>
  <c r="L56" i="23" s="1"/>
  <c r="BB37" i="23"/>
  <c r="BB41" i="23" s="1"/>
  <c r="CL52" i="23"/>
  <c r="CL56" i="23" s="1"/>
  <c r="L7" i="23"/>
  <c r="L11" i="23" s="1"/>
  <c r="F67" i="23"/>
  <c r="F71" i="23" s="1"/>
  <c r="AJ142" i="23"/>
  <c r="AJ146" i="23" s="1"/>
  <c r="CF67" i="23"/>
  <c r="CF71" i="23" s="1"/>
  <c r="AP7" i="23"/>
  <c r="AP11" i="23" s="1"/>
  <c r="R37" i="23"/>
  <c r="R41" i="23" s="1"/>
  <c r="BH142" i="23"/>
  <c r="BH146" i="23" s="1"/>
  <c r="BT37" i="23"/>
  <c r="BT41" i="23" s="1"/>
  <c r="BT7" i="23"/>
  <c r="BT11" i="23" s="1"/>
  <c r="R97" i="23"/>
  <c r="R101" i="23" s="1"/>
  <c r="BT97" i="23"/>
  <c r="BT101" i="23" s="1"/>
  <c r="BZ35" i="23"/>
  <c r="BZ39" i="23" s="1"/>
  <c r="L35" i="23"/>
  <c r="L39" i="23" s="1"/>
  <c r="R95" i="23"/>
  <c r="R99" i="23" s="1"/>
  <c r="AJ95" i="23"/>
  <c r="AJ99" i="23" s="1"/>
  <c r="BB35" i="23"/>
  <c r="BB39" i="23" s="1"/>
  <c r="BN5" i="23"/>
  <c r="BN9" i="23" s="1"/>
  <c r="CF140" i="23"/>
  <c r="CF144" i="23" s="1"/>
  <c r="CR140" i="23"/>
  <c r="CR144" i="23" s="1"/>
  <c r="CL125" i="23"/>
  <c r="CL129" i="23" s="1"/>
  <c r="F95" i="23"/>
  <c r="F99" i="23" s="1"/>
  <c r="L65" i="23"/>
  <c r="L69" i="23" s="1"/>
  <c r="AP80" i="23"/>
  <c r="AP84" i="23" s="1"/>
  <c r="BH140" i="23"/>
  <c r="BH144" i="23" s="1"/>
  <c r="BT5" i="23"/>
  <c r="BT9" i="23" s="1"/>
  <c r="CR127" i="23"/>
  <c r="CR131" i="23" s="1"/>
  <c r="BH35" i="23"/>
  <c r="BH39" i="23" s="1"/>
  <c r="CL95" i="23"/>
  <c r="CL99" i="23" s="1"/>
  <c r="L50" i="23"/>
  <c r="L54" i="23" s="1"/>
  <c r="X110" i="23"/>
  <c r="X114" i="23" s="1"/>
  <c r="F7" i="23"/>
  <c r="F11" i="23" s="1"/>
  <c r="AJ52" i="23"/>
  <c r="AJ56" i="23" s="1"/>
  <c r="BZ52" i="23"/>
  <c r="BZ56" i="23" s="1"/>
  <c r="BT127" i="23"/>
  <c r="BT131" i="23" s="1"/>
  <c r="BZ7" i="23"/>
  <c r="BZ11" i="23" s="1"/>
  <c r="AD82" i="23"/>
  <c r="AD86" i="23" s="1"/>
  <c r="F37" i="23"/>
  <c r="F41" i="23" s="1"/>
  <c r="AD22" i="23"/>
  <c r="AD26" i="23" s="1"/>
  <c r="BZ140" i="23"/>
  <c r="BZ144" i="23" s="1"/>
  <c r="L140" i="23"/>
  <c r="L144" i="23" s="1"/>
  <c r="R5" i="23"/>
  <c r="R9" i="23" s="1"/>
  <c r="AP95" i="23"/>
  <c r="AP99" i="23" s="1"/>
  <c r="BB65" i="23"/>
  <c r="BB69" i="23" s="1"/>
  <c r="BN110" i="23"/>
  <c r="BN114" i="23" s="1"/>
  <c r="CF125" i="23"/>
  <c r="CF129" i="23" s="1"/>
  <c r="R65" i="23"/>
  <c r="R69" i="23" s="1"/>
  <c r="R140" i="23"/>
  <c r="R144" i="23" s="1"/>
  <c r="AD110" i="23"/>
  <c r="AD114" i="23" s="1"/>
  <c r="CF37" i="23"/>
  <c r="CF41" i="23" s="1"/>
  <c r="L22" i="23"/>
  <c r="L26" i="23" s="1"/>
  <c r="CL142" i="23"/>
  <c r="CL146" i="23" s="1"/>
  <c r="CL67" i="23"/>
  <c r="CL71" i="23" s="1"/>
  <c r="AJ97" i="23"/>
  <c r="AJ101" i="23" s="1"/>
  <c r="F22" i="23"/>
  <c r="F26" i="23" s="1"/>
  <c r="AD67" i="23"/>
  <c r="AD71" i="23" s="1"/>
  <c r="CR37" i="23"/>
  <c r="CR41" i="23" s="1"/>
  <c r="AP110" i="23"/>
  <c r="AP114" i="23" s="1"/>
  <c r="CR97" i="23"/>
  <c r="CR101" i="23" s="1"/>
  <c r="AV80" i="23"/>
  <c r="AV84" i="23" s="1"/>
  <c r="BZ5" i="23"/>
  <c r="BZ9" i="23" s="1"/>
  <c r="X5" i="23"/>
  <c r="X9" i="23" s="1"/>
  <c r="AV110" i="23"/>
  <c r="AV114" i="23" s="1"/>
  <c r="BN65" i="23"/>
  <c r="BN69" i="23" s="1"/>
  <c r="CL110" i="23"/>
  <c r="CL114" i="23" s="1"/>
  <c r="AJ20" i="23"/>
  <c r="AJ24" i="23" s="1"/>
  <c r="AV125" i="23"/>
  <c r="AV129" i="23" s="1"/>
  <c r="BN125" i="23"/>
  <c r="BN129" i="23" s="1"/>
  <c r="CR110" i="23"/>
  <c r="CR114" i="23" s="1"/>
  <c r="CF5" i="23"/>
  <c r="CF9" i="23" s="1"/>
  <c r="AJ22" i="23"/>
  <c r="AJ26" i="23" s="1"/>
  <c r="AJ37" i="23"/>
  <c r="AJ41" i="23" s="1"/>
  <c r="BH22" i="23"/>
  <c r="BH26" i="23" s="1"/>
  <c r="R127" i="23"/>
  <c r="R131" i="23" s="1"/>
  <c r="BN52" i="23"/>
  <c r="BN56" i="23" s="1"/>
  <c r="CR22" i="23"/>
  <c r="CR26" i="23" s="1"/>
  <c r="F50" i="23"/>
  <c r="F54" i="23" s="1"/>
  <c r="X95" i="23"/>
  <c r="X99" i="23" s="1"/>
  <c r="AV50" i="23"/>
  <c r="AV54" i="23" s="1"/>
  <c r="BH20" i="23"/>
  <c r="BH24" i="23" s="1"/>
  <c r="BT110" i="23"/>
  <c r="BT114" i="23" s="1"/>
  <c r="CL50" i="23"/>
  <c r="CL54" i="23" s="1"/>
  <c r="AD5" i="23"/>
  <c r="AD9" i="23" s="1"/>
  <c r="AD65" i="23"/>
  <c r="AD69" i="23" s="1"/>
  <c r="CR7" i="23"/>
  <c r="CR11" i="23" s="1"/>
  <c r="BH125" i="23"/>
  <c r="BH129" i="23" s="1"/>
  <c r="AD95" i="23"/>
  <c r="AD99" i="23" s="1"/>
  <c r="BB110" i="23"/>
  <c r="BB114" i="23" s="1"/>
  <c r="BT35" i="23"/>
  <c r="BT39" i="23" s="1"/>
  <c r="CL35" i="23"/>
  <c r="CL39" i="23" s="1"/>
  <c r="CR5" i="23"/>
  <c r="CR9" i="23" s="1"/>
  <c r="CF142" i="23"/>
  <c r="CF146" i="23" s="1"/>
  <c r="BB52" i="23"/>
  <c r="BB56" i="23" s="1"/>
  <c r="AV7" i="23"/>
  <c r="AV11" i="23" s="1"/>
  <c r="L67" i="23"/>
  <c r="L71" i="23" s="1"/>
  <c r="L73" i="23" s="1"/>
  <c r="D284" i="23" s="1"/>
  <c r="G274" i="23" s="1"/>
  <c r="R67" i="23"/>
  <c r="R71" i="23" s="1"/>
  <c r="AV52" i="23"/>
  <c r="AV56" i="23" s="1"/>
  <c r="AP97" i="23"/>
  <c r="AP101" i="23" s="1"/>
  <c r="CF80" i="23"/>
  <c r="CF84" i="23" s="1"/>
  <c r="AJ80" i="23"/>
  <c r="AJ84" i="23" s="1"/>
  <c r="AV65" i="23"/>
  <c r="AV69" i="23" s="1"/>
  <c r="BT20" i="23"/>
  <c r="BT24" i="23" s="1"/>
  <c r="BH65" i="23"/>
  <c r="BH69" i="23" s="1"/>
  <c r="X125" i="23"/>
  <c r="X129" i="23" s="1"/>
  <c r="AJ140" i="23"/>
  <c r="AJ144" i="23" s="1"/>
  <c r="BN7" i="23"/>
  <c r="BN11" i="23" s="1"/>
  <c r="BN13" i="23" s="1"/>
  <c r="M280" i="23" s="1"/>
  <c r="BN95" i="23"/>
  <c r="BN99" i="23" s="1"/>
  <c r="CF65" i="23"/>
  <c r="CF69" i="23" s="1"/>
  <c r="AP5" i="23"/>
  <c r="AP9" i="23" s="1"/>
  <c r="BT140" i="23"/>
  <c r="BT144" i="23" s="1"/>
  <c r="AJ65" i="23"/>
  <c r="AJ69" i="23" s="1"/>
  <c r="AD140" i="23"/>
  <c r="AD144" i="23" s="1"/>
  <c r="BN20" i="23"/>
  <c r="BN24" i="23" s="1"/>
  <c r="L95" i="23"/>
  <c r="L99" i="23" s="1"/>
  <c r="AJ50" i="23"/>
  <c r="AJ54" i="23" s="1"/>
  <c r="BN140" i="23"/>
  <c r="BN144" i="23" s="1"/>
  <c r="CF50" i="23"/>
  <c r="CF54" i="23" s="1"/>
  <c r="R80" i="23"/>
  <c r="R84" i="23" s="1"/>
  <c r="X35" i="23"/>
  <c r="X39" i="23" s="1"/>
  <c r="BZ95" i="23"/>
  <c r="BZ99" i="23" s="1"/>
  <c r="L125" i="23"/>
  <c r="L129" i="23" s="1"/>
  <c r="R50" i="23"/>
  <c r="R54" i="23" s="1"/>
  <c r="AJ110" i="23"/>
  <c r="AJ114" i="23" s="1"/>
  <c r="BB20" i="23"/>
  <c r="BB24" i="23" s="1"/>
  <c r="CR95" i="23"/>
  <c r="CR99" i="23" s="1"/>
  <c r="BN80" i="23"/>
  <c r="BN84" i="23" s="1"/>
  <c r="CL20" i="23"/>
  <c r="CL24" i="23" s="1"/>
  <c r="AJ35" i="23"/>
  <c r="AJ39" i="23" s="1"/>
  <c r="X20" i="23"/>
  <c r="X24" i="23" s="1"/>
  <c r="CF35" i="23"/>
  <c r="CF39" i="23" s="1"/>
  <c r="AD80" i="23"/>
  <c r="AD84" i="23" s="1"/>
  <c r="L5" i="23"/>
  <c r="L9" i="23" s="1"/>
  <c r="AD20" i="23"/>
  <c r="AD24" i="23" s="1"/>
  <c r="X80" i="23"/>
  <c r="X84" i="23" s="1"/>
  <c r="BN50" i="23"/>
  <c r="BN54" i="23" s="1"/>
  <c r="BZ80" i="23"/>
  <c r="BZ84" i="23" s="1"/>
  <c r="BZ97" i="23"/>
  <c r="BZ101" i="23" s="1"/>
  <c r="BB80" i="23"/>
  <c r="BB84" i="23" s="1"/>
  <c r="X140" i="23"/>
  <c r="X144" i="23" s="1"/>
  <c r="BZ125" i="23"/>
  <c r="BZ129" i="23" s="1"/>
  <c r="CL80" i="23"/>
  <c r="CL84" i="23" s="1"/>
  <c r="AV140" i="23"/>
  <c r="AV144" i="23" s="1"/>
  <c r="BZ50" i="23"/>
  <c r="BZ54" i="23" s="1"/>
  <c r="AV20" i="23"/>
  <c r="AV24" i="23" s="1"/>
  <c r="CF20" i="23"/>
  <c r="CF24" i="23" s="1"/>
  <c r="L110" i="23"/>
  <c r="L114" i="23" s="1"/>
  <c r="CR125" i="23"/>
  <c r="CR129" i="23" s="1"/>
  <c r="F20" i="23"/>
  <c r="F24" i="23" s="1"/>
  <c r="BB5" i="23"/>
  <c r="BB9" i="23" s="1"/>
  <c r="AV5" i="23"/>
  <c r="AV9" i="23" s="1"/>
  <c r="AD127" i="23"/>
  <c r="AD131" i="23" s="1"/>
  <c r="BZ110" i="23"/>
  <c r="BZ114" i="23" s="1"/>
  <c r="BB67" i="23"/>
  <c r="BB71" i="23" s="1"/>
  <c r="BN35" i="23"/>
  <c r="BN39" i="23" s="1"/>
  <c r="BT50" i="23"/>
  <c r="BT54" i="23" s="1"/>
  <c r="BT65" i="23"/>
  <c r="BT69" i="23" s="1"/>
  <c r="R20" i="23"/>
  <c r="R24" i="23" s="1"/>
  <c r="AJ82" i="23"/>
  <c r="AJ86" i="23" s="1"/>
  <c r="F35" i="23"/>
  <c r="F39" i="23" s="1"/>
  <c r="AD125" i="23"/>
  <c r="AD129" i="23" s="1"/>
  <c r="CF95" i="23"/>
  <c r="CF99" i="23" s="1"/>
  <c r="BB50" i="23"/>
  <c r="BB54" i="23" s="1"/>
  <c r="CR80" i="23"/>
  <c r="CR84" i="23" s="1"/>
  <c r="BT80" i="23"/>
  <c r="BT84" i="23" s="1"/>
  <c r="X65" i="23"/>
  <c r="X69" i="23" s="1"/>
  <c r="AP140" i="23"/>
  <c r="AP144" i="23" s="1"/>
  <c r="CL5" i="23"/>
  <c r="CL9" i="23" s="1"/>
  <c r="AP50" i="23"/>
  <c r="AP54" i="23" s="1"/>
  <c r="BH80" i="23"/>
  <c r="BH84" i="23" s="1"/>
  <c r="CR52" i="23"/>
  <c r="CR56" i="23" s="1"/>
  <c r="CL112" i="23"/>
  <c r="CL116" i="23" s="1"/>
  <c r="AV35" i="23"/>
  <c r="AV39" i="23" s="1"/>
  <c r="F125" i="23"/>
  <c r="F129" i="23" s="1"/>
  <c r="AJ125" i="23"/>
  <c r="AJ129" i="23" s="1"/>
  <c r="BZ65" i="23"/>
  <c r="BZ69" i="23" s="1"/>
  <c r="AP35" i="23"/>
  <c r="AP39" i="23" s="1"/>
  <c r="X127" i="23"/>
  <c r="X131" i="23" s="1"/>
  <c r="CR50" i="23"/>
  <c r="CR54" i="23" s="1"/>
  <c r="X7" i="23"/>
  <c r="X11" i="23" s="1"/>
  <c r="AP65" i="23"/>
  <c r="AP69" i="23" s="1"/>
  <c r="CR20" i="23"/>
  <c r="CR24" i="23" s="1"/>
  <c r="F140" i="23"/>
  <c r="F144" i="23" s="1"/>
  <c r="BZ20" i="23"/>
  <c r="BZ24" i="23" s="1"/>
  <c r="F80" i="23"/>
  <c r="F84" i="23" s="1"/>
  <c r="BB82" i="23"/>
  <c r="BB86" i="23" s="1"/>
  <c r="R110" i="23"/>
  <c r="R114" i="23" s="1"/>
  <c r="AD50" i="23"/>
  <c r="AD54" i="23" s="1"/>
  <c r="R125" i="23"/>
  <c r="R129" i="23" s="1"/>
  <c r="AP20" i="23"/>
  <c r="AP24" i="23" s="1"/>
  <c r="BH50" i="23"/>
  <c r="BH54" i="23" s="1"/>
  <c r="CR67" i="23"/>
  <c r="CR71" i="23" s="1"/>
  <c r="F65" i="23"/>
  <c r="F69" i="23" s="1"/>
  <c r="AP125" i="23"/>
  <c r="AP129" i="23" s="1"/>
  <c r="BT95" i="23"/>
  <c r="BT99" i="23" s="1"/>
  <c r="CF52" i="23"/>
  <c r="CF56" i="23" s="1"/>
  <c r="CR35" i="23"/>
  <c r="CR39" i="23" s="1"/>
  <c r="L20" i="23"/>
  <c r="L24" i="23" s="1"/>
  <c r="AV95" i="23"/>
  <c r="AV99" i="23" s="1"/>
  <c r="AD35" i="23"/>
  <c r="AD39" i="23" s="1"/>
  <c r="BH95" i="23"/>
  <c r="BH99" i="23" s="1"/>
  <c r="CF110" i="23"/>
  <c r="CF114" i="23" s="1"/>
  <c r="CL140" i="23"/>
  <c r="CL144" i="23" s="1"/>
  <c r="BB140" i="23"/>
  <c r="BB144" i="23" s="1"/>
  <c r="AD37" i="23"/>
  <c r="AD41" i="23" s="1"/>
  <c r="F110" i="23"/>
  <c r="F114" i="23" s="1"/>
  <c r="BB125" i="23"/>
  <c r="BB129" i="23" s="1"/>
  <c r="CR112" i="23"/>
  <c r="CR116" i="23" s="1"/>
  <c r="R35" i="23"/>
  <c r="R39" i="23" s="1"/>
  <c r="BZ82" i="23"/>
  <c r="BZ86" i="23" s="1"/>
  <c r="CF112" i="23"/>
  <c r="CF116" i="23" s="1"/>
  <c r="CL65" i="23"/>
  <c r="CL69" i="23" s="1"/>
  <c r="L80" i="23"/>
  <c r="L84" i="23" s="1"/>
  <c r="BH5" i="23"/>
  <c r="BH9" i="23" s="1"/>
  <c r="F5" i="23"/>
  <c r="F9" i="23" s="1"/>
  <c r="BT125" i="23"/>
  <c r="BT129" i="23" s="1"/>
  <c r="BH110" i="23"/>
  <c r="BH114" i="23" s="1"/>
  <c r="BB95" i="23"/>
  <c r="BB99" i="23" s="1"/>
  <c r="X50" i="23"/>
  <c r="X54" i="23" s="1"/>
  <c r="CR65" i="23"/>
  <c r="CR69" i="23" s="1"/>
  <c r="AJ5" i="23"/>
  <c r="AJ9" i="23" s="1"/>
  <c r="X13" i="23" l="1"/>
  <c r="F280" i="23" s="1"/>
  <c r="CL118" i="23"/>
  <c r="Q287" i="23" s="1"/>
  <c r="BZ88" i="23"/>
  <c r="O285" i="23" s="1"/>
  <c r="X133" i="23"/>
  <c r="F288" i="23" s="1"/>
  <c r="CR118" i="23"/>
  <c r="R287" i="23" s="1"/>
  <c r="AV58" i="23"/>
  <c r="J283" i="23" s="1"/>
  <c r="CF58" i="23"/>
  <c r="P283" i="23" s="1"/>
  <c r="R73" i="23"/>
  <c r="E284" i="23" s="1"/>
  <c r="CF118" i="23"/>
  <c r="P287" i="23" s="1"/>
  <c r="BZ148" i="23"/>
  <c r="O289" i="23" s="1"/>
  <c r="BB73" i="23"/>
  <c r="K284" i="23" s="1"/>
  <c r="AD73" i="23"/>
  <c r="G284" i="23" s="1"/>
  <c r="AJ88" i="23"/>
  <c r="H285" i="23" s="1"/>
  <c r="CF148" i="23"/>
  <c r="P289" i="23" s="1"/>
  <c r="AP103" i="23"/>
  <c r="I286" i="23" s="1"/>
  <c r="R133" i="23"/>
  <c r="E288" i="23" s="1"/>
  <c r="CF43" i="23"/>
  <c r="P282" i="23" s="1"/>
  <c r="BZ58" i="23"/>
  <c r="O283" i="23" s="1"/>
  <c r="L13" i="23"/>
  <c r="D280" i="23" s="1"/>
  <c r="C274" i="23" s="1"/>
  <c r="AD103" i="23"/>
  <c r="G286" i="23" s="1"/>
  <c r="AP88" i="23"/>
  <c r="I285" i="23" s="1"/>
  <c r="BN103" i="23"/>
  <c r="M286" i="23" s="1"/>
  <c r="AV148" i="23"/>
  <c r="J289" i="23" s="1"/>
  <c r="BB148" i="23"/>
  <c r="K289" i="23" s="1"/>
  <c r="BT58" i="23"/>
  <c r="N283" i="23" s="1"/>
  <c r="BH58" i="23"/>
  <c r="L283" i="23" s="1"/>
  <c r="AJ118" i="23"/>
  <c r="H287" i="23" s="1"/>
  <c r="CF103" i="23"/>
  <c r="P286" i="23" s="1"/>
  <c r="BH43" i="23"/>
  <c r="L282" i="23" s="1"/>
  <c r="AD58" i="23"/>
  <c r="G283" i="23" s="1"/>
  <c r="BZ103" i="23"/>
  <c r="O286" i="23" s="1"/>
  <c r="AJ103" i="23"/>
  <c r="H286" i="23" s="1"/>
  <c r="CR58" i="23"/>
  <c r="R283" i="23" s="1"/>
  <c r="BN58" i="23"/>
  <c r="M283" i="23" s="1"/>
  <c r="CR103" i="23"/>
  <c r="R286" i="23" s="1"/>
  <c r="L28" i="23"/>
  <c r="D281" i="23" s="1"/>
  <c r="D274" i="23" s="1"/>
  <c r="BT133" i="23"/>
  <c r="N288" i="23" s="1"/>
  <c r="CR133" i="23"/>
  <c r="R288" i="23" s="1"/>
  <c r="R103" i="23"/>
  <c r="E286" i="23" s="1"/>
  <c r="F73" i="23"/>
  <c r="C284" i="23" s="1"/>
  <c r="BN148" i="23"/>
  <c r="M289" i="23" s="1"/>
  <c r="BT28" i="23"/>
  <c r="N281" i="23" s="1"/>
  <c r="BZ28" i="23"/>
  <c r="O281" i="23" s="1"/>
  <c r="CF133" i="23"/>
  <c r="P288" i="23" s="1"/>
  <c r="AJ73" i="23"/>
  <c r="H284" i="23" s="1"/>
  <c r="BZ43" i="23"/>
  <c r="O282" i="23" s="1"/>
  <c r="F88" i="23"/>
  <c r="C285" i="23" s="1"/>
  <c r="AP43" i="23"/>
  <c r="I282" i="23" s="1"/>
  <c r="AV88" i="23"/>
  <c r="J285" i="23" s="1"/>
  <c r="AP133" i="23"/>
  <c r="I288" i="23" s="1"/>
  <c r="X43" i="23"/>
  <c r="F282" i="23" s="1"/>
  <c r="BN133" i="23"/>
  <c r="M288" i="23" s="1"/>
  <c r="BT13" i="23"/>
  <c r="N280" i="23" s="1"/>
  <c r="BH28" i="23"/>
  <c r="L281" i="23" s="1"/>
  <c r="CR43" i="23"/>
  <c r="R282" i="23" s="1"/>
  <c r="AJ58" i="23"/>
  <c r="H283" i="23" s="1"/>
  <c r="BT43" i="23"/>
  <c r="N282" i="23" s="1"/>
  <c r="CL58" i="23"/>
  <c r="Q283" i="23" s="1"/>
  <c r="BB13" i="23"/>
  <c r="K280" i="23" s="1"/>
  <c r="L103" i="23"/>
  <c r="D286" i="23" s="1"/>
  <c r="I274" i="23" s="1"/>
  <c r="L43" i="23"/>
  <c r="D282" i="23" s="1"/>
  <c r="E274" i="23" s="1"/>
  <c r="AD118" i="23"/>
  <c r="G287" i="23" s="1"/>
  <c r="BN88" i="23"/>
  <c r="M285" i="23" s="1"/>
  <c r="BZ133" i="23"/>
  <c r="O288" i="23" s="1"/>
  <c r="AP73" i="23"/>
  <c r="I284" i="23" s="1"/>
  <c r="BN28" i="23"/>
  <c r="M281" i="23" s="1"/>
  <c r="BB28" i="23"/>
  <c r="K281" i="23" s="1"/>
  <c r="F148" i="23"/>
  <c r="C289" i="23" s="1"/>
  <c r="CL43" i="23"/>
  <c r="Q282" i="23" s="1"/>
  <c r="BT88" i="23"/>
  <c r="N285" i="23" s="1"/>
  <c r="AJ43" i="23"/>
  <c r="H282" i="23" s="1"/>
  <c r="F13" i="23"/>
  <c r="C280" i="23" s="1"/>
  <c r="BH148" i="23"/>
  <c r="L289" i="23" s="1"/>
  <c r="BB43" i="23"/>
  <c r="K282" i="23" s="1"/>
  <c r="R148" i="23"/>
  <c r="E289" i="23" s="1"/>
  <c r="AD148" i="23"/>
  <c r="G289" i="23" s="1"/>
  <c r="L88" i="23"/>
  <c r="D285" i="23" s="1"/>
  <c r="H274" i="23" s="1"/>
  <c r="L133" i="23"/>
  <c r="D288" i="23" s="1"/>
  <c r="K274" i="23" s="1"/>
  <c r="R58" i="23"/>
  <c r="E283" i="23" s="1"/>
  <c r="AD13" i="23"/>
  <c r="G280" i="23" s="1"/>
  <c r="R28" i="23"/>
  <c r="E281" i="23" s="1"/>
  <c r="BH88" i="23"/>
  <c r="L285" i="23" s="1"/>
  <c r="X103" i="23"/>
  <c r="F286" i="23" s="1"/>
  <c r="CF88" i="23"/>
  <c r="P285" i="23" s="1"/>
  <c r="AV118" i="23"/>
  <c r="J287" i="23" s="1"/>
  <c r="R118" i="23"/>
  <c r="E287" i="23" s="1"/>
  <c r="CR73" i="23"/>
  <c r="R284" i="23" s="1"/>
  <c r="AD133" i="23"/>
  <c r="G288" i="23" s="1"/>
  <c r="AJ28" i="23"/>
  <c r="H281" i="23" s="1"/>
  <c r="F28" i="23"/>
  <c r="C281" i="23" s="1"/>
  <c r="AD28" i="23"/>
  <c r="G281" i="23" s="1"/>
  <c r="R43" i="23"/>
  <c r="E282" i="23" s="1"/>
  <c r="L58" i="23"/>
  <c r="D283" i="23" s="1"/>
  <c r="F274" i="23" s="1"/>
  <c r="CF28" i="23"/>
  <c r="P281" i="23" s="1"/>
  <c r="BN118" i="23"/>
  <c r="M287" i="23" s="1"/>
  <c r="CL28" i="23"/>
  <c r="Q281" i="23" s="1"/>
  <c r="CF13" i="23"/>
  <c r="P280" i="23" s="1"/>
  <c r="BN73" i="23"/>
  <c r="M284" i="23" s="1"/>
  <c r="CR88" i="23"/>
  <c r="R285" i="23" s="1"/>
  <c r="CL13" i="23"/>
  <c r="Q280" i="23" s="1"/>
  <c r="F133" i="23"/>
  <c r="C288" i="23" s="1"/>
  <c r="BH73" i="23"/>
  <c r="L284" i="23" s="1"/>
  <c r="AP148" i="23"/>
  <c r="I289" i="23" s="1"/>
  <c r="X73" i="23"/>
  <c r="F284" i="23" s="1"/>
  <c r="L118" i="23"/>
  <c r="D287" i="23" s="1"/>
  <c r="J274" i="23" s="1"/>
  <c r="AV13" i="23"/>
  <c r="J280" i="23" s="1"/>
  <c r="F43" i="23"/>
  <c r="C282" i="23" s="1"/>
  <c r="AP13" i="23"/>
  <c r="I280" i="23" s="1"/>
  <c r="X148" i="23"/>
  <c r="F289" i="23" s="1"/>
  <c r="AV133" i="23"/>
  <c r="J288" i="23" s="1"/>
  <c r="BT148" i="23"/>
  <c r="N289" i="23" s="1"/>
  <c r="AJ133" i="23"/>
  <c r="H288" i="23" s="1"/>
  <c r="CR148" i="23"/>
  <c r="R289" i="23" s="1"/>
  <c r="X58" i="23"/>
  <c r="F283" i="23" s="1"/>
  <c r="BH133" i="23"/>
  <c r="L288" i="23" s="1"/>
  <c r="AV28" i="23"/>
  <c r="J281" i="23" s="1"/>
  <c r="L148" i="23"/>
  <c r="D289" i="23" s="1"/>
  <c r="L274" i="23" s="1"/>
  <c r="BZ73" i="23"/>
  <c r="O284" i="23" s="1"/>
  <c r="AP28" i="23"/>
  <c r="I281" i="23" s="1"/>
  <c r="F118" i="23"/>
  <c r="C287" i="23" s="1"/>
  <c r="BH13" i="23"/>
  <c r="L280" i="23" s="1"/>
  <c r="BB88" i="23"/>
  <c r="BB58" i="23"/>
  <c r="K283" i="23" s="1"/>
  <c r="CR13" i="23"/>
  <c r="R280" i="23" s="1"/>
  <c r="CL73" i="23"/>
  <c r="Q284" i="23" s="1"/>
  <c r="AD88" i="23"/>
  <c r="G285" i="23" s="1"/>
  <c r="CF73" i="23"/>
  <c r="P284" i="23" s="1"/>
  <c r="BB103" i="23"/>
  <c r="R13" i="23"/>
  <c r="E280" i="23" s="1"/>
  <c r="X28" i="23"/>
  <c r="F281" i="23" s="1"/>
  <c r="CL133" i="23"/>
  <c r="Q288" i="23" s="1"/>
  <c r="BB118" i="23"/>
  <c r="R88" i="23"/>
  <c r="E285" i="23" s="1"/>
  <c r="F103" i="23"/>
  <c r="C286" i="23" s="1"/>
  <c r="CL88" i="23"/>
  <c r="Q285" i="23" s="1"/>
  <c r="BT73" i="23"/>
  <c r="N284" i="23" s="1"/>
  <c r="X118" i="23"/>
  <c r="F287" i="23" s="1"/>
  <c r="BT118" i="23"/>
  <c r="N287" i="23" s="1"/>
  <c r="BH103" i="23"/>
  <c r="L286" i="23" s="1"/>
  <c r="X88" i="23"/>
  <c r="F285" i="23" s="1"/>
  <c r="AD43" i="23"/>
  <c r="G282" i="23" s="1"/>
  <c r="CR28" i="23"/>
  <c r="R281" i="23" s="1"/>
  <c r="CL148" i="23"/>
  <c r="Q289" i="23" s="1"/>
  <c r="BZ13" i="23"/>
  <c r="O280" i="23" s="1"/>
  <c r="BT103" i="23"/>
  <c r="N286" i="23" s="1"/>
  <c r="AJ148" i="23"/>
  <c r="H289" i="23" s="1"/>
  <c r="CL103" i="23"/>
  <c r="Q286" i="23" s="1"/>
  <c r="BB133" i="23"/>
  <c r="K288" i="23" s="1"/>
  <c r="AP58" i="23"/>
  <c r="I283" i="23" s="1"/>
  <c r="AV73" i="23"/>
  <c r="J284" i="23" s="1"/>
  <c r="F58" i="23"/>
  <c r="C283" i="23" s="1"/>
  <c r="BN43" i="23"/>
  <c r="M282" i="23" s="1"/>
  <c r="AJ13" i="23"/>
  <c r="H280" i="23" s="1"/>
  <c r="AV103" i="23"/>
  <c r="J286" i="23" s="1"/>
  <c r="AP118" i="23"/>
  <c r="I287" i="23" s="1"/>
  <c r="BZ118" i="23"/>
  <c r="O287" i="23" s="1"/>
  <c r="AV43" i="23"/>
  <c r="J282" i="23" s="1"/>
  <c r="BH118" i="23"/>
  <c r="L287" i="23" s="1"/>
  <c r="C291" i="23" l="1"/>
  <c r="F11" i="3" s="1"/>
  <c r="H11" i="3" s="1"/>
  <c r="M11" i="3" s="1"/>
  <c r="M17" i="3" s="1"/>
  <c r="K287" i="23"/>
  <c r="K286" i="23"/>
  <c r="K285" i="23"/>
  <c r="K11" i="3" l="1"/>
  <c r="N11" i="3" s="1"/>
  <c r="N17" i="3" s="1"/>
  <c r="N18" i="3" s="1"/>
  <c r="N19" i="3" s="1"/>
  <c r="N20" i="3" s="1"/>
  <c r="O20" i="3" l="1"/>
  <c r="N22" i="3"/>
  <c r="P20" i="3" l="1"/>
  <c r="S42" i="4" s="1"/>
  <c r="H42" i="4" s="1"/>
  <c r="J46" i="5" l="1"/>
  <c r="J46" i="27"/>
  <c r="Q20" i="3"/>
  <c r="L42" i="4" s="1"/>
  <c r="N46" i="27" l="1"/>
  <c r="N46" i="5"/>
  <c r="O42" i="4"/>
  <c r="O40" i="4"/>
  <c r="O45" i="4" l="1"/>
  <c r="H67" i="4" s="1"/>
  <c r="R110" i="2" l="1"/>
  <c r="B117" i="2"/>
  <c r="B57" i="4" s="1"/>
  <c r="H1" i="28"/>
  <c r="A2" i="2"/>
  <c r="T29" i="2" s="1"/>
  <c r="T28" i="2"/>
  <c r="E33" i="26" l="1"/>
  <c r="R113" i="2"/>
  <c r="A2" i="4"/>
  <c r="A2" i="5" s="1"/>
  <c r="B60" i="27"/>
  <c r="B60" i="5"/>
  <c r="A2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Windows User</author>
    <author>ismail - [2010]</author>
  </authors>
  <commentList>
    <comment ref="Q11" authorId="0" shapeId="0" xr:uid="{00000000-0006-0000-0200-000001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Validasi</t>
        </r>
      </text>
    </comment>
    <comment ref="Q19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jangan lupa diisi
</t>
        </r>
      </text>
    </comment>
    <comment ref="B40" authorId="0" shapeId="0" xr:uid="{00000000-0006-0000-0200-000004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Nilai dari acuan</t>
        </r>
      </text>
    </comment>
    <comment ref="H40" authorId="0" shapeId="0" xr:uid="{00000000-0006-0000-0200-000005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Acuan dari tabel grading factor disamping</t>
        </r>
      </text>
    </comment>
    <comment ref="B112" authorId="2" shapeId="0" xr:uid="{05350EAA-2763-4A4A-AA3F-54E83D9FC1E2}">
      <text>
        <r>
          <rPr>
            <b/>
            <sz val="9"/>
            <color indexed="81"/>
            <rFont val="Tahoma"/>
            <family val="2"/>
          </rPr>
          <t>SUHU - [2023]:</t>
        </r>
        <r>
          <rPr>
            <sz val="9"/>
            <color indexed="81"/>
            <rFont val="Tahoma"/>
            <family val="2"/>
          </rPr>
          <t xml:space="preserve">
No HIOKI, just Delete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2486ECB6-4080-4BB9-B018-3861674831EA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<sst xmlns="http://schemas.openxmlformats.org/spreadsheetml/2006/main" count="2654" uniqueCount="650">
  <si>
    <t>Lembar Kerja Kalibrasi Laboratorium Inkubator</t>
  </si>
  <si>
    <t>Nomor Sertifikat / Nomor Surat Keterangan : 30  /           /        -        / E -                        DL / Dt</t>
  </si>
  <si>
    <t>Merek</t>
  </si>
  <si>
    <t>:</t>
  </si>
  <si>
    <t xml:space="preserve">Model/Tipe                    </t>
  </si>
  <si>
    <t xml:space="preserve">No. Seri                          </t>
  </si>
  <si>
    <t>Resolusi</t>
  </si>
  <si>
    <t xml:space="preserve">Tanggal Kalibrasi                            </t>
  </si>
  <si>
    <t>Tanggal Penerimaan Alat</t>
  </si>
  <si>
    <t xml:space="preserve">Tempat Kalibrasi                             </t>
  </si>
  <si>
    <t xml:space="preserve">Nama Ruang                                    </t>
  </si>
  <si>
    <t>I.</t>
  </si>
  <si>
    <t>Kondisi Ruang</t>
  </si>
  <si>
    <t>Awal</t>
  </si>
  <si>
    <t>Akhir</t>
  </si>
  <si>
    <t>1. Suhu</t>
  </si>
  <si>
    <t>°C</t>
  </si>
  <si>
    <t>2. Kelembaban Relatif</t>
  </si>
  <si>
    <t>%RH</t>
  </si>
  <si>
    <t>3. Tegangan jala-jala</t>
  </si>
  <si>
    <t>V</t>
  </si>
  <si>
    <t>II.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</si>
  <si>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</si>
  <si>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</si>
  <si>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</si>
  <si>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</si>
  <si>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</si>
  <si>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</si>
  <si>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>III.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</si>
  <si>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</si>
  <si>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</si>
  <si>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</si>
  <si>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</si>
  <si>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</si>
  <si>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</si>
  <si>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MΩ</t>
  </si>
  <si>
    <t>&gt; 2 MΩ</t>
  </si>
  <si>
    <t>Resistansi Pembumian Protektif (kabel (dapat/tidak dapat) dilepas)*</t>
  </si>
  <si>
    <t>Ω</t>
  </si>
  <si>
    <t>Arus Bocor Peralatan</t>
  </si>
  <si>
    <t>mA</t>
  </si>
  <si>
    <t xml:space="preserve"> </t>
  </si>
  <si>
    <t>Arus bocor peralatan untuk peralatan elektromedik kelas I</t>
  </si>
  <si>
    <t>µA</t>
  </si>
  <si>
    <t>≤ 500 µA</t>
  </si>
  <si>
    <t>IV.</t>
  </si>
  <si>
    <t>Pengujian Kinerja</t>
  </si>
  <si>
    <t>a. Volume Enclosure</t>
  </si>
  <si>
    <t>Panjang (m)</t>
  </si>
  <si>
    <t>Lebar                    (m)</t>
  </si>
  <si>
    <t>Tinggi               (m)</t>
  </si>
  <si>
    <r>
      <t>Volume (m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)</t>
    </r>
  </si>
  <si>
    <t>b. Jumlah Titik Ukur</t>
  </si>
  <si>
    <t>Δt         (°C)</t>
  </si>
  <si>
    <r>
      <t>R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2 x Δt  (°C)</t>
    </r>
  </si>
  <si>
    <r>
      <t>D = t</t>
    </r>
    <r>
      <rPr>
        <vertAlign val="subscript"/>
        <sz val="12"/>
        <rFont val="Arial"/>
        <family val="2"/>
      </rPr>
      <t>setting</t>
    </r>
    <r>
      <rPr>
        <sz val="12"/>
        <rFont val="Arial"/>
        <family val="2"/>
      </rPr>
      <t xml:space="preserve"> - t</t>
    </r>
    <r>
      <rPr>
        <vertAlign val="subscript"/>
        <sz val="12"/>
        <rFont val="Arial"/>
        <family val="2"/>
      </rPr>
      <t>ruang</t>
    </r>
  </si>
  <si>
    <t>f =   100Ro
      100 + D</t>
  </si>
  <si>
    <r>
      <t>N = 3 + 3G</t>
    </r>
    <r>
      <rPr>
        <vertAlign val="superscript"/>
        <sz val="12"/>
        <rFont val="Arial"/>
        <family val="2"/>
      </rPr>
      <t>0.6</t>
    </r>
    <r>
      <rPr>
        <sz val="12"/>
        <rFont val="Arial"/>
        <family val="2"/>
      </rPr>
      <t>.V</t>
    </r>
    <r>
      <rPr>
        <vertAlign val="superscript"/>
        <sz val="12"/>
        <rFont val="Arial"/>
        <family val="2"/>
      </rPr>
      <t xml:space="preserve">0.2 </t>
    </r>
    <r>
      <rPr>
        <sz val="12"/>
        <rFont val="Arial"/>
        <family val="2"/>
      </rPr>
      <t>± 10%</t>
    </r>
  </si>
  <si>
    <t>c. Posisi Titik Uji</t>
  </si>
  <si>
    <t>d. Pengukuran Suhu</t>
  </si>
  <si>
    <t>Set-point (°C)</t>
  </si>
  <si>
    <t>Posisi Termokopel</t>
  </si>
  <si>
    <t>Pembacaan Alat Standar (°C)</t>
  </si>
  <si>
    <t>Toleransi  (°C)</t>
  </si>
  <si>
    <t>t - min1</t>
  </si>
  <si>
    <t>t - max1</t>
  </si>
  <si>
    <t>t - min2</t>
  </si>
  <si>
    <t>t - max2</t>
  </si>
  <si>
    <t>t - min3</t>
  </si>
  <si>
    <t>t - max3</t>
  </si>
  <si>
    <t>t - min4</t>
  </si>
  <si>
    <t>t - max4</t>
  </si>
  <si>
    <t>t - min5</t>
  </si>
  <si>
    <t>t - max5</t>
  </si>
  <si>
    <t>t1</t>
  </si>
  <si>
    <t>Akurasi Suhu 37 ± 1,5 °C
Variasi Total ≤ 3°C</t>
  </si>
  <si>
    <t>t2</t>
  </si>
  <si>
    <t>t3</t>
  </si>
  <si>
    <t>t4</t>
  </si>
  <si>
    <t>t5</t>
  </si>
  <si>
    <t>t6</t>
  </si>
  <si>
    <t>t7</t>
  </si>
  <si>
    <t>t8</t>
  </si>
  <si>
    <t>P. Indicator</t>
  </si>
  <si>
    <t>Suhu ruang</t>
  </si>
  <si>
    <t>V.</t>
  </si>
  <si>
    <t>Keterangan</t>
  </si>
  <si>
    <t>Ketidakpastian pengukuran dilaporkan pada tingkat kepercayaan 95% dengan faktor cakupan k=2</t>
  </si>
  <si>
    <t>VI.</t>
  </si>
  <si>
    <t>Alat Ukur yang digunakan</t>
  </si>
  <si>
    <t>Thermocouple Data Logger,  Merek : Madgetech, Model : Oct Temp 2000, SN :  P40270 / P41878</t>
  </si>
  <si>
    <t>Thermohygrometer,Merek : KIMO, Model : KH - 210 - AO, SN : 14082463, 15062872, 15062874, 15062875</t>
  </si>
  <si>
    <t>Thermohygrometer,Merek : SEKONIC, Model : ST-50A, SN : HE 21-000670, HE 21-000669</t>
  </si>
  <si>
    <t>Mobile Corder, Merek : Yokogawa, Model : GP 10, SN : S5T810599</t>
  </si>
  <si>
    <t>Wireless Temperature Recorder (Modul) : Merek : HIOKI, Model : LR 8510, SN : 210746054, 210746055, 210746056</t>
  </si>
  <si>
    <t>Electrical Safety Analyzer, Merek : Fluke Model : ESA 620 No Seri :1837056, 1834020</t>
  </si>
  <si>
    <t xml:space="preserve">Electrical Safety Analyzer, Merek : Fluke, Model : ESA 615, No Seri :2853077, 2853078, 3148907, 3148908, </t>
  </si>
  <si>
    <t>Electrical Safety Analyzer, Merek : Fluke, Model : ESA 615, No Seri :3699030, 4670010, 4669058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</si>
  <si>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</si>
  <si>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</si>
  <si>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</si>
  <si>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Thermohygrobarometer, Merek : EXTECH, Model : SD700, SN : A.100617, A.100618, A.100615</t>
  </si>
  <si>
    <t>VII.</t>
  </si>
  <si>
    <t>Kesimpulan</t>
  </si>
  <si>
    <t>Alat yang dikalibrasi (dalam batas / melebihi)*  toleransi dan dinyatakan (LAIK PAKAI / TIDAK LAIK PAKAI)*</t>
  </si>
  <si>
    <t>VIII.</t>
  </si>
  <si>
    <t>Petugas Kalibrasi</t>
  </si>
  <si>
    <t>Variasi Total dan Akurasi</t>
  </si>
  <si>
    <t>No.</t>
  </si>
  <si>
    <t>Tanggal</t>
  </si>
  <si>
    <t>Revisi</t>
  </si>
  <si>
    <t>Oleh</t>
  </si>
  <si>
    <t>Alat tidak boleh digunakan di ruangan tidak terdapat grounding</t>
  </si>
  <si>
    <t>Alat tidak boleh digunakan pada instalasi tanpa dilengkapi grounding</t>
  </si>
  <si>
    <t>II. Pemeriksaan Kondisi Fisik dan Fungsi Komponen Alat</t>
  </si>
  <si>
    <t>II. Pemeriksaan Kondisi Fisik dan Fungsi Alat</t>
  </si>
  <si>
    <t>III. Hasil Pengukuran Keselamatan Listrik</t>
  </si>
  <si>
    <t>III. Pengujian Keselamatan Listrik</t>
  </si>
  <si>
    <t xml:space="preserve">IV. Hasil Pengukuran </t>
  </si>
  <si>
    <t>IV. Pengujian Kinerja</t>
  </si>
  <si>
    <t>'Alat yang dikalibrasi melebihi batas toleransi dan dinyatakan TIDAK LAIK PAKAI, dimana hasil atau skor akhir dibawah 70% berdasarkan Keputusan Direktur Jenderal Pelayanan Kesehatan No : HK.02.02/V/5771/2018</t>
  </si>
  <si>
    <t>'Alat yang dikalibrasi dalam batas toleransi dan dinyatakan LAIK PAKAI, dimana hasil atau skor akhir sama dengan atau melampaui 70% berdasarkan Keputusan Direktur Jenderal Pelayanan Kesehatan No : HK.02.02/V/0412/2020</t>
  </si>
  <si>
    <t>Hasil pengukuran suhu ke Sistem Internasional ( SI ) melalui Pusat Penelitian Metrologi - LIPI</t>
  </si>
  <si>
    <t>Hasil pengujian kinerja suhu ke Sistem Internasional ( SI ) melalui Pusat Penelitian Metrologi - LIPI</t>
  </si>
  <si>
    <t xml:space="preserve">MK.028-18 </t>
  </si>
  <si>
    <t xml:space="preserve">MK 028-18 </t>
  </si>
  <si>
    <t>SH.LHK - 028-18 / Rev  : 0</t>
  </si>
  <si>
    <t>SH.LHK - 028-18 / Rev  : 1</t>
  </si>
  <si>
    <t xml:space="preserve">2. Kelembaban Relatif </t>
  </si>
  <si>
    <t>2. Kelembaban</t>
  </si>
  <si>
    <t>16 Maret 2021</t>
  </si>
  <si>
    <t>Nilai NC blm masuk skoring</t>
  </si>
  <si>
    <t>Sdh diperbaiki</t>
  </si>
  <si>
    <t>2 Juli 2021</t>
  </si>
  <si>
    <t>Update sertifikat ESA, datalogger</t>
  </si>
  <si>
    <t>Done</t>
  </si>
  <si>
    <t>Fauzan</t>
  </si>
  <si>
    <t>Update sertifikat ESA, datalogger, thermohygro</t>
  </si>
  <si>
    <t>10 Agustus 2021</t>
  </si>
  <si>
    <t>Penulisan sertifikat tertelusur salah untuk octtemp 878 (Lipi)
Penulisan sertifikat tertelusur salah untuk ESA 620 1834020 (Caltek)</t>
  </si>
  <si>
    <t>Tertelusur ke Kaliman</t>
  </si>
  <si>
    <t>Venna</t>
  </si>
  <si>
    <t>23-12-21</t>
  </si>
  <si>
    <t>skoring koreksi tidak abs</t>
  </si>
  <si>
    <t>sudah di perbaiki</t>
  </si>
  <si>
    <t>ojan</t>
  </si>
  <si>
    <t>7 Januari 2021</t>
  </si>
  <si>
    <t>LK kurang Rapi</t>
  </si>
  <si>
    <t>LK lebih rapi dari sebelumnya</t>
  </si>
  <si>
    <t>Zaen</t>
  </si>
  <si>
    <t>Alat yang dikalibrasi dalam batas toleransi dan dinyatakan (LAIK PAKAI / TIDAK LAIK PAKAI)*</t>
  </si>
  <si>
    <t>Belum terdapat</t>
  </si>
  <si>
    <t>menambah list alat HIOKI 8410 (Monitor) : 200812984, 210368323, 210368324</t>
  </si>
  <si>
    <t>menambah list alat modul wireless hioki</t>
  </si>
  <si>
    <t>menambanh nilai ketidakpastian pada tegangan jala-jala</t>
  </si>
  <si>
    <t>11 Juli 2022</t>
  </si>
  <si>
    <t>-</t>
  </si>
  <si>
    <t>Penambahan tabel toleransi pada LK (Rev.1)</t>
  </si>
  <si>
    <t>diMAN</t>
  </si>
  <si>
    <t>Skoring Kelistrikan</t>
  </si>
  <si>
    <t>Diman</t>
  </si>
  <si>
    <t>25 Juli 2022</t>
  </si>
  <si>
    <t>Update Sertifikat HIOKI 200936001 tahun 2021</t>
  </si>
  <si>
    <t>27 Juli 2022</t>
  </si>
  <si>
    <t>Update Sertifikat KIMO 15062873, 15062875 tahun 2021</t>
  </si>
  <si>
    <t>Update sertifikat ESA 908, 030 tahun 2022</t>
  </si>
  <si>
    <t>28 Juli 2022</t>
  </si>
  <si>
    <t>Hasil pengujian kinerja suhu ke Sistem Internasional ( SI ) melalui PT. Kaliman ( LK-032-IDN )</t>
  </si>
  <si>
    <t>Hasil pengujian kinerja suhu tertelusur ke Satuan SI melalui PT. Kaliman ( LK-032-IDN )</t>
  </si>
  <si>
    <t>Skoring Akhir                                      IF(AND(H27&gt;500,ID!R16=0,ID!S20&lt;=100),'Lembar Penyelia'!O25+'Lembar Penyelia'!O45+'Lembar Penyelia'!O31+'Lembar Penyelia'!O32,IF(AND(ID!R16=1),O45+Q34+O25,IF(AND(ID!R16=0,'Lembar Penyelia'!O33=0%),50%,"cek")))</t>
  </si>
  <si>
    <t>Skoring Akhir                                                                                 SUM(O23,O24,O34,O45)</t>
  </si>
  <si>
    <t>1.8.2022</t>
  </si>
  <si>
    <t>Update Sertiifkat HIOKI, Model : LR 8510, SN : 210746054 tahun 2022</t>
  </si>
  <si>
    <t>12.1.2023</t>
  </si>
  <si>
    <t>U95 Standar pada sheet 'Data Standar' ngelink ke koreksi                                HLOOKUP($B$258,$B$155:$R$169,14,0)</t>
  </si>
  <si>
    <t>HLOOKUP($B$258,$B$155:$R$169,15,0)</t>
  </si>
  <si>
    <t>koreksi auto mengikuti digit ketidakpastian</t>
  </si>
  <si>
    <t>DIMAN</t>
  </si>
  <si>
    <t>setting dan penunjukan alat auto mengikuti resolusi</t>
  </si>
  <si>
    <t>Input Data Hasil Kalibrasi Inkubator Laboratorium</t>
  </si>
  <si>
    <t xml:space="preserve">Merek                                     </t>
  </si>
  <si>
    <t>memmert</t>
  </si>
  <si>
    <t xml:space="preserve">Model/Tipe                         </t>
  </si>
  <si>
    <t>INB 400</t>
  </si>
  <si>
    <t xml:space="preserve">No. Seri                                  </t>
  </si>
  <si>
    <t>E406.0655</t>
  </si>
  <si>
    <t>Alat yang dikalibrasi dalam batas toleransi dan dinyatakan LAIK PAKAI, dimana hasil atau skor akhir sama dengan atau melampaui 70% berdasarkan Keputusan Direktur Jenderal Pelayanan Kesehatan No : HK.02.02/V/0412/2020</t>
  </si>
  <si>
    <r>
      <t>°</t>
    </r>
    <r>
      <rPr>
        <sz val="12"/>
        <rFont val="Arial"/>
        <family val="2"/>
      </rPr>
      <t>C</t>
    </r>
  </si>
  <si>
    <t>res</t>
  </si>
  <si>
    <t>Alat yang dikalibrasi melebihi batas toleransi dan dinyatakan TIDAK LAIK PAKAI, dimana hasil atau skor akhir dibawah 70% berdasarkan Keputusan Direktur Jenderal Pelayanan Kesehatan No : HK.02.02/V/5771/2018</t>
  </si>
  <si>
    <t>20 Mei 2019</t>
  </si>
  <si>
    <t>penunjukan alat</t>
  </si>
  <si>
    <t>CEK LAGI BOSS !!!!!</t>
  </si>
  <si>
    <t xml:space="preserve">Tanggal Kalibrasi                              </t>
  </si>
  <si>
    <t>20 Mei 2021</t>
  </si>
  <si>
    <t>setting</t>
  </si>
  <si>
    <t xml:space="preserve">Tempat Kalibrasi                              </t>
  </si>
  <si>
    <t>Laboratorium</t>
  </si>
  <si>
    <t>Rata-rata</t>
  </si>
  <si>
    <t>deviasi</t>
  </si>
  <si>
    <t xml:space="preserve">Nama Ruang                                         </t>
  </si>
  <si>
    <t xml:space="preserve">Metode Kerja                    </t>
  </si>
  <si>
    <t xml:space="preserve">2. Kelembaban </t>
  </si>
  <si>
    <t>3. Tegangan jala-jala            :</t>
  </si>
  <si>
    <t>Volt</t>
  </si>
  <si>
    <t>G</t>
  </si>
  <si>
    <t>NC</t>
  </si>
  <si>
    <t xml:space="preserve">1. Fisik             </t>
  </si>
  <si>
    <t>Baik</t>
  </si>
  <si>
    <t xml:space="preserve">2. Fungsi        </t>
  </si>
  <si>
    <t>Resistansi pembumian protektif (kabel dapat dilepas)</t>
  </si>
  <si>
    <t>Arus bocor peralatan untuk peralatan elektromedik kelas II</t>
  </si>
  <si>
    <t>Resistansi pembumian protektif (kabel tidak dapat dilepas)</t>
  </si>
  <si>
    <t>Tidak Baik</t>
  </si>
  <si>
    <t>OL</t>
  </si>
  <si>
    <t>NG</t>
  </si>
  <si>
    <t>Tidak terdapat instalasi grounding di ruangan</t>
  </si>
  <si>
    <t>Lebar                         (m)</t>
  </si>
  <si>
    <t>Tinggi    (m)</t>
  </si>
  <si>
    <t>Vol</t>
  </si>
  <si>
    <t xml:space="preserve">G R A D I N G   F A C T O R </t>
  </si>
  <si>
    <t>fm</t>
  </si>
  <si>
    <t>D = 30</t>
  </si>
  <si>
    <t>D = 100</t>
  </si>
  <si>
    <t>D = 300</t>
  </si>
  <si>
    <t>D = 1000</t>
  </si>
  <si>
    <t>Δt                              (°C)</t>
  </si>
  <si>
    <t>Penunjukkan Standar   (°C)</t>
  </si>
  <si>
    <t>Penunjukkan Indikator</t>
  </si>
  <si>
    <t>Suhu Ruang</t>
  </si>
  <si>
    <t>stdev (°C)</t>
  </si>
  <si>
    <t>diff (°C)</t>
  </si>
  <si>
    <t>Rata-Rata (°C)</t>
  </si>
  <si>
    <t>diff                (°C)</t>
  </si>
  <si>
    <t>midrange               (°C)</t>
  </si>
  <si>
    <t>midrange terkoreksi     (°C)</t>
  </si>
  <si>
    <t>Koreksi</t>
  </si>
  <si>
    <t>Suhu incu dari penunjukkan indikator</t>
  </si>
  <si>
    <t>Suhu incu dari pengukuran</t>
  </si>
  <si>
    <t>Variasi suhu spasial</t>
  </si>
  <si>
    <t>Variasi suhu temporal</t>
  </si>
  <si>
    <t>Variasi Total</t>
  </si>
  <si>
    <t>Kestabilan</t>
  </si>
  <si>
    <t>Akurasi</t>
  </si>
  <si>
    <t>V. Keterangan</t>
  </si>
  <si>
    <t>VI. Alat Ukur yang digunakan</t>
  </si>
  <si>
    <t>Temperature Recorder, Merek : HIOKI, Model : LR 8410, SN : 210368322</t>
  </si>
  <si>
    <t>Electrical Safety Analyzer, Merek : Fluke, Model : ESA 615, SN : 4669058</t>
  </si>
  <si>
    <t>Thermohygrolight, Merek : EXTECH, Model : SD700, SN : A.100611</t>
  </si>
  <si>
    <t>VII. Kesimpulan</t>
  </si>
  <si>
    <t>VIII. Petugas kalibrasi</t>
  </si>
  <si>
    <t>Wardimanul Abrar</t>
  </si>
  <si>
    <t>IX. Tanggal pembuatan laporan</t>
  </si>
  <si>
    <t xml:space="preserve">                                            </t>
  </si>
  <si>
    <t>UNCERTAINTY BUDGET</t>
  </si>
  <si>
    <t>Resolusi Alat :</t>
  </si>
  <si>
    <t xml:space="preserve"> °C</t>
  </si>
  <si>
    <t>Titik Ukur         :</t>
  </si>
  <si>
    <t>Komponen Ketidakpastian</t>
  </si>
  <si>
    <t>Unit</t>
  </si>
  <si>
    <t>Distribusi</t>
  </si>
  <si>
    <t>u</t>
  </si>
  <si>
    <t>pembagi</t>
  </si>
  <si>
    <r>
      <t>u</t>
    </r>
    <r>
      <rPr>
        <vertAlign val="subscript"/>
        <sz val="11"/>
        <rFont val="Arial"/>
        <family val="2"/>
      </rPr>
      <t>i</t>
    </r>
  </si>
  <si>
    <r>
      <t>c</t>
    </r>
    <r>
      <rPr>
        <vertAlign val="subscript"/>
        <sz val="11"/>
        <rFont val="Arial"/>
        <family val="2"/>
      </rPr>
      <t>i</t>
    </r>
  </si>
  <si>
    <r>
      <t>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c</t>
    </r>
    <r>
      <rPr>
        <vertAlign val="subscript"/>
        <sz val="11"/>
        <rFont val="Arial"/>
        <family val="2"/>
      </rPr>
      <t>i</t>
    </r>
  </si>
  <si>
    <r>
      <t>v</t>
    </r>
    <r>
      <rPr>
        <vertAlign val="subscript"/>
        <sz val="11"/>
        <rFont val="Arial"/>
        <family val="2"/>
      </rPr>
      <t>i</t>
    </r>
  </si>
  <si>
    <r>
      <t>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c</t>
    </r>
    <r>
      <rPr>
        <vertAlign val="subscript"/>
        <sz val="11"/>
        <rFont val="Arial"/>
        <family val="2"/>
      </rPr>
      <t>i</t>
    </r>
    <r>
      <rPr>
        <vertAlign val="superscript"/>
        <sz val="11"/>
        <rFont val="Arial"/>
        <family val="2"/>
      </rPr>
      <t>2</t>
    </r>
  </si>
  <si>
    <r>
      <t>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>/v</t>
    </r>
    <r>
      <rPr>
        <vertAlign val="subscript"/>
        <sz val="11"/>
        <rFont val="Arial"/>
        <family val="2"/>
      </rPr>
      <t>i</t>
    </r>
  </si>
  <si>
    <t>1. Repeatibility</t>
  </si>
  <si>
    <r>
      <t>○</t>
    </r>
    <r>
      <rPr>
        <sz val="11"/>
        <rFont val="Arial"/>
        <family val="2"/>
      </rPr>
      <t>C</t>
    </r>
  </si>
  <si>
    <t>Normal</t>
  </si>
  <si>
    <t>2. Sertifikat Standar TC-K</t>
  </si>
  <si>
    <t>3. Drift Std.</t>
  </si>
  <si>
    <t>Rect</t>
  </si>
  <si>
    <t>4. Resolusi Alat</t>
  </si>
  <si>
    <t>5. Variasi Spasial</t>
  </si>
  <si>
    <t>6. Variasi Temporal</t>
  </si>
  <si>
    <t>7. Variasi Penunjukkan Indikator</t>
  </si>
  <si>
    <t>KTP Gabungan Uc</t>
  </si>
  <si>
    <t>Derajat kebebasan effektif</t>
  </si>
  <si>
    <t>Faktor cakupan pada veff dan 95%</t>
  </si>
  <si>
    <t>Hasil u95</t>
  </si>
  <si>
    <t>Desimal</t>
  </si>
  <si>
    <t>Hasil 2-SD</t>
  </si>
  <si>
    <t>KTP U(95) = k x uc</t>
  </si>
  <si>
    <t>V A L I D A S I</t>
  </si>
  <si>
    <r>
      <t>u</t>
    </r>
    <r>
      <rPr>
        <vertAlign val="subscript"/>
        <sz val="11"/>
        <color rgb="FFFF0000"/>
        <rFont val="Arial"/>
        <family val="2"/>
      </rPr>
      <t>i</t>
    </r>
  </si>
  <si>
    <r>
      <t>c</t>
    </r>
    <r>
      <rPr>
        <vertAlign val="subscript"/>
        <sz val="11"/>
        <color rgb="FFFF0000"/>
        <rFont val="Arial"/>
        <family val="2"/>
      </rPr>
      <t>i</t>
    </r>
  </si>
  <si>
    <r>
      <t>u</t>
    </r>
    <r>
      <rPr>
        <vertAlign val="subscript"/>
        <sz val="11"/>
        <color rgb="FFFF0000"/>
        <rFont val="Arial"/>
        <family val="2"/>
      </rPr>
      <t>i</t>
    </r>
    <r>
      <rPr>
        <sz val="11"/>
        <color rgb="FFFF0000"/>
        <rFont val="Arial"/>
        <family val="2"/>
      </rPr>
      <t>c</t>
    </r>
    <r>
      <rPr>
        <vertAlign val="subscript"/>
        <sz val="11"/>
        <color rgb="FFFF0000"/>
        <rFont val="Arial"/>
        <family val="2"/>
      </rPr>
      <t>i</t>
    </r>
  </si>
  <si>
    <r>
      <t>v</t>
    </r>
    <r>
      <rPr>
        <vertAlign val="subscript"/>
        <sz val="11"/>
        <color rgb="FFFF0000"/>
        <rFont val="Arial"/>
        <family val="2"/>
      </rPr>
      <t>i</t>
    </r>
  </si>
  <si>
    <r>
      <t>u</t>
    </r>
    <r>
      <rPr>
        <vertAlign val="subscript"/>
        <sz val="11"/>
        <color rgb="FFFF0000"/>
        <rFont val="Arial"/>
        <family val="2"/>
      </rPr>
      <t>i</t>
    </r>
    <r>
      <rPr>
        <sz val="11"/>
        <color rgb="FFFF0000"/>
        <rFont val="Arial"/>
        <family val="2"/>
      </rPr>
      <t>c</t>
    </r>
    <r>
      <rPr>
        <vertAlign val="subscript"/>
        <sz val="11"/>
        <color rgb="FFFF0000"/>
        <rFont val="Arial"/>
        <family val="2"/>
      </rPr>
      <t>i</t>
    </r>
    <r>
      <rPr>
        <vertAlign val="superscript"/>
        <sz val="11"/>
        <color rgb="FFFF0000"/>
        <rFont val="Arial"/>
        <family val="2"/>
      </rPr>
      <t>2</t>
    </r>
  </si>
  <si>
    <r>
      <t>(u</t>
    </r>
    <r>
      <rPr>
        <vertAlign val="subscript"/>
        <sz val="11"/>
        <color rgb="FFFF0000"/>
        <rFont val="Arial"/>
        <family val="2"/>
      </rPr>
      <t>i</t>
    </r>
    <r>
      <rPr>
        <sz val="11"/>
        <color rgb="FFFF0000"/>
        <rFont val="Arial"/>
        <family val="2"/>
      </rPr>
      <t>c</t>
    </r>
    <r>
      <rPr>
        <vertAlign val="subscript"/>
        <sz val="11"/>
        <color rgb="FFFF0000"/>
        <rFont val="Arial"/>
        <family val="2"/>
      </rPr>
      <t>i</t>
    </r>
    <r>
      <rPr>
        <sz val="11"/>
        <color rgb="FFFF0000"/>
        <rFont val="Arial"/>
        <family val="2"/>
      </rPr>
      <t>)</t>
    </r>
    <r>
      <rPr>
        <vertAlign val="superscript"/>
        <sz val="11"/>
        <color rgb="FFFF0000"/>
        <rFont val="Arial"/>
        <family val="2"/>
      </rPr>
      <t>4</t>
    </r>
    <r>
      <rPr>
        <sz val="11"/>
        <color rgb="FFFF0000"/>
        <rFont val="Arial"/>
        <family val="2"/>
      </rPr>
      <t>/v</t>
    </r>
    <r>
      <rPr>
        <vertAlign val="subscript"/>
        <sz val="11"/>
        <color rgb="FFFF0000"/>
        <rFont val="Arial"/>
        <family val="2"/>
      </rPr>
      <t>i</t>
    </r>
  </si>
  <si>
    <t>1. Sertifikat Standar TC-K</t>
  </si>
  <si>
    <r>
      <t>○</t>
    </r>
    <r>
      <rPr>
        <sz val="11"/>
        <color rgb="FFFF0000"/>
        <rFont val="Arial"/>
        <family val="2"/>
      </rPr>
      <t>C</t>
    </r>
  </si>
  <si>
    <t>2. Drift Std.</t>
  </si>
  <si>
    <t>3. Resolusi Alat</t>
  </si>
  <si>
    <t>4. Variasi Spasial</t>
  </si>
  <si>
    <t>5. Variasi Temporal</t>
  </si>
  <si>
    <t>6. Variasi Penunjukkan Indikator</t>
  </si>
  <si>
    <t>Hasil Kalibrasi Laboratorium Inkubator</t>
  </si>
  <si>
    <t xml:space="preserve">Merek                                 </t>
  </si>
  <si>
    <t xml:space="preserve">Model/Tipe                        </t>
  </si>
  <si>
    <t>Terkoreksi</t>
  </si>
  <si>
    <t>Toleransi</t>
  </si>
  <si>
    <t xml:space="preserve">No. Seri                               </t>
  </si>
  <si>
    <t>Tidak terdapat grounding di ruangan</t>
  </si>
  <si>
    <t>Kelas I</t>
  </si>
  <si>
    <t>Input NC</t>
  </si>
  <si>
    <t xml:space="preserve">Tanggal Kalibrasi                             </t>
  </si>
  <si>
    <t>Tidak dilakukan pengujian keselamatan listrik karena alat menggunakan panel</t>
  </si>
  <si>
    <t xml:space="preserve">Tempat Kalibrasi                            </t>
  </si>
  <si>
    <t>Resistansi pembumian protektif</t>
  </si>
  <si>
    <t xml:space="preserve">Nama Ruang                                   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</si>
  <si>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</si>
  <si>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</si>
  <si>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</si>
  <si>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</si>
  <si>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</si>
  <si>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</si>
  <si>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 xml:space="preserve">1. Suhu                            </t>
  </si>
  <si>
    <t xml:space="preserve">1. Fisik          </t>
  </si>
  <si>
    <t xml:space="preserve">2. Fungsi      </t>
  </si>
  <si>
    <t>Parameter</t>
  </si>
  <si>
    <t>Fisik</t>
  </si>
  <si>
    <t>Fungsi</t>
  </si>
  <si>
    <r>
      <t>µ</t>
    </r>
    <r>
      <rPr>
        <sz val="11"/>
        <rFont val="Arial"/>
        <family val="2"/>
      </rPr>
      <t>A</t>
    </r>
  </si>
  <si>
    <t xml:space="preserve">Panjang   </t>
  </si>
  <si>
    <t>m</t>
  </si>
  <si>
    <t xml:space="preserve">Lebar       </t>
  </si>
  <si>
    <t xml:space="preserve">Tinggi      </t>
  </si>
  <si>
    <t xml:space="preserve">Volume    </t>
  </si>
  <si>
    <r>
      <t>m</t>
    </r>
    <r>
      <rPr>
        <vertAlign val="superscript"/>
        <sz val="11"/>
        <rFont val="Arial"/>
        <family val="2"/>
      </rPr>
      <t>3</t>
    </r>
  </si>
  <si>
    <t xml:space="preserve">Δt             </t>
  </si>
  <si>
    <r>
      <t>R</t>
    </r>
    <r>
      <rPr>
        <vertAlign val="subscript"/>
        <sz val="11"/>
        <rFont val="Arial"/>
        <family val="2"/>
      </rPr>
      <t xml:space="preserve">0                          </t>
    </r>
  </si>
  <si>
    <t>Setting    (°C)</t>
  </si>
  <si>
    <t>Penunjukan Alat           (°C)</t>
  </si>
  <si>
    <t>Hasil Pengukuran   (°C)</t>
  </si>
  <si>
    <t>Ketidakpastian Pengukuran          (°C)</t>
  </si>
  <si>
    <t xml:space="preserve">Suhu Terukur </t>
  </si>
  <si>
    <t>Variasi spasial</t>
  </si>
  <si>
    <t>Variasi temporal</t>
  </si>
  <si>
    <t xml:space="preserve">Akurasi </t>
  </si>
  <si>
    <t>koreksi</t>
  </si>
  <si>
    <t>±</t>
  </si>
  <si>
    <t>SKORING</t>
  </si>
  <si>
    <t>Tidak dapat dilakukan pengujian keselamatan kelistrikan</t>
  </si>
  <si>
    <t>Tidak terdapat grounding</t>
  </si>
  <si>
    <t>Hasil Pengujian Arus Bocor peralatan untuk peralatan elektromedik kelas I melebihi toleransi</t>
  </si>
  <si>
    <t>Nama</t>
  </si>
  <si>
    <t>Paraf</t>
  </si>
  <si>
    <t>Skor Akhir</t>
  </si>
  <si>
    <t>Dibuat :</t>
  </si>
  <si>
    <t>Diperiksa :</t>
  </si>
  <si>
    <t>Hasil Kalibrasi Inkubator Laboratorium</t>
  </si>
  <si>
    <t xml:space="preserve">Merek                            </t>
  </si>
  <si>
    <t xml:space="preserve">No. Seri                         </t>
  </si>
  <si>
    <t xml:space="preserve">Tanggal Kalibrasi                                 </t>
  </si>
  <si>
    <t xml:space="preserve">Tempat Kalibrasi                                  </t>
  </si>
  <si>
    <t xml:space="preserve">Metode Kerja                </t>
  </si>
  <si>
    <t xml:space="preserve">I. </t>
  </si>
  <si>
    <t xml:space="preserve">1. Fisik         </t>
  </si>
  <si>
    <t>Dimensi Enclosure</t>
  </si>
  <si>
    <t xml:space="preserve">Panjang    </t>
  </si>
  <si>
    <t xml:space="preserve"> m</t>
  </si>
  <si>
    <t xml:space="preserve">Tinggi       </t>
  </si>
  <si>
    <t xml:space="preserve"> m3</t>
  </si>
  <si>
    <t>Δt</t>
  </si>
  <si>
    <t>R0 = 2Δt</t>
  </si>
  <si>
    <t>Setting                         (°C)</t>
  </si>
  <si>
    <t>Penunjukan Alat                    (°C)</t>
  </si>
  <si>
    <t>Ketidakpastian Pengukuran      (°C)</t>
  </si>
  <si>
    <t xml:space="preserve">VI. </t>
  </si>
  <si>
    <t xml:space="preserve">VII. </t>
  </si>
  <si>
    <t>Menyetujui,</t>
  </si>
  <si>
    <t>Farid Wajidi, SKM</t>
  </si>
  <si>
    <t>NIP 196712101990031000</t>
  </si>
  <si>
    <t>Kepala Instalasi Laboratorium</t>
  </si>
  <si>
    <t>Choirul Huda, S.Tr.Kes</t>
  </si>
  <si>
    <t>NIP 198008062010121001</t>
  </si>
  <si>
    <t>Pengujian dan Kalibrasi</t>
  </si>
  <si>
    <t>Halaman 2 dari 2 Halaman</t>
  </si>
  <si>
    <t xml:space="preserve">D R I F T  S T A N D A R </t>
  </si>
  <si>
    <t>CH 1</t>
  </si>
  <si>
    <t>Thermocouple Data Logger, Merek : MADGETECH, Model : OctTemp 2000, SN : P40270</t>
  </si>
  <si>
    <t>Thermocouple Data Logger, Merek : MADGETECH, Model : OctTemp 2000, SN : P41878</t>
  </si>
  <si>
    <t>DRIFT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</si>
  <si>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</si>
  <si>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</si>
  <si>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</si>
  <si>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</si>
  <si>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</si>
  <si>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</si>
  <si>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</si>
  <si>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</si>
  <si>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</si>
  <si>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DATA SERTIFIKAT</t>
  </si>
  <si>
    <t>U95</t>
  </si>
  <si>
    <t>CH 11</t>
  </si>
  <si>
    <t>CH 12</t>
  </si>
  <si>
    <t>DATA STANDAR</t>
  </si>
  <si>
    <t>Drifft</t>
  </si>
  <si>
    <t>D R I F T</t>
  </si>
  <si>
    <t>Kumpulan DRIFT</t>
  </si>
  <si>
    <t>Reference Thermometer, Merek : APPA, Model : APPA51, SN : 03002948</t>
  </si>
  <si>
    <t>Reference Thermometer, Merek : FLUKE, Model : 1524, SN : 1803038</t>
  </si>
  <si>
    <t>Reference Thermometer, Merek : FLUKE, Model : 1524, SN : 1803037</t>
  </si>
  <si>
    <t>Drift Max</t>
  </si>
  <si>
    <t>U95 max</t>
  </si>
  <si>
    <t>INTERPOLASI MIN 1</t>
  </si>
  <si>
    <t>Suhu Terukur</t>
  </si>
  <si>
    <t>Suhu Terkoreksi</t>
  </si>
  <si>
    <t>Validasi</t>
  </si>
  <si>
    <t>INTERPOLASI MAX 1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</si>
  <si>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</si>
  <si>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</si>
  <si>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</si>
  <si>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</si>
  <si>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</si>
  <si>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</si>
  <si>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</si>
  <si>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</si>
  <si>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Sensor 9</t>
  </si>
  <si>
    <t>Sensor 10</t>
  </si>
  <si>
    <t>INTERPOLASI MIN 2</t>
  </si>
  <si>
    <t>INTERPOLASI MAX 2</t>
  </si>
  <si>
    <t>INTERPOLASI MIN 3</t>
  </si>
  <si>
    <t>INTERPOLASI MAX 3</t>
  </si>
  <si>
    <t>INTERPOLASI MIN 4</t>
  </si>
  <si>
    <t>INTERPOLASI MAX 4</t>
  </si>
  <si>
    <t>INTERPOLASI MIN 5</t>
  </si>
  <si>
    <t>INTERPOLASI MAX 5</t>
  </si>
  <si>
    <t>INPUT SERTIFIKAT THERMOHYGROMETER</t>
  </si>
  <si>
    <t>KOREKSI KIMO THERMOHYGROMETER 15062873</t>
  </si>
  <si>
    <t>Suhu</t>
  </si>
  <si>
    <t>Tahun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</si>
  <si>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</si>
  <si>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</si>
  <si>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</si>
  <si>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</si>
  <si>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</si>
  <si>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</si>
  <si>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</si>
  <si>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</si>
  <si>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</si>
  <si>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</si>
  <si>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</si>
  <si>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</si>
  <si>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</si>
  <si>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</si>
  <si>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</si>
  <si>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</si>
  <si>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</si>
  <si>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</si>
  <si>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</si>
  <si>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</si>
  <si>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</si>
  <si>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</si>
  <si>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</si>
  <si>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</si>
  <si>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</si>
  <si>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</si>
  <si>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</si>
  <si>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</si>
  <si>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</si>
  <si>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</si>
  <si>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</si>
  <si>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</si>
  <si>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</si>
  <si>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</si>
  <si>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</si>
  <si>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</si>
  <si>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</si>
  <si>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</si>
  <si>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</si>
  <si>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</si>
  <si>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</si>
  <si>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</si>
  <si>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</si>
  <si>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</si>
  <si>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</si>
  <si>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</si>
  <si>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</si>
  <si>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</si>
  <si>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</si>
  <si>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</si>
  <si>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</si>
  <si>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</si>
  <si>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</si>
  <si>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</si>
  <si>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</si>
  <si>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</si>
  <si>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</si>
  <si>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</si>
  <si>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</si>
  <si>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</si>
  <si>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</si>
  <si>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</si>
  <si>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</si>
  <si>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</si>
  <si>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</si>
  <si>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</si>
  <si>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</si>
  <si>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</si>
  <si>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</si>
  <si>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</si>
  <si>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</si>
  <si>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</si>
  <si>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</si>
  <si>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</si>
  <si>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</si>
  <si>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</si>
  <si>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</si>
  <si>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</si>
  <si>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</si>
  <si>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</si>
  <si>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</si>
  <si>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</si>
  <si>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I</t>
  </si>
  <si>
    <t>ESA 615 (4670010)</t>
  </si>
  <si>
    <t>J</t>
  </si>
  <si>
    <t>K</t>
  </si>
  <si>
    <t>L</t>
  </si>
  <si>
    <t>No. Urut</t>
  </si>
  <si>
    <t>II</t>
  </si>
  <si>
    <t>III</t>
  </si>
  <si>
    <t>IV</t>
  </si>
  <si>
    <t>VI</t>
  </si>
  <si>
    <t>Koreksi Tegangan Jala jala</t>
  </si>
  <si>
    <t>Koreksi Resistansi Isolasi</t>
  </si>
  <si>
    <t>Koreksi Resistansi Pembumian</t>
  </si>
  <si>
    <t>Koreksi Arus Bocor (NO)</t>
  </si>
  <si>
    <t>Pembacaan Standar</t>
  </si>
  <si>
    <t>Pembacaan terkoreksi</t>
  </si>
  <si>
    <t>Hasil</t>
  </si>
  <si>
    <t>Koreksi Arus bocor (NC)</t>
  </si>
  <si>
    <t>U95 Jala-jala</t>
  </si>
  <si>
    <t>NO</t>
  </si>
  <si>
    <t xml:space="preserve"> Volt</t>
  </si>
  <si>
    <t>Electrical Safety Analyzer, Merek : Fluke, Model : ESA 620, SN : 1837056</t>
  </si>
  <si>
    <t>Hasil pengukuran keselamatan listrik tertelusur ke Satuan SI melalui PT. Kaliman ( LK-032-IDN 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</si>
  <si>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</si>
  <si>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</si>
  <si>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</si>
  <si>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</si>
  <si>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</si>
  <si>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</si>
  <si>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</si>
  <si>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</si>
  <si>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</si>
  <si>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</si>
  <si>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Azhar Alamsyah</t>
  </si>
  <si>
    <t>Hasil pengujian kinerja suhu tertelusur ke Satuan SI melalui Laboratorium SNSU-BSN</t>
  </si>
  <si>
    <t>Choirul Huda</t>
  </si>
  <si>
    <t>Dewi Nofitasari</t>
  </si>
  <si>
    <t>Donny Martha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</si>
  <si>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</si>
  <si>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</si>
  <si>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</si>
  <si>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</si>
  <si>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</si>
  <si>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</si>
  <si>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</si>
  <si>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</si>
  <si>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</si>
  <si>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</si>
  <si>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Temperature Recorder, Merek : HIOKI, Model : LR 8410, SN : 200812984</t>
  </si>
  <si>
    <t>Muhammad Zaenuri Sugiasmoro</t>
  </si>
  <si>
    <t>Temperature Recorder, Merek : HIOKI, Model : LR 8410, SN : 200812985</t>
  </si>
  <si>
    <t>Rangga Setya Hantoko</t>
  </si>
  <si>
    <t>Ryan Rama Chaesar R</t>
  </si>
  <si>
    <t>Temperature Recorder, Merek : HIOKI, Model : LR 8410, SN : 210368323</t>
  </si>
  <si>
    <t>Septia Khairunnisa</t>
  </si>
  <si>
    <t>Temperature Recorder, Merek : HIOKI, Model : LR 8410, SN : 210368324</t>
  </si>
  <si>
    <t>Sholihatussa'diah</t>
  </si>
  <si>
    <t>Siti Fathul Jannah</t>
  </si>
  <si>
    <t>Taufik Priawan</t>
  </si>
  <si>
    <t>Venna Filosofia</t>
  </si>
  <si>
    <t>Vikki Akhsanudin Nurkholis</t>
  </si>
  <si>
    <t>Yurdha Algifari</t>
  </si>
  <si>
    <t xml:space="preserve">Nomor Sertifikat : 30 /      /      -       / E - </t>
  </si>
  <si>
    <t xml:space="preserve">Nomor Surat Keterangan : 30 /        /        -      / E - </t>
  </si>
  <si>
    <t>Alat yang diuji dalam batas toleransi dan dinyatakan LAIK PAKAI, dimana hasil atau skor akhir sama dengan atau melampaui 70% berdasarkan Keputusan Direktur Jenderal Pelayanan Kesehatan No : HK.02.02 / V / 0412 / 2020</t>
  </si>
  <si>
    <t>Alat yang diuji melebihi batas toleransi dan dinyatakan TIDAK LAIK PAKAI, dimana hasil atau skor akhir dibawah 70% berdasarkan Keputusan Direktur Jenderal Pelayanan Kesehatan No : HK.02.02 / V / 0412 / 2020</t>
  </si>
  <si>
    <t>OK</t>
  </si>
  <si>
    <t>JOSS</t>
  </si>
  <si>
    <t>12.4.2023</t>
  </si>
  <si>
    <t>Update thermohygro EXTECH (A100617), (A100616), (A100618), KIMO (14082463), (15062875), (1562874)</t>
  </si>
  <si>
    <t>13.4.2023</t>
  </si>
  <si>
    <t>Update HIOKI (200821397), (200936001)</t>
  </si>
  <si>
    <t>Update YOKOGAWA (S5T810599)</t>
  </si>
  <si>
    <t>14.4.2023</t>
  </si>
  <si>
    <t>Update Thermhygro EXTECH (A100586), (A100615)</t>
  </si>
  <si>
    <t>Update Octemp (270 dan 878) tahun 2022</t>
  </si>
  <si>
    <t>Update HIOKI (210411983), ( 210411984)</t>
  </si>
  <si>
    <t>9.5.2023</t>
  </si>
  <si>
    <t>Update ESA 615 (4670010), ESA 615 (3699030), ESA 615 (3148908)</t>
  </si>
  <si>
    <t>diman</t>
  </si>
  <si>
    <t>Temperature Recorder (Monitor) : Merek : HIOKI, Model : LR 8410, SN : 210368322, 210368323, 210368324</t>
  </si>
  <si>
    <t>Temperature Recorder (Monitor) : Merek : HIOKI, Model : LR 8410, SN : 200812984, 200812985</t>
  </si>
  <si>
    <t>Wireless Temperature Recorder (Modul) : Merek : HIOKI, Model : LR 8510, SN : 200821396, 200821397</t>
  </si>
  <si>
    <t>Wireless Temperature Recorder (Modul) : Merek : HIOKI, Model : LR 8510, SN : 200936000, 200936001</t>
  </si>
  <si>
    <t>Wireless Temperature Recorder (Modul) : Merek : HIOKI, Model : LR 8510, SN : 210411983, 210411984, 210411985</t>
  </si>
  <si>
    <t>≤ 0.2  /  0.3 Ω</t>
  </si>
  <si>
    <t>update thermohygro 611.873.051.605.609</t>
  </si>
  <si>
    <t>25.5.2023</t>
  </si>
  <si>
    <t>update ESA 2853077, 4669058</t>
  </si>
  <si>
    <t>Rev 23 : 25.5.2023</t>
  </si>
  <si>
    <t>(Rentang Ukur Akreditasi : 35 °C - 37 °C)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</si>
  <si>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</si>
  <si>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</si>
  <si>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</si>
  <si>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</si>
  <si>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</si>
  <si>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</si>
  <si>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</si>
  <si>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</si>
  <si>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</si>
  <si>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</si>
  <si>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</si>
  <si>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</si>
  <si>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</si>
  <si>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</si>
  <si>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</si>
  <si>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</si>
  <si>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KUNCI KOP SERTIFIKAT</t>
  </si>
  <si>
    <t>PENENTU KOP SERTIFIKAT</t>
  </si>
  <si>
    <t>BAHAN</t>
  </si>
  <si>
    <t>SERTIFIKAT KALIBRASI</t>
  </si>
  <si>
    <t>SERTIFIKAT PENGUJIAN</t>
  </si>
  <si>
    <t>Inkubator Laboratorium</t>
  </si>
  <si>
    <t>Nomor Sertifikat : 30 /</t>
  </si>
  <si>
    <t>Nomor Surat Keterangan : 30 /</t>
  </si>
  <si>
    <t>1 / I - 23 / E - 123 DL</t>
  </si>
  <si>
    <t>&gt; 2</t>
  </si>
  <si>
    <t>Akurasi suhu     37 ±1.5°C         variasi total                 ≤ 3°C</t>
  </si>
  <si>
    <t xml:space="preserve"> µA</t>
  </si>
  <si>
    <t>NIP 196712101990031012</t>
  </si>
  <si>
    <t>Wireless Temperature Recorder, Merek : HIOKI, Model : LR 8510, SN : 200936000</t>
  </si>
  <si>
    <t>Wireless Temperature Recorder, Merek : HIOKI, Model : LR 8510, SN : 200936001</t>
  </si>
  <si>
    <t>Wireless Temperature Recorder, Merek : HIOKI, Model : LR 8510, SN : 200821397</t>
  </si>
  <si>
    <t>Wireless Temperature Recorder, Merek : HIOKI, Model : LR 8510, SN : 210411983</t>
  </si>
  <si>
    <t>Wireless Temperature Recorder, Merek : HIOKI, Model : LR 8510, SN : 210411984</t>
  </si>
  <si>
    <t>Wireless Temperature Recorder, Merek : HIOKI, Model : LR 8510, SN : 210411985</t>
  </si>
  <si>
    <t>Wireless Temperature Recorder, Merek : HIOKI, Model : LR 8510, SN : 210746054</t>
  </si>
  <si>
    <t>Wireless Temperature Recorder, Merek : HIOKI, Model : LR 8510, SN : 210746055</t>
  </si>
  <si>
    <t>Wireless Temperature Recorder, Merek : HIOKI, Model : LR 8510, SN : 210746056</t>
  </si>
  <si>
    <t>Wireless Temperature Recorder, Merek : HIOKI, Model : LR 8510, SN : 200821396</t>
  </si>
  <si>
    <t>interpolasi</t>
  </si>
  <si>
    <t>23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</si>
</sst>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0.000"/>
    <numFmt numFmtId="165" formatCode="0.00000000000"/>
    <numFmt numFmtId="166" formatCode="0.0"/>
    <numFmt numFmtId="167" formatCode="0.0000"/>
    <numFmt numFmtId="168" formatCode="0.0\ \ &quot;%RH&quot;"/>
    <numFmt numFmtId="169" formatCode="0.00000"/>
    <numFmt numFmtId="170" formatCode="0.00_ "/>
    <numFmt numFmtId="171" formatCode="0_ "/>
    <numFmt numFmtId="172" formatCode="0.0\ \ \ \ \ &quot;±&quot;"/>
    <numFmt numFmtId="173" formatCode="0.0\ \ \ \ \ \ \ &quot;±&quot;"/>
    <numFmt numFmtId="174" formatCode="0.0\ \ &quot;°&quot;\C"/>
    <numFmt numFmtId="175" formatCode="0.0\ \V\o\l\t"/>
    <numFmt numFmtId="176" formatCode="0.0_ "/>
    <numFmt numFmtId="177" formatCode="0.00000000"/>
    <numFmt numFmtId="178" formatCode="0.000_ "/>
    <numFmt numFmtId="179" formatCode="&quot;±&quot;\ 0.00"/>
    <numFmt numFmtId="180" formatCode="0.0000000000000"/>
    <numFmt numFmtId="181" formatCode="0.0\ &quot;MΩ&quot;"/>
    <numFmt numFmtId="182" formatCode="0.0\ &quot;MΩ&quot;"/>
    <numFmt numFmtId="183" formatCode="0.000\ &quot;Ω&quot;"/>
    <numFmt numFmtId="184" formatCode="0.0\ \µ\A"/>
    <numFmt numFmtId="185" formatCode="[$-421]dd\ mmmm\ yyyy;@"/>
    <numFmt numFmtId="186" formatCode="\≤\ 0.000\ &quot;Ω&quot;"/>
    <numFmt numFmtId="187" formatCode="\≤\ 0.0\ &quot;Ω&quot;"/>
    <numFmt numFmtId="188" formatCode="0.000000"/>
    <numFmt numFmtId="189" formatCode="0.0000000000"/>
    <numFmt numFmtId="190" formatCode="\≤\ 0\ \µ\A"/>
    <numFmt numFmtId="191" formatCode="\&gt;\ 0\ &quot;MΩ&quot;"/>
    <numFmt numFmtId="192" formatCode="[$-C09]d\ mmmm\ yyyy;@"/>
    <numFmt numFmtId="193" formatCode="\≤\ 0.0"/>
    <numFmt numFmtId="194" formatCode="\≤\ 0"/>
  </numFmts>
  <fonts count="108">
    <font>
      <sz val="10"/>
      <name val="Arial"/>
      <charset val="134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sz val="11"/>
      <name val="Calibri"/>
      <family val="2"/>
    </font>
    <font>
      <u/>
      <sz val="11"/>
      <name val="Arial"/>
      <family val="2"/>
    </font>
    <font>
      <sz val="11"/>
      <name val="Calibri"/>
      <family val="2"/>
      <scheme val="minor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u/>
      <sz val="12"/>
      <name val="Arial"/>
      <family val="2"/>
    </font>
    <font>
      <sz val="13"/>
      <name val="Arial"/>
      <family val="2"/>
    </font>
    <font>
      <vertAlign val="subscript"/>
      <sz val="12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u/>
      <sz val="11"/>
      <name val="Arial"/>
      <family val="2"/>
    </font>
    <font>
      <vertAlign val="subscript"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vertAlign val="subscript"/>
      <sz val="11"/>
      <color rgb="FFFF0000"/>
      <name val="Arial"/>
      <family val="2"/>
    </font>
    <font>
      <vertAlign val="superscript"/>
      <sz val="11"/>
      <color rgb="FFFF0000"/>
      <name val="Arial"/>
      <family val="2"/>
    </font>
    <font>
      <sz val="11"/>
      <color rgb="FFFFFFFF"/>
      <name val="Courier New"/>
      <family val="3"/>
    </font>
    <font>
      <b/>
      <i/>
      <sz val="11"/>
      <name val="Arial"/>
      <family val="2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 tint="-0.34998626667073579"/>
      <name val="Arial"/>
      <family val="2"/>
    </font>
    <font>
      <b/>
      <sz val="11"/>
      <color theme="1"/>
      <name val="Arial"/>
      <family val="2"/>
    </font>
    <font>
      <sz val="10"/>
      <color theme="0" tint="-0.34998626667073579"/>
      <name val="Arial"/>
      <family val="2"/>
    </font>
    <font>
      <i/>
      <u/>
      <sz val="8"/>
      <name val="Arial"/>
      <family val="2"/>
    </font>
    <font>
      <b/>
      <sz val="12"/>
      <name val="Calibri"/>
      <family val="2"/>
    </font>
    <font>
      <u/>
      <sz val="4"/>
      <name val="Calibri"/>
      <family val="2"/>
      <scheme val="minor"/>
    </font>
    <font>
      <b/>
      <sz val="18"/>
      <name val="Exotc350 Bd BT"/>
      <family val="5"/>
    </font>
    <font>
      <b/>
      <sz val="20"/>
      <name val="Exotc350 Bd BT"/>
      <family val="5"/>
    </font>
    <font>
      <sz val="26"/>
      <name val="Exotc350 Bd BT"/>
      <family val="5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11"/>
      <color theme="0" tint="-0.249977111117893"/>
      <name val="Arial"/>
      <family val="2"/>
    </font>
    <font>
      <sz val="14"/>
      <name val="Arial"/>
      <family val="2"/>
    </font>
    <font>
      <sz val="11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b/>
      <sz val="14"/>
      <color rgb="FFFFFF00"/>
      <name val="Arial"/>
      <family val="2"/>
    </font>
    <font>
      <b/>
      <u/>
      <sz val="14"/>
      <color rgb="FFFFFF00"/>
      <name val="Arial"/>
      <family val="2"/>
    </font>
    <font>
      <b/>
      <sz val="18"/>
      <name val="Arial"/>
      <family val="2"/>
    </font>
    <font>
      <sz val="13"/>
      <color rgb="FFFF000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0"/>
      <name val="Arial"/>
      <family val="2"/>
      <charset val="134"/>
    </font>
    <font>
      <b/>
      <sz val="30"/>
      <name val="Calibri"/>
      <family val="2"/>
      <scheme val="minor"/>
    </font>
    <font>
      <sz val="24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9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>
      <alignment vertical="center"/>
    </xf>
    <xf numFmtId="0" fontId="45" fillId="0" borderId="0">
      <protection locked="0"/>
    </xf>
    <xf numFmtId="0" fontId="45" fillId="0" borderId="0">
      <protection locked="0"/>
    </xf>
    <xf numFmtId="0" fontId="57" fillId="17" borderId="0" applyNumberFormat="0" applyBorder="0" applyAlignment="0" applyProtection="0"/>
    <xf numFmtId="0" fontId="45" fillId="0" borderId="0"/>
    <xf numFmtId="0" fontId="45" fillId="0" borderId="0"/>
  </cellStyleXfs>
  <cellXfs count="1316">
    <xf numFmtId="0" fontId="0" fillId="0" borderId="0" xfId="0">
      <alignment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>
      <alignment vertical="center"/>
    </xf>
    <xf numFmtId="0" fontId="33" fillId="11" borderId="0" xfId="0" applyFont="1" applyFill="1" applyAlignment="1">
      <alignment horizontal="center" vertical="center"/>
    </xf>
    <xf numFmtId="2" fontId="25" fillId="0" borderId="3" xfId="0" applyNumberFormat="1" applyFont="1" applyBorder="1" applyAlignment="1">
      <alignment horizontal="center" vertical="center"/>
    </xf>
    <xf numFmtId="0" fontId="25" fillId="11" borderId="0" xfId="0" applyFont="1" applyFill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164" fontId="25" fillId="0" borderId="0" xfId="0" applyNumberFormat="1" applyFont="1" applyAlignment="1" applyProtection="1">
      <alignment horizontal="right" vertical="center"/>
      <protection locked="0"/>
    </xf>
    <xf numFmtId="166" fontId="25" fillId="0" borderId="0" xfId="0" applyNumberFormat="1" applyFont="1" applyAlignment="1" applyProtection="1">
      <alignment horizontal="right" vertical="center"/>
      <protection locked="0"/>
    </xf>
    <xf numFmtId="2" fontId="33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166" fontId="2" fillId="0" borderId="0" xfId="0" applyNumberFormat="1" applyFont="1" applyAlignment="1">
      <alignment horizontal="left" vertical="center"/>
    </xf>
    <xf numFmtId="166" fontId="33" fillId="0" borderId="0" xfId="0" applyNumberFormat="1" applyFont="1" applyAlignment="1">
      <alignment horizontal="left" vertical="center"/>
    </xf>
    <xf numFmtId="167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164" fontId="33" fillId="0" borderId="0" xfId="0" applyNumberFormat="1" applyFont="1" applyAlignment="1">
      <alignment horizontal="right" vertical="center"/>
    </xf>
    <xf numFmtId="0" fontId="33" fillId="0" borderId="0" xfId="0" applyFont="1">
      <alignment vertical="center"/>
    </xf>
    <xf numFmtId="0" fontId="33" fillId="11" borderId="0" xfId="0" applyFont="1" applyFill="1">
      <alignment vertical="center"/>
    </xf>
    <xf numFmtId="0" fontId="33" fillId="11" borderId="0" xfId="0" applyFont="1" applyFill="1" applyAlignment="1">
      <alignment horizontal="right" vertical="center"/>
    </xf>
    <xf numFmtId="0" fontId="33" fillId="0" borderId="0" xfId="0" applyFont="1" applyAlignment="1">
      <alignment horizontal="left" vertical="center"/>
    </xf>
    <xf numFmtId="0" fontId="33" fillId="11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0" fontId="2" fillId="11" borderId="0" xfId="0" applyFont="1" applyFill="1">
      <alignment vertical="center"/>
    </xf>
    <xf numFmtId="0" fontId="40" fillId="0" borderId="0" xfId="0" applyFont="1" applyAlignment="1">
      <alignment horizontal="left" vertical="center"/>
    </xf>
    <xf numFmtId="0" fontId="41" fillId="0" borderId="0" xfId="0" applyFont="1" applyAlignment="1">
      <alignment vertical="center" wrapText="1"/>
    </xf>
    <xf numFmtId="0" fontId="4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33" fillId="0" borderId="59" xfId="0" applyFont="1" applyBorder="1">
      <alignment vertical="center"/>
    </xf>
    <xf numFmtId="2" fontId="33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3" fillId="0" borderId="0" xfId="0" applyFont="1" applyProtection="1">
      <alignment vertical="center"/>
      <protection locked="0"/>
    </xf>
    <xf numFmtId="0" fontId="33" fillId="11" borderId="0" xfId="0" applyFont="1" applyFill="1" applyAlignment="1" applyProtection="1">
      <alignment horizontal="left"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2" fillId="11" borderId="0" xfId="0" applyFont="1" applyFill="1" applyProtection="1">
      <alignment vertical="center"/>
      <protection locked="0"/>
    </xf>
    <xf numFmtId="0" fontId="33" fillId="11" borderId="0" xfId="0" applyFont="1" applyFill="1" applyProtection="1">
      <alignment vertical="center"/>
      <protection locked="0"/>
    </xf>
    <xf numFmtId="166" fontId="33" fillId="0" borderId="0" xfId="0" applyNumberFormat="1" applyFont="1">
      <alignment vertical="center"/>
    </xf>
    <xf numFmtId="166" fontId="2" fillId="0" borderId="0" xfId="0" applyNumberFormat="1" applyFont="1">
      <alignment vertical="center"/>
    </xf>
    <xf numFmtId="0" fontId="39" fillId="0" borderId="0" xfId="0" applyFont="1" applyProtection="1">
      <alignment vertical="center"/>
      <protection locked="0"/>
    </xf>
    <xf numFmtId="166" fontId="33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0" fontId="33" fillId="0" borderId="63" xfId="0" applyFont="1" applyBorder="1">
      <alignment vertical="center"/>
    </xf>
    <xf numFmtId="0" fontId="39" fillId="0" borderId="0" xfId="0" applyFont="1">
      <alignment vertical="center"/>
    </xf>
    <xf numFmtId="0" fontId="2" fillId="11" borderId="0" xfId="0" applyFont="1" applyFill="1" applyAlignment="1">
      <alignment horizontal="center" vertical="center"/>
    </xf>
    <xf numFmtId="0" fontId="33" fillId="0" borderId="49" xfId="0" applyFont="1" applyBorder="1">
      <alignment vertical="center"/>
    </xf>
    <xf numFmtId="1" fontId="33" fillId="0" borderId="51" xfId="0" applyNumberFormat="1" applyFont="1" applyBorder="1" applyAlignment="1">
      <alignment horizontal="center" vertical="center"/>
    </xf>
    <xf numFmtId="0" fontId="33" fillId="0" borderId="52" xfId="0" applyFont="1" applyBorder="1">
      <alignment vertical="center"/>
    </xf>
    <xf numFmtId="0" fontId="33" fillId="0" borderId="53" xfId="0" applyFont="1" applyBorder="1">
      <alignment vertical="center"/>
    </xf>
    <xf numFmtId="1" fontId="33" fillId="0" borderId="57" xfId="0" applyNumberFormat="1" applyFont="1" applyBorder="1" applyAlignment="1">
      <alignment horizontal="center" vertical="center"/>
    </xf>
    <xf numFmtId="0" fontId="33" fillId="0" borderId="58" xfId="0" applyFont="1" applyBorder="1">
      <alignment vertical="center"/>
    </xf>
    <xf numFmtId="1" fontId="33" fillId="0" borderId="0" xfId="0" applyNumberFormat="1" applyFont="1" applyAlignment="1">
      <alignment horizontal="center" vertical="center"/>
    </xf>
    <xf numFmtId="0" fontId="2" fillId="0" borderId="0" xfId="0" applyFont="1" applyProtection="1">
      <alignment vertical="center"/>
      <protection locked="0"/>
    </xf>
    <xf numFmtId="0" fontId="25" fillId="0" borderId="49" xfId="0" applyFont="1" applyBorder="1" applyAlignment="1">
      <alignment horizontal="center" vertical="center"/>
    </xf>
    <xf numFmtId="0" fontId="33" fillId="0" borderId="61" xfId="0" applyFont="1" applyBorder="1" applyAlignment="1">
      <alignment horizontal="left" vertical="center"/>
    </xf>
    <xf numFmtId="0" fontId="33" fillId="0" borderId="63" xfId="0" applyFont="1" applyBorder="1" applyAlignment="1">
      <alignment horizontal="left" vertical="center"/>
    </xf>
    <xf numFmtId="0" fontId="33" fillId="0" borderId="35" xfId="0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166" fontId="33" fillId="0" borderId="0" xfId="0" applyNumberFormat="1" applyFont="1" applyAlignment="1" applyProtection="1">
      <alignment horizontal="left" vertical="center"/>
      <protection locked="0"/>
    </xf>
    <xf numFmtId="2" fontId="33" fillId="0" borderId="0" xfId="0" applyNumberFormat="1" applyFont="1">
      <alignment vertical="center"/>
    </xf>
    <xf numFmtId="0" fontId="42" fillId="11" borderId="0" xfId="0" applyFont="1" applyFill="1" applyAlignment="1" applyProtection="1">
      <alignment horizontal="center" vertical="center"/>
      <protection locked="0"/>
    </xf>
    <xf numFmtId="0" fontId="17" fillId="0" borderId="3" xfId="0" quotePrefix="1" applyFont="1" applyBorder="1">
      <alignment vertical="center"/>
    </xf>
    <xf numFmtId="0" fontId="39" fillId="11" borderId="0" xfId="0" applyFont="1" applyFill="1" applyAlignment="1">
      <alignment horizontal="center" vertical="center"/>
    </xf>
    <xf numFmtId="0" fontId="33" fillId="0" borderId="38" xfId="0" applyFont="1" applyBorder="1">
      <alignment vertical="center"/>
    </xf>
    <xf numFmtId="0" fontId="25" fillId="0" borderId="49" xfId="0" applyFont="1" applyBorder="1" applyAlignment="1">
      <alignment horizontal="left" vertical="center" wrapText="1"/>
    </xf>
    <xf numFmtId="0" fontId="25" fillId="3" borderId="48" xfId="0" applyFont="1" applyFill="1" applyBorder="1">
      <alignment vertical="center"/>
    </xf>
    <xf numFmtId="0" fontId="37" fillId="0" borderId="49" xfId="0" applyFont="1" applyBorder="1" applyAlignment="1">
      <alignment horizontal="left" vertical="center"/>
    </xf>
    <xf numFmtId="164" fontId="25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25" fillId="11" borderId="0" xfId="0" applyFont="1" applyFill="1">
      <alignment vertical="center"/>
    </xf>
    <xf numFmtId="0" fontId="25" fillId="11" borderId="0" xfId="0" applyFont="1" applyFill="1" applyAlignment="1">
      <alignment horizontal="right" vertical="center"/>
    </xf>
    <xf numFmtId="0" fontId="25" fillId="11" borderId="0" xfId="0" applyFont="1" applyFill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0" fontId="25" fillId="0" borderId="30" xfId="0" applyFont="1" applyBorder="1">
      <alignment vertical="center"/>
    </xf>
    <xf numFmtId="0" fontId="25" fillId="0" borderId="49" xfId="0" applyFont="1" applyBorder="1">
      <alignment vertical="center"/>
    </xf>
    <xf numFmtId="166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70" fontId="25" fillId="0" borderId="3" xfId="0" applyNumberFormat="1" applyFont="1" applyBorder="1" applyAlignment="1">
      <alignment horizontal="center" vertical="center"/>
    </xf>
    <xf numFmtId="0" fontId="34" fillId="0" borderId="0" xfId="0" applyFont="1" applyAlignment="1" applyProtection="1">
      <alignment horizontal="left" vertical="center"/>
      <protection locked="0"/>
    </xf>
    <xf numFmtId="0" fontId="38" fillId="11" borderId="0" xfId="0" applyFont="1" applyFill="1" applyAlignment="1" applyProtection="1">
      <alignment horizontal="center" vertical="center"/>
      <protection locked="0"/>
    </xf>
    <xf numFmtId="166" fontId="25" fillId="0" borderId="0" xfId="0" applyNumberFormat="1" applyFont="1" applyAlignment="1" applyProtection="1">
      <alignment horizontal="left" vertical="center"/>
      <protection locked="0"/>
    </xf>
    <xf numFmtId="166" fontId="25" fillId="0" borderId="0" xfId="0" applyNumberFormat="1" applyFont="1" applyAlignment="1" applyProtection="1">
      <alignment horizontal="left" vertical="center" wrapText="1"/>
      <protection locked="0"/>
    </xf>
    <xf numFmtId="166" fontId="34" fillId="0" borderId="0" xfId="0" applyNumberFormat="1" applyFont="1" applyAlignment="1" applyProtection="1">
      <alignment horizontal="left" vertical="center"/>
      <protection locked="0"/>
    </xf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>
      <alignment vertical="center"/>
    </xf>
    <xf numFmtId="0" fontId="34" fillId="11" borderId="0" xfId="0" applyFont="1" applyFill="1">
      <alignment vertical="center"/>
    </xf>
    <xf numFmtId="166" fontId="25" fillId="0" borderId="0" xfId="0" applyNumberFormat="1" applyFont="1" applyAlignment="1">
      <alignment horizontal="left" vertical="center"/>
    </xf>
    <xf numFmtId="166" fontId="25" fillId="0" borderId="0" xfId="0" applyNumberFormat="1" applyFont="1" applyAlignment="1">
      <alignment horizontal="right" vertical="center"/>
    </xf>
    <xf numFmtId="0" fontId="25" fillId="11" borderId="0" xfId="0" applyFont="1" applyFill="1" applyAlignment="1">
      <alignment horizontal="left" vertical="center"/>
    </xf>
    <xf numFmtId="9" fontId="25" fillId="0" borderId="0" xfId="0" applyNumberFormat="1" applyFont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180" fontId="25" fillId="0" borderId="3" xfId="0" applyNumberFormat="1" applyFont="1" applyBorder="1" applyAlignment="1">
      <alignment horizontal="center" vertical="center"/>
    </xf>
    <xf numFmtId="167" fontId="25" fillId="0" borderId="3" xfId="0" applyNumberFormat="1" applyFont="1" applyBorder="1" applyAlignment="1">
      <alignment horizontal="center" vertical="center"/>
    </xf>
    <xf numFmtId="1" fontId="25" fillId="0" borderId="3" xfId="0" applyNumberFormat="1" applyFont="1" applyBorder="1" applyAlignment="1">
      <alignment horizontal="center" vertical="center"/>
    </xf>
    <xf numFmtId="169" fontId="25" fillId="0" borderId="3" xfId="0" applyNumberFormat="1" applyFont="1" applyBorder="1" applyAlignment="1">
      <alignment horizontal="center" vertical="center"/>
    </xf>
    <xf numFmtId="167" fontId="25" fillId="0" borderId="3" xfId="0" applyNumberFormat="1" applyFont="1" applyBorder="1">
      <alignment vertical="center"/>
    </xf>
    <xf numFmtId="177" fontId="25" fillId="0" borderId="3" xfId="0" applyNumberFormat="1" applyFont="1" applyBorder="1">
      <alignment vertical="center"/>
    </xf>
    <xf numFmtId="169" fontId="25" fillId="0" borderId="3" xfId="0" applyNumberFormat="1" applyFont="1" applyBorder="1">
      <alignment vertical="center"/>
    </xf>
    <xf numFmtId="2" fontId="25" fillId="0" borderId="3" xfId="0" applyNumberFormat="1" applyFont="1" applyBorder="1">
      <alignment vertical="center"/>
    </xf>
    <xf numFmtId="1" fontId="25" fillId="0" borderId="3" xfId="0" applyNumberFormat="1" applyFont="1" applyBorder="1" applyAlignment="1">
      <alignment horizontal="right"/>
    </xf>
    <xf numFmtId="2" fontId="34" fillId="0" borderId="3" xfId="0" applyNumberFormat="1" applyFont="1" applyBorder="1">
      <alignment vertical="center"/>
    </xf>
    <xf numFmtId="0" fontId="50" fillId="5" borderId="0" xfId="0" applyFont="1" applyFill="1">
      <alignment vertical="center"/>
    </xf>
    <xf numFmtId="0" fontId="50" fillId="5" borderId="0" xfId="0" applyFont="1" applyFill="1" applyAlignment="1">
      <alignment horizontal="center" vertical="center"/>
    </xf>
    <xf numFmtId="0" fontId="51" fillId="5" borderId="0" xfId="0" applyFont="1" applyFill="1">
      <alignment vertical="center"/>
    </xf>
    <xf numFmtId="0" fontId="50" fillId="5" borderId="29" xfId="0" applyFont="1" applyFill="1" applyBorder="1">
      <alignment vertical="center"/>
    </xf>
    <xf numFmtId="0" fontId="50" fillId="5" borderId="30" xfId="0" applyFont="1" applyFill="1" applyBorder="1">
      <alignment vertical="center"/>
    </xf>
    <xf numFmtId="0" fontId="50" fillId="5" borderId="41" xfId="0" applyFont="1" applyFill="1" applyBorder="1">
      <alignment vertical="center"/>
    </xf>
    <xf numFmtId="0" fontId="53" fillId="5" borderId="49" xfId="0" applyFont="1" applyFill="1" applyBorder="1" applyAlignment="1">
      <alignment horizontal="center" vertical="center"/>
    </xf>
    <xf numFmtId="0" fontId="50" fillId="5" borderId="3" xfId="0" applyFont="1" applyFill="1" applyBorder="1" applyAlignment="1">
      <alignment horizontal="center" vertical="center"/>
    </xf>
    <xf numFmtId="167" fontId="50" fillId="5" borderId="3" xfId="0" applyNumberFormat="1" applyFont="1" applyFill="1" applyBorder="1" applyAlignment="1">
      <alignment horizontal="center" vertical="center"/>
    </xf>
    <xf numFmtId="167" fontId="50" fillId="0" borderId="3" xfId="0" applyNumberFormat="1" applyFont="1" applyBorder="1" applyAlignment="1">
      <alignment horizontal="center" vertical="center"/>
    </xf>
    <xf numFmtId="1" fontId="50" fillId="5" borderId="3" xfId="0" applyNumberFormat="1" applyFont="1" applyFill="1" applyBorder="1" applyAlignment="1">
      <alignment horizontal="center" vertical="center"/>
    </xf>
    <xf numFmtId="169" fontId="50" fillId="0" borderId="3" xfId="0" applyNumberFormat="1" applyFont="1" applyBorder="1" applyAlignment="1">
      <alignment horizontal="center" vertical="center"/>
    </xf>
    <xf numFmtId="169" fontId="50" fillId="0" borderId="23" xfId="0" applyNumberFormat="1" applyFont="1" applyBorder="1" applyAlignment="1">
      <alignment horizontal="center" vertical="center"/>
    </xf>
    <xf numFmtId="0" fontId="53" fillId="5" borderId="3" xfId="0" applyFont="1" applyFill="1" applyBorder="1" applyAlignment="1">
      <alignment horizontal="center" vertical="center"/>
    </xf>
    <xf numFmtId="0" fontId="50" fillId="5" borderId="29" xfId="0" applyFont="1" applyFill="1" applyBorder="1" applyAlignment="1">
      <alignment horizontal="left" vertical="center"/>
    </xf>
    <xf numFmtId="0" fontId="50" fillId="5" borderId="30" xfId="0" applyFont="1" applyFill="1" applyBorder="1" applyAlignment="1">
      <alignment horizontal="left" vertical="center"/>
    </xf>
    <xf numFmtId="0" fontId="50" fillId="5" borderId="41" xfId="0" applyFont="1" applyFill="1" applyBorder="1" applyAlignment="1">
      <alignment horizontal="left" vertical="center"/>
    </xf>
    <xf numFmtId="167" fontId="50" fillId="10" borderId="3" xfId="0" applyNumberFormat="1" applyFont="1" applyFill="1" applyBorder="1" applyAlignment="1">
      <alignment horizontal="center" vertical="center"/>
    </xf>
    <xf numFmtId="0" fontId="53" fillId="5" borderId="70" xfId="0" applyFont="1" applyFill="1" applyBorder="1" applyAlignment="1">
      <alignment horizontal="center" vertical="center"/>
    </xf>
    <xf numFmtId="0" fontId="50" fillId="5" borderId="25" xfId="0" applyFont="1" applyFill="1" applyBorder="1" applyAlignment="1">
      <alignment horizontal="center" vertical="center"/>
    </xf>
    <xf numFmtId="167" fontId="50" fillId="5" borderId="25" xfId="0" applyNumberFormat="1" applyFont="1" applyFill="1" applyBorder="1" applyAlignment="1">
      <alignment horizontal="center" vertical="center"/>
    </xf>
    <xf numFmtId="0" fontId="53" fillId="5" borderId="25" xfId="0" applyFont="1" applyFill="1" applyBorder="1" applyAlignment="1">
      <alignment horizontal="center" vertical="center"/>
    </xf>
    <xf numFmtId="167" fontId="50" fillId="0" borderId="12" xfId="0" applyNumberFormat="1" applyFont="1" applyBorder="1">
      <alignment vertical="center"/>
    </xf>
    <xf numFmtId="167" fontId="50" fillId="0" borderId="14" xfId="0" applyNumberFormat="1" applyFont="1" applyBorder="1">
      <alignment vertical="center"/>
    </xf>
    <xf numFmtId="0" fontId="50" fillId="5" borderId="18" xfId="0" applyFont="1" applyFill="1" applyBorder="1">
      <alignment vertical="center"/>
    </xf>
    <xf numFmtId="167" fontId="50" fillId="0" borderId="23" xfId="0" applyNumberFormat="1" applyFont="1" applyBorder="1">
      <alignment vertical="center"/>
    </xf>
    <xf numFmtId="2" fontId="50" fillId="5" borderId="18" xfId="0" applyNumberFormat="1" applyFont="1" applyFill="1" applyBorder="1">
      <alignment vertical="center"/>
    </xf>
    <xf numFmtId="1" fontId="50" fillId="0" borderId="23" xfId="0" applyNumberFormat="1" applyFont="1" applyBorder="1" applyAlignment="1">
      <alignment horizontal="right"/>
    </xf>
    <xf numFmtId="2" fontId="51" fillId="5" borderId="24" xfId="0" applyNumberFormat="1" applyFont="1" applyFill="1" applyBorder="1">
      <alignment vertical="center"/>
    </xf>
    <xf numFmtId="2" fontId="51" fillId="2" borderId="26" xfId="0" applyNumberFormat="1" applyFont="1" applyFill="1" applyBorder="1">
      <alignment vertical="center"/>
    </xf>
    <xf numFmtId="164" fontId="25" fillId="0" borderId="0" xfId="0" applyNumberFormat="1" applyFont="1">
      <alignment vertical="center"/>
    </xf>
    <xf numFmtId="0" fontId="34" fillId="12" borderId="0" xfId="0" applyFont="1" applyFill="1">
      <alignment vertical="center"/>
    </xf>
    <xf numFmtId="165" fontId="34" fillId="0" borderId="0" xfId="0" applyNumberFormat="1" applyFont="1">
      <alignment vertical="center"/>
    </xf>
    <xf numFmtId="0" fontId="25" fillId="5" borderId="0" xfId="0" applyFont="1" applyFill="1">
      <alignment vertical="center"/>
    </xf>
    <xf numFmtId="164" fontId="25" fillId="5" borderId="0" xfId="0" applyNumberFormat="1" applyFont="1" applyFill="1">
      <alignment vertical="center"/>
    </xf>
    <xf numFmtId="2" fontId="25" fillId="0" borderId="0" xfId="0" applyNumberFormat="1" applyFont="1">
      <alignment vertical="center"/>
    </xf>
    <xf numFmtId="2" fontId="34" fillId="0" borderId="0" xfId="0" applyNumberFormat="1" applyFont="1" applyAlignment="1">
      <alignment horizontal="center" vertical="center"/>
    </xf>
    <xf numFmtId="2" fontId="25" fillId="11" borderId="0" xfId="0" applyNumberFormat="1" applyFont="1" applyFill="1" applyAlignment="1">
      <alignment horizontal="center" vertical="center"/>
    </xf>
    <xf numFmtId="2" fontId="25" fillId="11" borderId="0" xfId="0" applyNumberFormat="1" applyFont="1" applyFill="1">
      <alignment vertical="center"/>
    </xf>
    <xf numFmtId="0" fontId="34" fillId="11" borderId="0" xfId="0" applyFont="1" applyFill="1" applyAlignment="1">
      <alignment horizontal="center" vertical="center"/>
    </xf>
    <xf numFmtId="2" fontId="34" fillId="11" borderId="0" xfId="0" applyNumberFormat="1" applyFont="1" applyFill="1" applyAlignment="1">
      <alignment horizontal="center" vertical="center"/>
    </xf>
    <xf numFmtId="0" fontId="38" fillId="0" borderId="0" xfId="0" applyFont="1">
      <alignment vertical="center"/>
    </xf>
    <xf numFmtId="0" fontId="48" fillId="11" borderId="0" xfId="0" applyFont="1" applyFill="1">
      <alignment vertical="center"/>
    </xf>
    <xf numFmtId="0" fontId="25" fillId="0" borderId="0" xfId="0" applyFont="1" applyAlignment="1">
      <alignment horizontal="right" vertical="center"/>
    </xf>
    <xf numFmtId="0" fontId="25" fillId="0" borderId="38" xfId="0" applyFont="1" applyBorder="1">
      <alignment vertical="center"/>
    </xf>
    <xf numFmtId="9" fontId="25" fillId="0" borderId="3" xfId="0" applyNumberFormat="1" applyFont="1" applyBorder="1">
      <alignment vertical="center"/>
    </xf>
    <xf numFmtId="0" fontId="25" fillId="0" borderId="50" xfId="0" applyFont="1" applyBorder="1">
      <alignment vertical="center"/>
    </xf>
    <xf numFmtId="0" fontId="25" fillId="0" borderId="65" xfId="0" applyFont="1" applyBorder="1">
      <alignment vertical="center"/>
    </xf>
    <xf numFmtId="2" fontId="25" fillId="0" borderId="0" xfId="0" applyNumberFormat="1" applyFont="1" applyAlignment="1">
      <alignment horizontal="right" vertical="center"/>
    </xf>
    <xf numFmtId="167" fontId="25" fillId="0" borderId="0" xfId="0" applyNumberFormat="1" applyFont="1">
      <alignment vertical="center"/>
    </xf>
    <xf numFmtId="0" fontId="25" fillId="0" borderId="3" xfId="0" applyFont="1" applyBorder="1">
      <alignment vertical="center"/>
    </xf>
    <xf numFmtId="0" fontId="25" fillId="0" borderId="66" xfId="0" applyFont="1" applyBorder="1">
      <alignment vertical="center"/>
    </xf>
    <xf numFmtId="2" fontId="25" fillId="0" borderId="67" xfId="0" applyNumberFormat="1" applyFont="1" applyBorder="1">
      <alignment vertical="center"/>
    </xf>
    <xf numFmtId="166" fontId="25" fillId="0" borderId="68" xfId="0" applyNumberFormat="1" applyFont="1" applyBorder="1">
      <alignment vertical="center"/>
    </xf>
    <xf numFmtId="0" fontId="25" fillId="0" borderId="3" xfId="0" applyFont="1" applyBorder="1" applyAlignment="1">
      <alignment horizontal="right" vertical="center"/>
    </xf>
    <xf numFmtId="0" fontId="25" fillId="0" borderId="54" xfId="0" applyFont="1" applyBorder="1">
      <alignment vertical="center"/>
    </xf>
    <xf numFmtId="2" fontId="25" fillId="0" borderId="56" xfId="0" applyNumberFormat="1" applyFont="1" applyBorder="1">
      <alignment vertical="center"/>
    </xf>
    <xf numFmtId="0" fontId="25" fillId="0" borderId="62" xfId="0" applyFont="1" applyBorder="1">
      <alignment vertical="center"/>
    </xf>
    <xf numFmtId="0" fontId="25" fillId="0" borderId="57" xfId="0" applyFont="1" applyBorder="1">
      <alignment vertical="center"/>
    </xf>
    <xf numFmtId="2" fontId="25" fillId="0" borderId="59" xfId="0" applyNumberFormat="1" applyFont="1" applyBorder="1">
      <alignment vertical="center"/>
    </xf>
    <xf numFmtId="0" fontId="25" fillId="0" borderId="63" xfId="0" applyFont="1" applyBorder="1">
      <alignment vertical="center"/>
    </xf>
    <xf numFmtId="9" fontId="25" fillId="0" borderId="0" xfId="0" applyNumberFormat="1" applyFont="1">
      <alignment vertical="center"/>
    </xf>
    <xf numFmtId="0" fontId="25" fillId="0" borderId="67" xfId="0" applyFont="1" applyBorder="1">
      <alignment vertical="center"/>
    </xf>
    <xf numFmtId="0" fontId="25" fillId="0" borderId="68" xfId="0" applyFont="1" applyBorder="1">
      <alignment vertical="center"/>
    </xf>
    <xf numFmtId="0" fontId="25" fillId="0" borderId="59" xfId="0" applyFont="1" applyBorder="1">
      <alignment vertical="center"/>
    </xf>
    <xf numFmtId="0" fontId="34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  <protection locked="0"/>
    </xf>
    <xf numFmtId="166" fontId="25" fillId="0" borderId="0" xfId="0" applyNumberFormat="1" applyFont="1">
      <alignment vertical="center"/>
    </xf>
    <xf numFmtId="0" fontId="34" fillId="11" borderId="0" xfId="0" applyFont="1" applyFill="1" applyProtection="1">
      <alignment vertical="center"/>
      <protection locked="0"/>
    </xf>
    <xf numFmtId="0" fontId="25" fillId="11" borderId="0" xfId="0" applyFont="1" applyFill="1" applyProtection="1">
      <alignment vertical="center"/>
      <protection locked="0"/>
    </xf>
    <xf numFmtId="166" fontId="25" fillId="0" borderId="0" xfId="0" applyNumberFormat="1" applyFont="1" applyProtection="1">
      <alignment vertical="center"/>
      <protection locked="0"/>
    </xf>
    <xf numFmtId="166" fontId="34" fillId="0" borderId="0" xfId="0" applyNumberFormat="1" applyFont="1" applyProtection="1">
      <alignment vertical="center"/>
      <protection locked="0"/>
    </xf>
    <xf numFmtId="9" fontId="25" fillId="0" borderId="0" xfId="0" applyNumberFormat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56" fillId="0" borderId="0" xfId="0" applyFont="1" applyProtection="1">
      <alignment vertical="center"/>
      <protection locked="0"/>
    </xf>
    <xf numFmtId="167" fontId="56" fillId="0" borderId="0" xfId="0" applyNumberFormat="1" applyFont="1" applyProtection="1">
      <alignment vertical="center"/>
      <protection locked="0"/>
    </xf>
    <xf numFmtId="0" fontId="39" fillId="0" borderId="0" xfId="0" applyFont="1" applyAlignment="1" applyProtection="1">
      <alignment horizontal="left" vertical="center"/>
      <protection locked="0"/>
    </xf>
    <xf numFmtId="167" fontId="56" fillId="0" borderId="0" xfId="0" applyNumberFormat="1" applyFont="1">
      <alignment vertical="center"/>
    </xf>
    <xf numFmtId="0" fontId="45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63" fillId="0" borderId="0" xfId="0" applyFont="1">
      <alignment vertical="center"/>
    </xf>
    <xf numFmtId="2" fontId="64" fillId="3" borderId="3" xfId="0" applyNumberFormat="1" applyFont="1" applyFill="1" applyBorder="1">
      <alignment vertical="center"/>
    </xf>
    <xf numFmtId="0" fontId="33" fillId="0" borderId="0" xfId="0" applyFont="1" applyAlignment="1"/>
    <xf numFmtId="0" fontId="33" fillId="11" borderId="0" xfId="0" applyFont="1" applyFill="1" applyAlignment="1"/>
    <xf numFmtId="0" fontId="33" fillId="11" borderId="0" xfId="0" applyFont="1" applyFill="1" applyAlignment="1">
      <alignment horizontal="right"/>
    </xf>
    <xf numFmtId="0" fontId="33" fillId="0" borderId="53" xfId="0" applyFont="1" applyBorder="1" applyAlignment="1"/>
    <xf numFmtId="0" fontId="33" fillId="11" borderId="53" xfId="0" applyFont="1" applyFill="1" applyBorder="1" applyAlignment="1"/>
    <xf numFmtId="0" fontId="33" fillId="11" borderId="53" xfId="0" applyFont="1" applyFill="1" applyBorder="1" applyAlignment="1">
      <alignment horizontal="right"/>
    </xf>
    <xf numFmtId="0" fontId="33" fillId="0" borderId="56" xfId="0" applyFont="1" applyBorder="1" applyAlignment="1"/>
    <xf numFmtId="0" fontId="33" fillId="11" borderId="56" xfId="0" applyFont="1" applyFill="1" applyBorder="1" applyAlignment="1"/>
    <xf numFmtId="0" fontId="33" fillId="11" borderId="56" xfId="0" applyFont="1" applyFill="1" applyBorder="1" applyAlignment="1">
      <alignment horizontal="right"/>
    </xf>
    <xf numFmtId="0" fontId="33" fillId="11" borderId="56" xfId="0" applyFont="1" applyFill="1" applyBorder="1">
      <alignment vertical="center"/>
    </xf>
    <xf numFmtId="0" fontId="33" fillId="11" borderId="56" xfId="0" applyFont="1" applyFill="1" applyBorder="1" applyAlignment="1">
      <alignment horizontal="right" vertical="center"/>
    </xf>
    <xf numFmtId="0" fontId="33" fillId="0" borderId="0" xfId="0" applyFont="1" applyAlignment="1">
      <alignment horizontal="left"/>
    </xf>
    <xf numFmtId="0" fontId="2" fillId="11" borderId="0" xfId="0" applyFont="1" applyFill="1" applyAlignment="1"/>
    <xf numFmtId="0" fontId="33" fillId="0" borderId="0" xfId="0" applyFont="1" applyAlignment="1">
      <alignment horizontal="right"/>
    </xf>
    <xf numFmtId="0" fontId="33" fillId="11" borderId="0" xfId="0" applyFont="1" applyFill="1" applyAlignment="1">
      <alignment horizontal="left"/>
    </xf>
    <xf numFmtId="0" fontId="33" fillId="0" borderId="26" xfId="0" applyFont="1" applyBorder="1" applyAlignment="1"/>
    <xf numFmtId="0" fontId="2" fillId="0" borderId="0" xfId="0" applyFont="1" applyAlignment="1"/>
    <xf numFmtId="0" fontId="40" fillId="0" borderId="0" xfId="0" applyFont="1" applyAlignment="1">
      <alignment horizontal="left"/>
    </xf>
    <xf numFmtId="0" fontId="33" fillId="0" borderId="59" xfId="0" applyFont="1" applyBorder="1" applyAlignment="1"/>
    <xf numFmtId="0" fontId="33" fillId="0" borderId="59" xfId="0" applyFont="1" applyBorder="1" applyAlignment="1">
      <alignment horizontal="center"/>
    </xf>
    <xf numFmtId="0" fontId="33" fillId="0" borderId="63" xfId="0" applyFont="1" applyBorder="1" applyAlignment="1"/>
    <xf numFmtId="0" fontId="33" fillId="0" borderId="58" xfId="0" applyFont="1" applyBorder="1" applyAlignment="1"/>
    <xf numFmtId="0" fontId="33" fillId="0" borderId="51" xfId="0" applyFont="1" applyBorder="1" applyAlignment="1">
      <alignment horizontal="center"/>
    </xf>
    <xf numFmtId="0" fontId="33" fillId="0" borderId="53" xfId="0" applyFont="1" applyBorder="1" applyAlignment="1">
      <alignment horizontal="center"/>
    </xf>
    <xf numFmtId="0" fontId="33" fillId="0" borderId="61" xfId="0" applyFont="1" applyBorder="1" applyAlignment="1"/>
    <xf numFmtId="0" fontId="33" fillId="0" borderId="52" xfId="0" applyFont="1" applyBorder="1" applyAlignment="1"/>
    <xf numFmtId="0" fontId="33" fillId="0" borderId="61" xfId="0" applyFont="1" applyBorder="1" applyAlignment="1">
      <alignment horizontal="center" vertical="center"/>
    </xf>
    <xf numFmtId="1" fontId="33" fillId="0" borderId="57" xfId="0" applyNumberFormat="1" applyFont="1" applyBorder="1" applyAlignment="1">
      <alignment horizontal="center"/>
    </xf>
    <xf numFmtId="0" fontId="33" fillId="0" borderId="78" xfId="0" applyFont="1" applyBorder="1" applyAlignment="1">
      <alignment horizontal="center" vertical="center"/>
    </xf>
    <xf numFmtId="164" fontId="33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75" xfId="0" applyFont="1" applyBorder="1" applyAlignment="1">
      <alignment horizontal="center" vertical="center" wrapText="1"/>
    </xf>
    <xf numFmtId="0" fontId="33" fillId="0" borderId="77" xfId="0" applyFont="1" applyBorder="1" applyAlignment="1">
      <alignment horizontal="center" vertical="center" wrapText="1"/>
    </xf>
    <xf numFmtId="0" fontId="33" fillId="0" borderId="75" xfId="0" applyFont="1" applyBorder="1" applyAlignment="1">
      <alignment horizontal="center" vertical="center"/>
    </xf>
    <xf numFmtId="0" fontId="33" fillId="0" borderId="77" xfId="0" applyFont="1" applyBorder="1" applyAlignment="1">
      <alignment horizontal="center" vertical="center"/>
    </xf>
    <xf numFmtId="166" fontId="33" fillId="0" borderId="0" xfId="0" applyNumberFormat="1" applyFont="1" applyAlignment="1">
      <alignment horizontal="right"/>
    </xf>
    <xf numFmtId="166" fontId="33" fillId="0" borderId="0" xfId="0" applyNumberFormat="1" applyFont="1" applyAlignment="1"/>
    <xf numFmtId="167" fontId="33" fillId="0" borderId="0" xfId="0" applyNumberFormat="1" applyFont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16" borderId="0" xfId="2" applyFont="1" applyFill="1">
      <protection locked="0"/>
    </xf>
    <xf numFmtId="166" fontId="2" fillId="0" borderId="0" xfId="0" applyNumberFormat="1" applyFont="1" applyAlignment="1">
      <alignment horizontal="left"/>
    </xf>
    <xf numFmtId="166" fontId="33" fillId="0" borderId="0" xfId="0" applyNumberFormat="1" applyFont="1" applyAlignment="1">
      <alignment horizontal="left"/>
    </xf>
    <xf numFmtId="0" fontId="42" fillId="11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3" fillId="0" borderId="80" xfId="0" applyFont="1" applyBorder="1" applyAlignment="1"/>
    <xf numFmtId="0" fontId="33" fillId="3" borderId="0" xfId="0" applyFont="1" applyFill="1" applyProtection="1">
      <alignment vertical="center"/>
      <protection locked="0"/>
    </xf>
    <xf numFmtId="0" fontId="33" fillId="0" borderId="0" xfId="0" quotePrefix="1" applyFont="1" applyAlignment="1">
      <alignment horizontal="left" vertical="center"/>
    </xf>
    <xf numFmtId="173" fontId="33" fillId="11" borderId="0" xfId="0" applyNumberFormat="1" applyFont="1" applyFill="1" applyAlignment="1">
      <alignment horizontal="left" vertical="center"/>
    </xf>
    <xf numFmtId="174" fontId="33" fillId="0" borderId="0" xfId="0" applyNumberFormat="1" applyFont="1" applyAlignment="1">
      <alignment horizontal="left" vertical="center"/>
    </xf>
    <xf numFmtId="0" fontId="40" fillId="11" borderId="0" xfId="0" applyFont="1" applyFill="1">
      <alignment vertical="center"/>
    </xf>
    <xf numFmtId="173" fontId="33" fillId="11" borderId="0" xfId="0" applyNumberFormat="1" applyFont="1" applyFill="1">
      <alignment vertical="center"/>
    </xf>
    <xf numFmtId="168" fontId="33" fillId="0" borderId="0" xfId="0" applyNumberFormat="1" applyFont="1">
      <alignment vertical="center"/>
    </xf>
    <xf numFmtId="175" fontId="33" fillId="11" borderId="0" xfId="0" applyNumberFormat="1" applyFont="1" applyFill="1">
      <alignment vertical="center"/>
    </xf>
    <xf numFmtId="0" fontId="33" fillId="0" borderId="52" xfId="0" applyFont="1" applyBorder="1" applyAlignment="1">
      <alignment horizontal="left" vertical="center"/>
    </xf>
    <xf numFmtId="0" fontId="33" fillId="0" borderId="53" xfId="0" applyFont="1" applyBorder="1" applyAlignment="1">
      <alignment horizontal="left" vertical="center"/>
    </xf>
    <xf numFmtId="166" fontId="33" fillId="0" borderId="52" xfId="0" applyNumberFormat="1" applyFont="1" applyBorder="1" applyAlignment="1">
      <alignment horizontal="right" vertical="center"/>
    </xf>
    <xf numFmtId="1" fontId="33" fillId="0" borderId="54" xfId="0" applyNumberFormat="1" applyFont="1" applyBorder="1" applyAlignment="1">
      <alignment horizontal="center" vertical="center"/>
    </xf>
    <xf numFmtId="0" fontId="33" fillId="0" borderId="55" xfId="0" applyFont="1" applyBorder="1" applyAlignment="1">
      <alignment horizontal="left" vertical="center"/>
    </xf>
    <xf numFmtId="0" fontId="33" fillId="0" borderId="56" xfId="0" applyFont="1" applyBorder="1" applyAlignment="1">
      <alignment horizontal="left" vertical="center"/>
    </xf>
    <xf numFmtId="0" fontId="33" fillId="0" borderId="56" xfId="0" applyFont="1" applyBorder="1">
      <alignment vertical="center"/>
    </xf>
    <xf numFmtId="0" fontId="33" fillId="0" borderId="62" xfId="0" applyFont="1" applyBorder="1" applyAlignment="1">
      <alignment horizontal="left" vertical="center"/>
    </xf>
    <xf numFmtId="166" fontId="33" fillId="0" borderId="55" xfId="0" applyNumberFormat="1" applyFont="1" applyBorder="1" applyAlignment="1">
      <alignment horizontal="right" vertical="center"/>
    </xf>
    <xf numFmtId="0" fontId="33" fillId="0" borderId="58" xfId="0" applyFont="1" applyBorder="1" applyAlignment="1">
      <alignment horizontal="left" vertical="center"/>
    </xf>
    <xf numFmtId="0" fontId="33" fillId="0" borderId="59" xfId="0" applyFont="1" applyBorder="1" applyAlignment="1">
      <alignment horizontal="left" vertical="center"/>
    </xf>
    <xf numFmtId="166" fontId="33" fillId="0" borderId="58" xfId="0" applyNumberFormat="1" applyFont="1" applyBorder="1" applyAlignment="1">
      <alignment horizontal="right" vertical="center"/>
    </xf>
    <xf numFmtId="0" fontId="42" fillId="0" borderId="0" xfId="0" applyFont="1" applyAlignment="1">
      <alignment horizontal="left" vertical="center"/>
    </xf>
    <xf numFmtId="167" fontId="33" fillId="0" borderId="0" xfId="0" applyNumberFormat="1" applyFont="1">
      <alignment vertical="center"/>
    </xf>
    <xf numFmtId="0" fontId="33" fillId="0" borderId="47" xfId="0" applyFont="1" applyBorder="1">
      <alignment vertical="center"/>
    </xf>
    <xf numFmtId="170" fontId="33" fillId="0" borderId="3" xfId="0" applyNumberFormat="1" applyFont="1" applyBorder="1" applyAlignment="1">
      <alignment horizontal="center" vertical="center"/>
    </xf>
    <xf numFmtId="166" fontId="3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64" fontId="33" fillId="0" borderId="0" xfId="0" applyNumberFormat="1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166" fontId="33" fillId="0" borderId="0" xfId="0" applyNumberFormat="1" applyFont="1" applyAlignment="1" applyProtection="1">
      <alignment horizontal="right" vertical="center"/>
      <protection locked="0"/>
    </xf>
    <xf numFmtId="166" fontId="33" fillId="0" borderId="0" xfId="0" applyNumberFormat="1" applyFont="1" applyAlignment="1">
      <alignment horizontal="right" vertical="center"/>
    </xf>
    <xf numFmtId="0" fontId="33" fillId="11" borderId="0" xfId="0" applyFont="1" applyFill="1" applyAlignment="1" applyProtection="1">
      <alignment horizontal="center" vertical="center"/>
      <protection locked="0"/>
    </xf>
    <xf numFmtId="164" fontId="33" fillId="0" borderId="0" xfId="0" applyNumberFormat="1" applyFont="1" applyAlignment="1" applyProtection="1">
      <alignment horizontal="center" vertical="center"/>
      <protection locked="0"/>
    </xf>
    <xf numFmtId="166" fontId="33" fillId="0" borderId="0" xfId="0" applyNumberFormat="1" applyFont="1" applyProtection="1">
      <alignment vertical="center"/>
      <protection locked="0"/>
    </xf>
    <xf numFmtId="166" fontId="2" fillId="0" borderId="0" xfId="0" applyNumberFormat="1" applyFont="1" applyProtection="1">
      <alignment vertical="center"/>
      <protection locked="0"/>
    </xf>
    <xf numFmtId="0" fontId="33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>
      <alignment vertical="center" wrapText="1"/>
    </xf>
    <xf numFmtId="166" fontId="33" fillId="0" borderId="0" xfId="0" applyNumberFormat="1" applyFont="1" applyAlignment="1" applyProtection="1">
      <alignment horizontal="left" vertical="center" wrapText="1"/>
      <protection locked="0"/>
    </xf>
    <xf numFmtId="166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7" fontId="2" fillId="0" borderId="0" xfId="0" applyNumberFormat="1" applyFont="1" applyProtection="1">
      <alignment vertical="center"/>
      <protection locked="0"/>
    </xf>
    <xf numFmtId="164" fontId="33" fillId="0" borderId="0" xfId="0" applyNumberFormat="1" applyFont="1" applyProtection="1">
      <alignment vertical="center"/>
      <protection locked="0"/>
    </xf>
    <xf numFmtId="167" fontId="2" fillId="0" borderId="0" xfId="0" applyNumberFormat="1" applyFont="1" applyAlignment="1" applyProtection="1">
      <alignment horizontal="center" vertical="center"/>
      <protection locked="0"/>
    </xf>
    <xf numFmtId="167" fontId="33" fillId="0" borderId="0" xfId="0" applyNumberFormat="1" applyFont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0" fontId="62" fillId="0" borderId="3" xfId="0" applyFont="1" applyBorder="1" applyAlignment="1">
      <alignment horizontal="center" vertical="center"/>
    </xf>
    <xf numFmtId="185" fontId="45" fillId="0" borderId="3" xfId="0" applyNumberFormat="1" applyFont="1" applyBorder="1" applyAlignment="1">
      <alignment horizontal="center" vertical="center"/>
    </xf>
    <xf numFmtId="185" fontId="62" fillId="0" borderId="3" xfId="0" applyNumberFormat="1" applyFont="1" applyBorder="1" applyAlignment="1">
      <alignment horizontal="center" vertical="center"/>
    </xf>
    <xf numFmtId="0" fontId="62" fillId="0" borderId="3" xfId="0" applyFont="1" applyBorder="1" applyAlignment="1">
      <alignment horizontal="center" vertical="center" wrapText="1"/>
    </xf>
    <xf numFmtId="0" fontId="62" fillId="5" borderId="3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66" fontId="25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 wrapText="1"/>
    </xf>
    <xf numFmtId="0" fontId="54" fillId="0" borderId="0" xfId="0" applyFont="1">
      <alignment vertical="center"/>
    </xf>
    <xf numFmtId="164" fontId="39" fillId="0" borderId="0" xfId="0" applyNumberFormat="1" applyFont="1">
      <alignment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2" fontId="0" fillId="3" borderId="0" xfId="0" applyNumberFormat="1" applyFill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2" fontId="10" fillId="3" borderId="48" xfId="0" applyNumberFormat="1" applyFont="1" applyFill="1" applyBorder="1" applyAlignment="1">
      <alignment horizontal="center" vertical="center"/>
    </xf>
    <xf numFmtId="2" fontId="10" fillId="3" borderId="34" xfId="0" applyNumberFormat="1" applyFont="1" applyFill="1" applyBorder="1" applyAlignment="1">
      <alignment horizontal="center" vertical="center"/>
    </xf>
    <xf numFmtId="1" fontId="0" fillId="0" borderId="0" xfId="0" applyNumberFormat="1" applyAlignment="1"/>
    <xf numFmtId="0" fontId="0" fillId="0" borderId="3" xfId="0" applyBorder="1">
      <alignment vertical="center"/>
    </xf>
    <xf numFmtId="0" fontId="65" fillId="0" borderId="0" xfId="0" applyFont="1">
      <alignment vertical="center"/>
    </xf>
    <xf numFmtId="0" fontId="33" fillId="11" borderId="11" xfId="0" applyFont="1" applyFill="1" applyBorder="1" applyAlignment="1">
      <alignment horizontal="center"/>
    </xf>
    <xf numFmtId="0" fontId="33" fillId="0" borderId="3" xfId="0" applyFont="1" applyBorder="1" applyAlignment="1"/>
    <xf numFmtId="0" fontId="1" fillId="11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3" fillId="0" borderId="49" xfId="0" applyFont="1" applyBorder="1" applyAlignment="1"/>
    <xf numFmtId="0" fontId="29" fillId="11" borderId="0" xfId="0" applyFont="1" applyFill="1" applyAlignment="1">
      <alignment horizontal="center" vertical="center"/>
    </xf>
    <xf numFmtId="9" fontId="29" fillId="0" borderId="0" xfId="0" applyNumberFormat="1" applyFont="1" applyAlignment="1">
      <alignment horizontal="center"/>
    </xf>
    <xf numFmtId="0" fontId="66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67" fillId="11" borderId="0" xfId="0" applyFont="1" applyFill="1" applyAlignment="1">
      <alignment horizontal="left" vertical="center"/>
    </xf>
    <xf numFmtId="0" fontId="67" fillId="11" borderId="0" xfId="0" applyFont="1" applyFill="1" applyAlignment="1"/>
    <xf numFmtId="0" fontId="33" fillId="0" borderId="39" xfId="0" applyFont="1" applyBorder="1" applyAlignment="1"/>
    <xf numFmtId="0" fontId="33" fillId="0" borderId="40" xfId="0" applyFont="1" applyBorder="1" applyAlignment="1"/>
    <xf numFmtId="0" fontId="33" fillId="0" borderId="80" xfId="0" applyFont="1" applyBorder="1" applyAlignment="1">
      <alignment horizontal="center"/>
    </xf>
    <xf numFmtId="0" fontId="33" fillId="11" borderId="72" xfId="0" applyFont="1" applyFill="1" applyBorder="1" applyAlignment="1"/>
    <xf numFmtId="0" fontId="33" fillId="11" borderId="74" xfId="0" applyFont="1" applyFill="1" applyBorder="1" applyAlignment="1">
      <alignment horizontal="left"/>
    </xf>
    <xf numFmtId="0" fontId="33" fillId="0" borderId="23" xfId="0" applyFont="1" applyBorder="1">
      <alignment vertical="center"/>
    </xf>
    <xf numFmtId="0" fontId="42" fillId="0" borderId="49" xfId="0" applyFont="1" applyBorder="1">
      <alignment vertical="center"/>
    </xf>
    <xf numFmtId="0" fontId="33" fillId="0" borderId="73" xfId="0" applyFont="1" applyBorder="1" applyAlignment="1">
      <alignment horizontal="center"/>
    </xf>
    <xf numFmtId="0" fontId="33" fillId="0" borderId="74" xfId="0" applyFont="1" applyBorder="1" applyAlignment="1">
      <alignment horizontal="center"/>
    </xf>
    <xf numFmtId="0" fontId="33" fillId="0" borderId="18" xfId="0" applyFont="1" applyBorder="1">
      <alignment vertical="center"/>
    </xf>
    <xf numFmtId="0" fontId="33" fillId="0" borderId="18" xfId="0" applyFont="1" applyBorder="1" applyAlignment="1"/>
    <xf numFmtId="0" fontId="33" fillId="0" borderId="23" xfId="0" applyFont="1" applyBorder="1" applyAlignment="1">
      <alignment horizontal="center" vertical="center"/>
    </xf>
    <xf numFmtId="0" fontId="33" fillId="0" borderId="72" xfId="0" applyFont="1" applyBorder="1" applyAlignment="1">
      <alignment horizontal="center"/>
    </xf>
    <xf numFmtId="0" fontId="2" fillId="0" borderId="80" xfId="0" applyFont="1" applyBorder="1" applyAlignment="1">
      <alignment horizontal="center" vertical="center" wrapText="1"/>
    </xf>
    <xf numFmtId="1" fontId="33" fillId="0" borderId="0" xfId="0" applyNumberFormat="1" applyFont="1" applyAlignment="1">
      <alignment horizontal="center"/>
    </xf>
    <xf numFmtId="0" fontId="33" fillId="0" borderId="79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0" borderId="71" xfId="0" applyFont="1" applyBorder="1" applyAlignment="1">
      <alignment horizontal="center" vertical="center"/>
    </xf>
    <xf numFmtId="0" fontId="33" fillId="0" borderId="35" xfId="0" applyFont="1" applyBorder="1">
      <alignment vertical="center"/>
    </xf>
    <xf numFmtId="0" fontId="33" fillId="0" borderId="76" xfId="0" applyFont="1" applyBorder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3" fillId="0" borderId="22" xfId="0" applyFont="1" applyBorder="1" applyAlignment="1"/>
    <xf numFmtId="0" fontId="33" fillId="0" borderId="23" xfId="0" applyFont="1" applyBorder="1" applyAlignment="1"/>
    <xf numFmtId="164" fontId="33" fillId="0" borderId="64" xfId="0" applyNumberFormat="1" applyFont="1" applyBorder="1">
      <alignment vertical="center"/>
    </xf>
    <xf numFmtId="164" fontId="33" fillId="0" borderId="49" xfId="0" applyNumberFormat="1" applyFont="1" applyBorder="1">
      <alignment vertical="center"/>
    </xf>
    <xf numFmtId="164" fontId="33" fillId="0" borderId="70" xfId="0" applyNumberFormat="1" applyFont="1" applyBorder="1">
      <alignment vertical="center"/>
    </xf>
    <xf numFmtId="164" fontId="33" fillId="0" borderId="44" xfId="0" applyNumberFormat="1" applyFont="1" applyBorder="1">
      <alignment vertical="center"/>
    </xf>
    <xf numFmtId="164" fontId="33" fillId="0" borderId="22" xfId="0" applyNumberFormat="1" applyFont="1" applyBorder="1">
      <alignment vertical="center"/>
    </xf>
    <xf numFmtId="164" fontId="33" fillId="0" borderId="18" xfId="0" applyNumberFormat="1" applyFont="1" applyBorder="1">
      <alignment vertical="center"/>
    </xf>
    <xf numFmtId="164" fontId="33" fillId="0" borderId="23" xfId="0" applyNumberFormat="1" applyFont="1" applyBorder="1">
      <alignment vertical="center"/>
    </xf>
    <xf numFmtId="164" fontId="33" fillId="0" borderId="24" xfId="0" applyNumberFormat="1" applyFont="1" applyBorder="1">
      <alignment vertical="center"/>
    </xf>
    <xf numFmtId="164" fontId="33" fillId="0" borderId="26" xfId="0" applyNumberFormat="1" applyFont="1" applyBorder="1">
      <alignment vertical="center"/>
    </xf>
    <xf numFmtId="0" fontId="33" fillId="0" borderId="64" xfId="0" applyFont="1" applyBorder="1" applyAlignment="1"/>
    <xf numFmtId="0" fontId="33" fillId="0" borderId="70" xfId="0" applyFont="1" applyBorder="1" applyAlignment="1"/>
    <xf numFmtId="164" fontId="33" fillId="0" borderId="44" xfId="0" applyNumberFormat="1" applyFont="1" applyBorder="1" applyAlignment="1"/>
    <xf numFmtId="164" fontId="33" fillId="0" borderId="18" xfId="0" applyNumberFormat="1" applyFont="1" applyBorder="1" applyAlignment="1"/>
    <xf numFmtId="164" fontId="33" fillId="0" borderId="24" xfId="0" applyNumberFormat="1" applyFont="1" applyBorder="1" applyAlignment="1"/>
    <xf numFmtId="0" fontId="33" fillId="0" borderId="44" xfId="0" applyFont="1" applyBorder="1" applyAlignment="1"/>
    <xf numFmtId="0" fontId="33" fillId="0" borderId="24" xfId="0" applyFont="1" applyBorder="1" applyAlignment="1"/>
    <xf numFmtId="0" fontId="68" fillId="0" borderId="0" xfId="0" applyFont="1" applyAlignment="1">
      <alignment horizontal="left" vertical="center"/>
    </xf>
    <xf numFmtId="0" fontId="45" fillId="11" borderId="3" xfId="0" applyFont="1" applyFill="1" applyBorder="1" applyAlignment="1">
      <alignment wrapText="1"/>
    </xf>
    <xf numFmtId="0" fontId="45" fillId="0" borderId="0" xfId="0" quotePrefix="1" applyFont="1" applyAlignment="1">
      <alignment horizontal="left" vertical="center"/>
    </xf>
    <xf numFmtId="0" fontId="62" fillId="0" borderId="0" xfId="0" quotePrefix="1" applyFont="1" applyAlignment="1">
      <alignment horizontal="left" vertical="center"/>
    </xf>
    <xf numFmtId="166" fontId="33" fillId="0" borderId="14" xfId="0" applyNumberFormat="1" applyFont="1" applyBorder="1" applyAlignment="1"/>
    <xf numFmtId="166" fontId="33" fillId="0" borderId="26" xfId="0" applyNumberFormat="1" applyFont="1" applyBorder="1" applyAlignment="1"/>
    <xf numFmtId="0" fontId="34" fillId="0" borderId="75" xfId="0" applyFont="1" applyBorder="1" applyAlignment="1">
      <alignment horizontal="center" vertical="center" wrapText="1"/>
    </xf>
    <xf numFmtId="0" fontId="34" fillId="0" borderId="76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72" xfId="0" applyFont="1" applyBorder="1" applyAlignment="1">
      <alignment horizontal="center"/>
    </xf>
    <xf numFmtId="0" fontId="34" fillId="0" borderId="73" xfId="0" applyFont="1" applyBorder="1" applyAlignment="1">
      <alignment horizontal="center"/>
    </xf>
    <xf numFmtId="0" fontId="34" fillId="0" borderId="74" xfId="0" applyFont="1" applyBorder="1" applyAlignment="1">
      <alignment horizontal="center"/>
    </xf>
    <xf numFmtId="166" fontId="34" fillId="0" borderId="12" xfId="0" applyNumberFormat="1" applyFont="1" applyBorder="1" applyAlignment="1"/>
    <xf numFmtId="166" fontId="34" fillId="0" borderId="24" xfId="0" applyNumberFormat="1" applyFont="1" applyBorder="1" applyAlignment="1"/>
    <xf numFmtId="1" fontId="33" fillId="0" borderId="0" xfId="0" applyNumberFormat="1" applyFont="1" applyAlignment="1"/>
    <xf numFmtId="0" fontId="45" fillId="0" borderId="0" xfId="0" applyFont="1">
      <alignment vertical="center"/>
    </xf>
    <xf numFmtId="0" fontId="29" fillId="0" borderId="0" xfId="0" applyFont="1" applyAlignment="1" applyProtection="1">
      <alignment horizontal="left" vertical="center"/>
      <protection locked="0"/>
    </xf>
    <xf numFmtId="2" fontId="0" fillId="19" borderId="3" xfId="0" applyNumberFormat="1" applyFill="1" applyBorder="1" applyAlignment="1">
      <alignment horizontal="center" vertical="center"/>
    </xf>
    <xf numFmtId="2" fontId="45" fillId="19" borderId="3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left" vertical="center"/>
    </xf>
    <xf numFmtId="1" fontId="62" fillId="0" borderId="0" xfId="0" applyNumberFormat="1" applyFont="1" applyAlignment="1">
      <alignment horizontal="left" vertical="center"/>
    </xf>
    <xf numFmtId="2" fontId="7" fillId="20" borderId="25" xfId="0" applyNumberFormat="1" applyFont="1" applyFill="1" applyBorder="1" applyAlignment="1">
      <alignment horizontal="center" vertical="center"/>
    </xf>
    <xf numFmtId="2" fontId="0" fillId="0" borderId="0" xfId="0" applyNumberFormat="1" applyAlignment="1"/>
    <xf numFmtId="0" fontId="2" fillId="3" borderId="0" xfId="0" applyFont="1" applyFill="1" applyProtection="1">
      <alignment vertical="center"/>
      <protection locked="0"/>
    </xf>
    <xf numFmtId="2" fontId="0" fillId="20" borderId="0" xfId="0" applyNumberFormat="1" applyFill="1">
      <alignment vertical="center"/>
    </xf>
    <xf numFmtId="2" fontId="0" fillId="20" borderId="0" xfId="0" applyNumberFormat="1" applyFill="1" applyAlignment="1">
      <alignment horizontal="center" vertical="center"/>
    </xf>
    <xf numFmtId="2" fontId="23" fillId="20" borderId="0" xfId="0" applyNumberFormat="1" applyFont="1" applyFill="1" applyAlignment="1">
      <alignment horizontal="center" vertical="center"/>
    </xf>
    <xf numFmtId="2" fontId="23" fillId="13" borderId="3" xfId="0" applyNumberFormat="1" applyFont="1" applyFill="1" applyBorder="1" applyAlignment="1">
      <alignment horizontal="center" vertical="center" wrapText="1"/>
    </xf>
    <xf numFmtId="2" fontId="23" fillId="20" borderId="0" xfId="0" applyNumberFormat="1" applyFont="1" applyFill="1" applyAlignment="1">
      <alignment horizontal="center" vertical="center" wrapText="1"/>
    </xf>
    <xf numFmtId="2" fontId="0" fillId="0" borderId="0" xfId="0" applyNumberFormat="1">
      <alignment vertical="center"/>
    </xf>
    <xf numFmtId="1" fontId="0" fillId="6" borderId="3" xfId="0" applyNumberFormat="1" applyFill="1" applyBorder="1" applyAlignment="1">
      <alignment horizontal="center"/>
    </xf>
    <xf numFmtId="2" fontId="5" fillId="15" borderId="3" xfId="0" applyNumberFormat="1" applyFont="1" applyFill="1" applyBorder="1" applyAlignment="1"/>
    <xf numFmtId="2" fontId="24" fillId="20" borderId="0" xfId="0" applyNumberFormat="1" applyFont="1" applyFill="1" applyAlignment="1"/>
    <xf numFmtId="2" fontId="0" fillId="6" borderId="3" xfId="0" applyNumberFormat="1" applyFill="1" applyBorder="1" applyAlignment="1">
      <alignment horizontal="center" vertical="top" wrapText="1"/>
    </xf>
    <xf numFmtId="2" fontId="0" fillId="6" borderId="3" xfId="0" applyNumberFormat="1" applyFill="1" applyBorder="1" applyAlignment="1">
      <alignment horizontal="center"/>
    </xf>
    <xf numFmtId="2" fontId="24" fillId="13" borderId="3" xfId="0" applyNumberFormat="1" applyFont="1" applyFill="1" applyBorder="1" applyAlignment="1">
      <alignment horizontal="center"/>
    </xf>
    <xf numFmtId="2" fontId="7" fillId="0" borderId="18" xfId="0" applyNumberFormat="1" applyFont="1" applyBorder="1" applyAlignment="1">
      <alignment horizontal="center" vertical="center"/>
    </xf>
    <xf numFmtId="2" fontId="0" fillId="14" borderId="21" xfId="0" applyNumberFormat="1" applyFill="1" applyBorder="1" applyAlignment="1">
      <alignment horizontal="center"/>
    </xf>
    <xf numFmtId="2" fontId="23" fillId="13" borderId="3" xfId="0" applyNumberFormat="1" applyFont="1" applyFill="1" applyBorder="1" applyAlignment="1">
      <alignment horizontal="center"/>
    </xf>
    <xf numFmtId="2" fontId="23" fillId="20" borderId="0" xfId="0" applyNumberFormat="1" applyFont="1" applyFill="1" applyAlignment="1">
      <alignment horizontal="center"/>
    </xf>
    <xf numFmtId="2" fontId="7" fillId="20" borderId="0" xfId="0" applyNumberFormat="1" applyFont="1" applyFill="1" applyAlignment="1">
      <alignment horizontal="center"/>
    </xf>
    <xf numFmtId="188" fontId="0" fillId="7" borderId="23" xfId="0" applyNumberFormat="1" applyFill="1" applyBorder="1" applyAlignment="1">
      <alignment horizontal="center" vertical="center"/>
    </xf>
    <xf numFmtId="2" fontId="0" fillId="20" borderId="0" xfId="0" applyNumberFormat="1" applyFill="1" applyAlignment="1">
      <alignment horizontal="center"/>
    </xf>
    <xf numFmtId="2" fontId="0" fillId="20" borderId="0" xfId="0" applyNumberFormat="1" applyFill="1" applyAlignment="1"/>
    <xf numFmtId="2" fontId="7" fillId="20" borderId="0" xfId="0" applyNumberFormat="1" applyFont="1" applyFill="1" applyAlignment="1">
      <alignment horizontal="center" vertical="center"/>
    </xf>
    <xf numFmtId="2" fontId="0" fillId="7" borderId="3" xfId="0" applyNumberFormat="1" applyFill="1" applyBorder="1" applyAlignment="1">
      <alignment horizontal="center" vertical="top"/>
    </xf>
    <xf numFmtId="2" fontId="0" fillId="7" borderId="3" xfId="0" applyNumberFormat="1" applyFill="1" applyBorder="1" applyAlignment="1">
      <alignment horizontal="center"/>
    </xf>
    <xf numFmtId="2" fontId="26" fillId="20" borderId="0" xfId="0" applyNumberFormat="1" applyFont="1" applyFill="1" applyAlignment="1"/>
    <xf numFmtId="2" fontId="28" fillId="20" borderId="0" xfId="1" applyNumberFormat="1" applyFont="1" applyFill="1" applyProtection="1"/>
    <xf numFmtId="2" fontId="28" fillId="20" borderId="0" xfId="0" applyNumberFormat="1" applyFont="1" applyFill="1">
      <alignment vertical="center"/>
    </xf>
    <xf numFmtId="2" fontId="27" fillId="20" borderId="0" xfId="0" applyNumberFormat="1" applyFont="1" applyFill="1" applyAlignment="1">
      <alignment horizontal="center" vertical="center"/>
    </xf>
    <xf numFmtId="2" fontId="26" fillId="20" borderId="0" xfId="0" applyNumberFormat="1" applyFont="1" applyFill="1" applyAlignment="1">
      <alignment horizontal="center"/>
    </xf>
    <xf numFmtId="2" fontId="26" fillId="20" borderId="0" xfId="0" applyNumberFormat="1" applyFont="1" applyFill="1" applyAlignment="1">
      <alignment horizontal="center" vertical="center"/>
    </xf>
    <xf numFmtId="2" fontId="45" fillId="20" borderId="0" xfId="0" applyNumberFormat="1" applyFont="1" applyFill="1" applyAlignment="1"/>
    <xf numFmtId="2" fontId="7" fillId="0" borderId="15" xfId="0" applyNumberFormat="1" applyFont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2" fontId="0" fillId="14" borderId="33" xfId="0" applyNumberFormat="1" applyFill="1" applyBorder="1" applyAlignment="1">
      <alignment horizontal="center"/>
    </xf>
    <xf numFmtId="2" fontId="0" fillId="20" borderId="23" xfId="0" applyNumberFormat="1" applyFill="1" applyBorder="1" applyAlignment="1">
      <alignment horizontal="center" vertical="center"/>
    </xf>
    <xf numFmtId="2" fontId="70" fillId="21" borderId="0" xfId="0" applyNumberFormat="1" applyFont="1" applyFill="1">
      <alignment vertical="center"/>
    </xf>
    <xf numFmtId="2" fontId="0" fillId="5" borderId="21" xfId="0" applyNumberFormat="1" applyFill="1" applyBorder="1" applyAlignment="1">
      <alignment horizontal="center" vertical="center"/>
    </xf>
    <xf numFmtId="2" fontId="45" fillId="5" borderId="21" xfId="0" applyNumberFormat="1" applyFont="1" applyFill="1" applyBorder="1" applyAlignment="1">
      <alignment horizontal="left" vertical="center" wrapText="1"/>
    </xf>
    <xf numFmtId="2" fontId="0" fillId="5" borderId="21" xfId="0" applyNumberFormat="1" applyFill="1" applyBorder="1" applyAlignment="1">
      <alignment horizontal="left" vertical="center" wrapText="1"/>
    </xf>
    <xf numFmtId="2" fontId="0" fillId="5" borderId="3" xfId="0" applyNumberFormat="1" applyFill="1" applyBorder="1" applyAlignment="1">
      <alignment horizontal="left" vertical="top" wrapText="1"/>
    </xf>
    <xf numFmtId="2" fontId="0" fillId="0" borderId="0" xfId="0" applyNumberForma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/>
    </xf>
    <xf numFmtId="2" fontId="0" fillId="19" borderId="23" xfId="0" applyNumberFormat="1" applyFill="1" applyBorder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20" borderId="33" xfId="0" applyNumberFormat="1" applyFill="1" applyBorder="1">
      <alignment vertical="center"/>
    </xf>
    <xf numFmtId="2" fontId="7" fillId="20" borderId="0" xfId="0" applyNumberFormat="1" applyFont="1" applyFill="1">
      <alignment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vertical="top" wrapText="1"/>
    </xf>
    <xf numFmtId="2" fontId="0" fillId="5" borderId="3" xfId="0" applyNumberFormat="1" applyFill="1" applyBorder="1" applyAlignment="1">
      <alignment vertical="center" wrapText="1"/>
    </xf>
    <xf numFmtId="2" fontId="45" fillId="5" borderId="3" xfId="0" applyNumberFormat="1" applyFont="1" applyFill="1" applyBorder="1" applyAlignment="1">
      <alignment horizontal="left" vertical="center" wrapText="1"/>
    </xf>
    <xf numFmtId="2" fontId="0" fillId="5" borderId="3" xfId="0" applyNumberFormat="1" applyFill="1" applyBorder="1" applyAlignment="1">
      <alignment horizontal="center" vertical="center" wrapText="1"/>
    </xf>
    <xf numFmtId="2" fontId="0" fillId="19" borderId="3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45" fillId="0" borderId="0" xfId="0" applyNumberFormat="1" applyFont="1" applyAlignment="1">
      <alignment horizontal="center" vertical="center"/>
    </xf>
    <xf numFmtId="2" fontId="0" fillId="5" borderId="3" xfId="0" applyNumberFormat="1" applyFill="1" applyBorder="1" applyAlignment="1">
      <alignment horizontal="left" vertical="center" wrapText="1"/>
    </xf>
    <xf numFmtId="2" fontId="0" fillId="19" borderId="3" xfId="0" applyNumberFormat="1" applyFill="1" applyBorder="1" applyAlignment="1">
      <alignment horizontal="center"/>
    </xf>
    <xf numFmtId="2" fontId="0" fillId="5" borderId="38" xfId="0" applyNumberFormat="1" applyFill="1" applyBorder="1" applyAlignment="1">
      <alignment horizontal="left" vertical="center" wrapText="1"/>
    </xf>
    <xf numFmtId="2" fontId="0" fillId="19" borderId="38" xfId="0" applyNumberFormat="1" applyFill="1" applyBorder="1" applyAlignment="1">
      <alignment horizontal="center" vertical="center"/>
    </xf>
    <xf numFmtId="2" fontId="45" fillId="5" borderId="3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left" vertical="top" wrapText="1"/>
    </xf>
    <xf numFmtId="2" fontId="7" fillId="22" borderId="0" xfId="0" applyNumberFormat="1" applyFont="1" applyFill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33" fillId="0" borderId="0" xfId="0" applyNumberFormat="1" applyFont="1" applyAlignment="1">
      <alignment horizontal="left" vertical="center"/>
    </xf>
    <xf numFmtId="2" fontId="45" fillId="20" borderId="0" xfId="0" applyNumberFormat="1" applyFont="1" applyFill="1" applyAlignment="1">
      <alignment horizontal="center"/>
    </xf>
    <xf numFmtId="2" fontId="0" fillId="19" borderId="0" xfId="0" applyNumberFormat="1" applyFill="1" applyAlignment="1">
      <alignment horizontal="center"/>
    </xf>
    <xf numFmtId="2" fontId="7" fillId="0" borderId="0" xfId="0" applyNumberFormat="1" applyFont="1" applyAlignment="1">
      <alignment horizontal="center"/>
    </xf>
    <xf numFmtId="188" fontId="0" fillId="20" borderId="0" xfId="0" applyNumberFormat="1" applyFill="1" applyAlignment="1">
      <alignment horizontal="center" vertical="center"/>
    </xf>
    <xf numFmtId="2" fontId="33" fillId="20" borderId="0" xfId="0" applyNumberFormat="1" applyFont="1" applyFill="1">
      <alignment vertical="center"/>
    </xf>
    <xf numFmtId="2" fontId="61" fillId="0" borderId="0" xfId="0" applyNumberFormat="1" applyFont="1" applyAlignment="1">
      <alignment horizontal="center" vertical="center" wrapText="1"/>
    </xf>
    <xf numFmtId="2" fontId="62" fillId="23" borderId="0" xfId="0" applyNumberFormat="1" applyFont="1" applyFill="1" applyAlignment="1">
      <alignment vertical="center" wrapText="1"/>
    </xf>
    <xf numFmtId="2" fontId="17" fillId="23" borderId="0" xfId="0" applyNumberFormat="1" applyFont="1" applyFill="1" applyAlignment="1">
      <alignment horizontal="left" vertical="center" wrapText="1"/>
    </xf>
    <xf numFmtId="2" fontId="7" fillId="0" borderId="0" xfId="0" applyNumberFormat="1" applyFont="1" applyAlignment="1">
      <alignment horizontal="center" vertical="center" wrapText="1"/>
    </xf>
    <xf numFmtId="2" fontId="6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 vertical="top" wrapText="1"/>
    </xf>
    <xf numFmtId="2" fontId="0" fillId="8" borderId="0" xfId="0" applyNumberFormat="1" applyFill="1" applyAlignment="1">
      <alignment horizontal="center" vertical="center"/>
    </xf>
    <xf numFmtId="2" fontId="0" fillId="5" borderId="0" xfId="0" applyNumberFormat="1" applyFill="1">
      <alignment vertical="center"/>
    </xf>
    <xf numFmtId="2" fontId="7" fillId="0" borderId="3" xfId="0" applyNumberFormat="1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7" fillId="20" borderId="0" xfId="0" applyNumberFormat="1" applyFont="1" applyFill="1" applyAlignment="1">
      <alignment horizontal="center" vertical="top" wrapText="1"/>
    </xf>
    <xf numFmtId="2" fontId="7" fillId="20" borderId="0" xfId="0" applyNumberFormat="1" applyFont="1" applyFill="1" applyAlignment="1">
      <alignment horizontal="center" vertical="center" wrapText="1"/>
    </xf>
    <xf numFmtId="2" fontId="23" fillId="9" borderId="0" xfId="0" applyNumberFormat="1" applyFont="1" applyFill="1" applyAlignment="1">
      <alignment horizontal="center" vertical="center"/>
    </xf>
    <xf numFmtId="2" fontId="45" fillId="0" borderId="0" xfId="2" applyNumberFormat="1">
      <protection locked="0"/>
    </xf>
    <xf numFmtId="2" fontId="31" fillId="0" borderId="0" xfId="0" applyNumberFormat="1" applyFont="1">
      <alignment vertical="center"/>
    </xf>
    <xf numFmtId="2" fontId="31" fillId="0" borderId="0" xfId="0" applyNumberFormat="1" applyFont="1" applyAlignment="1">
      <alignment horizontal="center" vertical="center"/>
    </xf>
    <xf numFmtId="2" fontId="32" fillId="0" borderId="0" xfId="0" applyNumberFormat="1" applyFont="1" applyAlignment="1" applyProtection="1">
      <alignment horizontal="center" vertical="center"/>
      <protection locked="0"/>
    </xf>
    <xf numFmtId="2" fontId="23" fillId="0" borderId="0" xfId="0" applyNumberFormat="1" applyFont="1">
      <alignment vertical="center"/>
    </xf>
    <xf numFmtId="2" fontId="32" fillId="0" borderId="0" xfId="0" applyNumberFormat="1" applyFont="1" applyAlignment="1">
      <alignment horizontal="center" vertical="center"/>
    </xf>
    <xf numFmtId="2" fontId="7" fillId="26" borderId="18" xfId="0" applyNumberFormat="1" applyFont="1" applyFill="1" applyBorder="1" applyAlignment="1">
      <alignment horizontal="center" vertical="center"/>
    </xf>
    <xf numFmtId="2" fontId="7" fillId="4" borderId="2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45" fillId="4" borderId="3" xfId="0" applyNumberFormat="1" applyFont="1" applyFill="1" applyBorder="1" applyAlignment="1">
      <alignment horizontal="center" vertical="center"/>
    </xf>
    <xf numFmtId="2" fontId="45" fillId="26" borderId="3" xfId="0" applyNumberFormat="1" applyFont="1" applyFill="1" applyBorder="1" applyAlignment="1">
      <alignment horizontal="center"/>
    </xf>
    <xf numFmtId="2" fontId="45" fillId="4" borderId="3" xfId="0" quotePrefix="1" applyNumberFormat="1" applyFont="1" applyFill="1" applyBorder="1" applyAlignment="1">
      <alignment horizontal="center" vertical="center"/>
    </xf>
    <xf numFmtId="2" fontId="7" fillId="26" borderId="24" xfId="0" applyNumberFormat="1" applyFont="1" applyFill="1" applyBorder="1" applyAlignment="1">
      <alignment horizontal="center" vertical="center"/>
    </xf>
    <xf numFmtId="2" fontId="7" fillId="4" borderId="26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/>
    </xf>
    <xf numFmtId="2" fontId="45" fillId="4" borderId="3" xfId="0" quotePrefix="1" applyNumberFormat="1" applyFont="1" applyFill="1" applyBorder="1" applyAlignment="1">
      <alignment horizontal="center"/>
    </xf>
    <xf numFmtId="1" fontId="0" fillId="0" borderId="4" xfId="0" applyNumberFormat="1" applyBorder="1" applyAlignment="1"/>
    <xf numFmtId="2" fontId="0" fillId="0" borderId="4" xfId="0" applyNumberFormat="1" applyBorder="1" applyAlignment="1"/>
    <xf numFmtId="2" fontId="0" fillId="0" borderId="9" xfId="0" applyNumberFormat="1" applyBorder="1" applyAlignment="1"/>
    <xf numFmtId="2" fontId="10" fillId="0" borderId="0" xfId="0" applyNumberFormat="1" applyFont="1" applyAlignment="1"/>
    <xf numFmtId="2" fontId="0" fillId="4" borderId="3" xfId="0" applyNumberFormat="1" applyFill="1" applyBorder="1" applyAlignment="1"/>
    <xf numFmtId="1" fontId="0" fillId="3" borderId="4" xfId="0" applyNumberFormat="1" applyFill="1" applyBorder="1" applyAlignment="1">
      <alignment horizontal="center" vertical="center"/>
    </xf>
    <xf numFmtId="2" fontId="45" fillId="3" borderId="0" xfId="0" quotePrefix="1" applyNumberFormat="1" applyFont="1" applyFill="1" applyAlignment="1">
      <alignment horizontal="center"/>
    </xf>
    <xf numFmtId="2" fontId="45" fillId="3" borderId="0" xfId="0" applyNumberFormat="1" applyFont="1" applyFill="1" applyAlignment="1">
      <alignment horizontal="center"/>
    </xf>
    <xf numFmtId="2" fontId="0" fillId="3" borderId="0" xfId="0" applyNumberFormat="1" applyFill="1" applyAlignment="1"/>
    <xf numFmtId="1" fontId="5" fillId="4" borderId="3" xfId="0" quotePrefix="1" applyNumberFormat="1" applyFont="1" applyFill="1" applyBorder="1" applyAlignment="1">
      <alignment horizontal="center" vertical="center"/>
    </xf>
    <xf numFmtId="1" fontId="5" fillId="26" borderId="3" xfId="0" applyNumberFormat="1" applyFont="1" applyFill="1" applyBorder="1" applyAlignment="1">
      <alignment horizontal="center" vertical="center"/>
    </xf>
    <xf numFmtId="2" fontId="45" fillId="4" borderId="3" xfId="0" applyNumberFormat="1" applyFont="1" applyFill="1" applyBorder="1" applyAlignment="1">
      <alignment horizontal="center"/>
    </xf>
    <xf numFmtId="2" fontId="0" fillId="0" borderId="2" xfId="0" applyNumberFormat="1" applyBorder="1" applyAlignment="1"/>
    <xf numFmtId="1" fontId="0" fillId="0" borderId="4" xfId="0" applyNumberFormat="1" applyBorder="1" applyAlignment="1">
      <alignment horizontal="center" vertical="center"/>
    </xf>
    <xf numFmtId="2" fontId="45" fillId="0" borderId="0" xfId="0" applyNumberFormat="1" applyFont="1" applyAlignment="1">
      <alignment horizontal="center"/>
    </xf>
    <xf numFmtId="2" fontId="45" fillId="0" borderId="0" xfId="0" quotePrefix="1" applyNumberFormat="1" applyFont="1" applyAlignment="1">
      <alignment horizontal="center"/>
    </xf>
    <xf numFmtId="2" fontId="10" fillId="2" borderId="6" xfId="0" applyNumberFormat="1" applyFont="1" applyFill="1" applyBorder="1" applyAlignment="1"/>
    <xf numFmtId="2" fontId="12" fillId="3" borderId="3" xfId="4" applyNumberFormat="1" applyFont="1" applyFill="1" applyBorder="1" applyAlignment="1">
      <alignment vertical="center"/>
    </xf>
    <xf numFmtId="2" fontId="0" fillId="0" borderId="3" xfId="0" applyNumberFormat="1" applyBorder="1" applyAlignment="1"/>
    <xf numFmtId="2" fontId="12" fillId="3" borderId="2" xfId="4" applyNumberFormat="1" applyFont="1" applyFill="1" applyBorder="1" applyAlignment="1">
      <alignment horizontal="center" vertical="center"/>
    </xf>
    <xf numFmtId="2" fontId="20" fillId="26" borderId="3" xfId="0" applyNumberFormat="1" applyFont="1" applyFill="1" applyBorder="1" applyAlignment="1">
      <alignment horizontal="center" vertical="center"/>
    </xf>
    <xf numFmtId="2" fontId="4" fillId="26" borderId="3" xfId="4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0" fillId="26" borderId="3" xfId="0" applyNumberFormat="1" applyFont="1" applyFill="1" applyBorder="1" applyAlignment="1">
      <alignment horizontal="center" vertical="center"/>
    </xf>
    <xf numFmtId="2" fontId="10" fillId="26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/>
    </xf>
    <xf numFmtId="2" fontId="15" fillId="5" borderId="23" xfId="0" applyNumberFormat="1" applyFont="1" applyFill="1" applyBorder="1" applyAlignment="1">
      <alignment horizontal="center"/>
    </xf>
    <xf numFmtId="2" fontId="10" fillId="26" borderId="3" xfId="0" applyNumberFormat="1" applyFont="1" applyFill="1" applyBorder="1" applyAlignment="1">
      <alignment horizontal="center"/>
    </xf>
    <xf numFmtId="2" fontId="10" fillId="26" borderId="23" xfId="0" applyNumberFormat="1" applyFont="1" applyFill="1" applyBorder="1" applyAlignment="1">
      <alignment horizontal="center"/>
    </xf>
    <xf numFmtId="2" fontId="7" fillId="5" borderId="23" xfId="0" applyNumberFormat="1" applyFont="1" applyFill="1" applyBorder="1" applyAlignment="1">
      <alignment horizontal="center"/>
    </xf>
    <xf numFmtId="2" fontId="15" fillId="5" borderId="24" xfId="0" applyNumberFormat="1" applyFont="1" applyFill="1" applyBorder="1" applyAlignment="1">
      <alignment horizontal="center" vertical="center"/>
    </xf>
    <xf numFmtId="2" fontId="7" fillId="5" borderId="26" xfId="0" applyNumberFormat="1" applyFont="1" applyFill="1" applyBorder="1" applyAlignment="1">
      <alignment horizontal="center"/>
    </xf>
    <xf numFmtId="2" fontId="10" fillId="26" borderId="25" xfId="0" applyNumberFormat="1" applyFont="1" applyFill="1" applyBorder="1" applyAlignment="1">
      <alignment horizontal="center" vertical="center"/>
    </xf>
    <xf numFmtId="2" fontId="10" fillId="26" borderId="25" xfId="0" applyNumberFormat="1" applyFont="1" applyFill="1" applyBorder="1" applyAlignment="1">
      <alignment horizontal="center"/>
    </xf>
    <xf numFmtId="2" fontId="10" fillId="26" borderId="26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10" fillId="0" borderId="7" xfId="0" applyNumberFormat="1" applyFont="1" applyBorder="1" applyAlignment="1"/>
    <xf numFmtId="2" fontId="10" fillId="3" borderId="3" xfId="0" applyNumberFormat="1" applyFont="1" applyFill="1" applyBorder="1" applyAlignment="1">
      <alignment horizontal="center" vertical="center"/>
    </xf>
    <xf numFmtId="2" fontId="10" fillId="3" borderId="33" xfId="0" applyNumberFormat="1" applyFont="1" applyFill="1" applyBorder="1" applyAlignment="1">
      <alignment horizontal="center" vertical="center"/>
    </xf>
    <xf numFmtId="2" fontId="10" fillId="3" borderId="33" xfId="0" applyNumberFormat="1" applyFont="1" applyFill="1" applyBorder="1" applyAlignment="1">
      <alignment horizontal="center"/>
    </xf>
    <xf numFmtId="2" fontId="10" fillId="3" borderId="34" xfId="0" applyNumberFormat="1" applyFont="1" applyFill="1" applyBorder="1" applyAlignment="1">
      <alignment horizontal="center"/>
    </xf>
    <xf numFmtId="2" fontId="10" fillId="3" borderId="0" xfId="0" applyNumberFormat="1" applyFont="1" applyFill="1" applyAlignment="1"/>
    <xf numFmtId="2" fontId="10" fillId="26" borderId="13" xfId="0" applyNumberFormat="1" applyFont="1" applyFill="1" applyBorder="1" applyAlignment="1">
      <alignment horizontal="center" vertical="center"/>
    </xf>
    <xf numFmtId="2" fontId="10" fillId="26" borderId="13" xfId="0" applyNumberFormat="1" applyFont="1" applyFill="1" applyBorder="1" applyAlignment="1">
      <alignment horizontal="center"/>
    </xf>
    <xf numFmtId="2" fontId="10" fillId="26" borderId="14" xfId="0" applyNumberFormat="1" applyFont="1" applyFill="1" applyBorder="1" applyAlignment="1">
      <alignment horizontal="center"/>
    </xf>
    <xf numFmtId="2" fontId="10" fillId="0" borderId="2" xfId="0" applyNumberFormat="1" applyFont="1" applyBorder="1" applyAlignment="1"/>
    <xf numFmtId="2" fontId="21" fillId="5" borderId="23" xfId="0" applyNumberFormat="1" applyFont="1" applyFill="1" applyBorder="1" applyAlignment="1">
      <alignment horizontal="center" vertical="center"/>
    </xf>
    <xf numFmtId="2" fontId="10" fillId="26" borderId="26" xfId="0" applyNumberFormat="1" applyFont="1" applyFill="1" applyBorder="1" applyAlignment="1">
      <alignment horizontal="center" vertical="center"/>
    </xf>
    <xf numFmtId="2" fontId="10" fillId="3" borderId="46" xfId="0" applyNumberFormat="1" applyFont="1" applyFill="1" applyBorder="1" applyAlignment="1">
      <alignment horizontal="center" vertical="center"/>
    </xf>
    <xf numFmtId="2" fontId="10" fillId="26" borderId="14" xfId="0" applyNumberFormat="1" applyFont="1" applyFill="1" applyBorder="1" applyAlignment="1">
      <alignment horizontal="center" vertical="center"/>
    </xf>
    <xf numFmtId="2" fontId="10" fillId="3" borderId="47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1" fontId="12" fillId="3" borderId="3" xfId="4" applyNumberFormat="1" applyFont="1" applyFill="1" applyBorder="1" applyAlignment="1">
      <alignment horizontal="center" vertical="center"/>
    </xf>
    <xf numFmtId="1" fontId="12" fillId="3" borderId="12" xfId="4" applyNumberFormat="1" applyFont="1" applyFill="1" applyBorder="1" applyAlignment="1">
      <alignment horizontal="center" vertical="center"/>
    </xf>
    <xf numFmtId="2" fontId="12" fillId="3" borderId="2" xfId="4" applyNumberFormat="1" applyFont="1" applyFill="1" applyBorder="1" applyAlignment="1">
      <alignment horizontal="left" vertical="center" wrapText="1"/>
    </xf>
    <xf numFmtId="2" fontId="20" fillId="3" borderId="3" xfId="0" applyNumberFormat="1" applyFont="1" applyFill="1" applyBorder="1" applyAlignment="1">
      <alignment horizontal="center" vertical="center"/>
    </xf>
    <xf numFmtId="2" fontId="4" fillId="3" borderId="3" xfId="4" applyNumberFormat="1" applyFont="1" applyFill="1" applyBorder="1" applyAlignment="1">
      <alignment horizontal="center" vertical="center"/>
    </xf>
    <xf numFmtId="1" fontId="20" fillId="3" borderId="3" xfId="0" applyNumberFormat="1" applyFont="1" applyFill="1" applyBorder="1" applyAlignment="1">
      <alignment horizontal="center" vertical="center"/>
    </xf>
    <xf numFmtId="2" fontId="9" fillId="3" borderId="3" xfId="4" applyNumberFormat="1" applyFont="1" applyFill="1" applyBorder="1" applyAlignment="1">
      <alignment horizontal="center" vertical="center"/>
    </xf>
    <xf numFmtId="2" fontId="10" fillId="3" borderId="18" xfId="0" applyNumberFormat="1" applyFont="1" applyFill="1" applyBorder="1" applyAlignment="1">
      <alignment horizontal="center"/>
    </xf>
    <xf numFmtId="2" fontId="10" fillId="4" borderId="3" xfId="0" applyNumberFormat="1" applyFont="1" applyFill="1" applyBorder="1" applyAlignment="1">
      <alignment horizontal="center"/>
    </xf>
    <xf numFmtId="2" fontId="10" fillId="3" borderId="23" xfId="4" applyNumberFormat="1" applyFont="1" applyFill="1" applyBorder="1" applyAlignment="1">
      <alignment horizontal="center"/>
    </xf>
    <xf numFmtId="2" fontId="45" fillId="0" borderId="24" xfId="0" applyNumberFormat="1" applyFont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10" fillId="3" borderId="26" xfId="4" applyNumberFormat="1" applyFont="1" applyFill="1" applyBorder="1" applyAlignment="1">
      <alignment horizontal="center"/>
    </xf>
    <xf numFmtId="2" fontId="10" fillId="3" borderId="4" xfId="4" applyNumberFormat="1" applyFont="1" applyFill="1" applyBorder="1" applyAlignment="1">
      <alignment horizontal="center"/>
    </xf>
    <xf numFmtId="2" fontId="0" fillId="0" borderId="5" xfId="0" applyNumberFormat="1" applyBorder="1" applyAlignment="1"/>
    <xf numFmtId="2" fontId="15" fillId="3" borderId="0" xfId="4" applyNumberFormat="1" applyFont="1" applyFill="1"/>
    <xf numFmtId="2" fontId="0" fillId="4" borderId="13" xfId="0" applyNumberFormat="1" applyFill="1" applyBorder="1" applyAlignment="1"/>
    <xf numFmtId="2" fontId="0" fillId="4" borderId="14" xfId="0" applyNumberFormat="1" applyFill="1" applyBorder="1" applyAlignment="1"/>
    <xf numFmtId="2" fontId="9" fillId="3" borderId="0" xfId="4" applyNumberFormat="1" applyFont="1" applyFill="1"/>
    <xf numFmtId="2" fontId="0" fillId="4" borderId="23" xfId="0" applyNumberFormat="1" applyFill="1" applyBorder="1" applyAlignment="1"/>
    <xf numFmtId="2" fontId="10" fillId="3" borderId="4" xfId="0" applyNumberFormat="1" applyFont="1" applyFill="1" applyBorder="1" applyAlignment="1"/>
    <xf numFmtId="2" fontId="0" fillId="4" borderId="25" xfId="0" applyNumberFormat="1" applyFill="1" applyBorder="1" applyAlignment="1"/>
    <xf numFmtId="2" fontId="0" fillId="4" borderId="26" xfId="0" applyNumberFormat="1" applyFill="1" applyBorder="1" applyAlignment="1"/>
    <xf numFmtId="2" fontId="45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10" fillId="26" borderId="3" xfId="0" applyNumberFormat="1" applyFont="1" applyFill="1" applyBorder="1">
      <alignment vertical="center"/>
    </xf>
    <xf numFmtId="1" fontId="10" fillId="26" borderId="3" xfId="0" applyNumberFormat="1" applyFont="1" applyFill="1" applyBorder="1" applyAlignment="1">
      <alignment horizontal="center" vertical="center"/>
    </xf>
    <xf numFmtId="189" fontId="8" fillId="3" borderId="18" xfId="4" applyNumberFormat="1" applyFont="1" applyFill="1" applyBorder="1" applyAlignment="1">
      <alignment horizontal="center" vertical="center"/>
    </xf>
    <xf numFmtId="2" fontId="8" fillId="3" borderId="3" xfId="4" applyNumberFormat="1" applyFont="1" applyFill="1" applyBorder="1" applyAlignment="1">
      <alignment horizontal="center" vertical="center"/>
    </xf>
    <xf numFmtId="2" fontId="22" fillId="0" borderId="23" xfId="0" applyNumberFormat="1" applyFont="1" applyBorder="1">
      <alignment vertical="center"/>
    </xf>
    <xf numFmtId="2" fontId="8" fillId="3" borderId="18" xfId="4" applyNumberFormat="1" applyFont="1" applyFill="1" applyBorder="1" applyAlignment="1">
      <alignment horizontal="center" vertical="center"/>
    </xf>
    <xf numFmtId="2" fontId="33" fillId="0" borderId="23" xfId="0" applyNumberFormat="1" applyFont="1" applyBorder="1" applyAlignment="1">
      <alignment horizontal="left" vertical="center"/>
    </xf>
    <xf numFmtId="2" fontId="10" fillId="3" borderId="24" xfId="0" applyNumberFormat="1" applyFont="1" applyFill="1" applyBorder="1" applyAlignment="1"/>
    <xf numFmtId="2" fontId="22" fillId="0" borderId="25" xfId="0" applyNumberFormat="1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/>
    </xf>
    <xf numFmtId="2" fontId="10" fillId="26" borderId="3" xfId="0" applyNumberFormat="1" applyFont="1" applyFill="1" applyBorder="1" applyAlignment="1">
      <alignment horizontal="left" vertical="center"/>
    </xf>
    <xf numFmtId="2" fontId="4" fillId="0" borderId="3" xfId="4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3" xfId="0" quotePrefix="1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45" fillId="0" borderId="3" xfId="4" applyNumberFormat="1" applyBorder="1" applyAlignment="1">
      <alignment horizontal="center" vertical="center"/>
    </xf>
    <xf numFmtId="2" fontId="45" fillId="0" borderId="3" xfId="0" applyNumberFormat="1" applyFont="1" applyBorder="1" applyAlignment="1">
      <alignment horizontal="center"/>
    </xf>
    <xf numFmtId="2" fontId="6" fillId="0" borderId="3" xfId="0" quotePrefix="1" applyNumberFormat="1" applyFont="1" applyBorder="1" applyAlignment="1">
      <alignment horizontal="center" vertical="center"/>
    </xf>
    <xf numFmtId="2" fontId="0" fillId="0" borderId="3" xfId="0" quotePrefix="1" applyNumberForma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quotePrefix="1" applyNumberFormat="1" applyFill="1" applyAlignment="1">
      <alignment horizontal="center" vertical="center"/>
    </xf>
    <xf numFmtId="2" fontId="7" fillId="0" borderId="0" xfId="0" applyNumberFormat="1" applyFont="1" applyAlignment="1"/>
    <xf numFmtId="2" fontId="45" fillId="0" borderId="3" xfId="0" quotePrefix="1" applyNumberFormat="1" applyFon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2" fontId="0" fillId="3" borderId="4" xfId="0" applyNumberFormat="1" applyFill="1" applyBorder="1" applyAlignment="1"/>
    <xf numFmtId="2" fontId="2" fillId="3" borderId="4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45" fillId="0" borderId="3" xfId="0" applyNumberFormat="1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 wrapText="1"/>
    </xf>
    <xf numFmtId="2" fontId="45" fillId="0" borderId="0" xfId="0" quotePrefix="1" applyNumberFormat="1" applyFont="1" applyAlignment="1">
      <alignment horizontal="center" vertical="center"/>
    </xf>
    <xf numFmtId="2" fontId="45" fillId="0" borderId="4" xfId="0" applyNumberFormat="1" applyFont="1" applyBorder="1" applyAlignment="1"/>
    <xf numFmtId="2" fontId="45" fillId="0" borderId="0" xfId="0" applyNumberFormat="1" applyFont="1" applyAlignment="1"/>
    <xf numFmtId="2" fontId="9" fillId="18" borderId="3" xfId="4" applyNumberFormat="1" applyFont="1" applyFill="1" applyBorder="1"/>
    <xf numFmtId="2" fontId="7" fillId="18" borderId="3" xfId="0" applyNumberFormat="1" applyFont="1" applyFill="1" applyBorder="1" applyAlignment="1">
      <alignment horizontal="center" vertical="center"/>
    </xf>
    <xf numFmtId="2" fontId="9" fillId="18" borderId="3" xfId="4" applyNumberFormat="1" applyFont="1" applyFill="1" applyBorder="1" applyAlignment="1">
      <alignment horizontal="center" vertical="center"/>
    </xf>
    <xf numFmtId="2" fontId="45" fillId="18" borderId="3" xfId="4" applyNumberFormat="1" applyFill="1" applyBorder="1" applyAlignment="1">
      <alignment horizontal="center" vertical="center"/>
    </xf>
    <xf numFmtId="2" fontId="45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ill="1" applyBorder="1" applyAlignment="1"/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 vertical="center"/>
    </xf>
    <xf numFmtId="2" fontId="45" fillId="0" borderId="3" xfId="0" applyNumberFormat="1" applyFont="1" applyBorder="1" applyAlignment="1"/>
    <xf numFmtId="2" fontId="5" fillId="18" borderId="3" xfId="0" applyNumberFormat="1" applyFont="1" applyFill="1" applyBorder="1" applyAlignment="1">
      <alignment horizontal="center" vertical="center"/>
    </xf>
    <xf numFmtId="2" fontId="4" fillId="18" borderId="3" xfId="4" applyNumberFormat="1" applyFont="1" applyFill="1" applyBorder="1" applyAlignment="1">
      <alignment horizontal="center" vertical="center"/>
    </xf>
    <xf numFmtId="2" fontId="45" fillId="3" borderId="3" xfId="0" applyNumberFormat="1" applyFont="1" applyFill="1" applyBorder="1" applyAlignment="1">
      <alignment horizontal="center" vertical="center" wrapText="1"/>
    </xf>
    <xf numFmtId="2" fontId="45" fillId="3" borderId="0" xfId="0" applyNumberFormat="1" applyFont="1" applyFill="1" applyAlignment="1">
      <alignment horizontal="center" vertical="center" wrapText="1"/>
    </xf>
    <xf numFmtId="2" fontId="45" fillId="3" borderId="0" xfId="0" applyNumberFormat="1" applyFont="1" applyFill="1" applyAlignment="1">
      <alignment horizontal="center" vertical="center"/>
    </xf>
    <xf numFmtId="2" fontId="45" fillId="3" borderId="0" xfId="0" applyNumberFormat="1" applyFont="1" applyFill="1" applyAlignment="1"/>
    <xf numFmtId="2" fontId="12" fillId="3" borderId="3" xfId="0" applyNumberFormat="1" applyFont="1" applyFill="1" applyBorder="1" applyAlignment="1">
      <alignment horizontal="center" vertical="center" wrapText="1"/>
    </xf>
    <xf numFmtId="2" fontId="45" fillId="3" borderId="2" xfId="0" applyNumberFormat="1" applyFont="1" applyFill="1" applyBorder="1" applyAlignment="1"/>
    <xf numFmtId="2" fontId="12" fillId="3" borderId="0" xfId="0" applyNumberFormat="1" applyFont="1" applyFill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  <xf numFmtId="2" fontId="45" fillId="4" borderId="12" xfId="0" applyNumberFormat="1" applyFont="1" applyFill="1" applyBorder="1" applyAlignment="1">
      <alignment horizontal="center" vertical="center" wrapText="1"/>
    </xf>
    <xf numFmtId="2" fontId="10" fillId="3" borderId="37" xfId="0" applyNumberFormat="1" applyFont="1" applyFill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 wrapText="1"/>
    </xf>
    <xf numFmtId="2" fontId="12" fillId="3" borderId="0" xfId="0" applyNumberFormat="1" applyFont="1" applyFill="1" applyAlignment="1">
      <alignment horizontal="center" vertical="center" wrapText="1"/>
    </xf>
    <xf numFmtId="2" fontId="45" fillId="4" borderId="18" xfId="0" applyNumberFormat="1" applyFont="1" applyFill="1" applyBorder="1" applyAlignment="1">
      <alignment horizontal="center" vertical="center" wrapText="1"/>
    </xf>
    <xf numFmtId="164" fontId="10" fillId="3" borderId="22" xfId="0" applyNumberFormat="1" applyFont="1" applyFill="1" applyBorder="1" applyAlignment="1">
      <alignment horizontal="center" vertical="center"/>
    </xf>
    <xf numFmtId="2" fontId="17" fillId="3" borderId="0" xfId="0" applyNumberFormat="1" applyFont="1" applyFill="1">
      <alignment vertical="center"/>
    </xf>
    <xf numFmtId="2" fontId="45" fillId="3" borderId="0" xfId="0" applyNumberFormat="1" applyFont="1" applyFill="1" applyAlignment="1">
      <alignment horizontal="right" vertical="center"/>
    </xf>
    <xf numFmtId="2" fontId="10" fillId="3" borderId="81" xfId="0" applyNumberFormat="1" applyFont="1" applyFill="1" applyBorder="1" applyAlignment="1">
      <alignment horizontal="center" vertical="center"/>
    </xf>
    <xf numFmtId="164" fontId="10" fillId="3" borderId="34" xfId="0" applyNumberFormat="1" applyFont="1" applyFill="1" applyBorder="1" applyAlignment="1">
      <alignment horizontal="center" vertical="center"/>
    </xf>
    <xf numFmtId="2" fontId="73" fillId="4" borderId="24" xfId="0" applyNumberFormat="1" applyFont="1" applyFill="1" applyBorder="1" applyAlignment="1">
      <alignment horizontal="center" vertical="center" wrapText="1"/>
    </xf>
    <xf numFmtId="2" fontId="74" fillId="3" borderId="25" xfId="0" applyNumberFormat="1" applyFont="1" applyFill="1" applyBorder="1" applyAlignment="1">
      <alignment horizontal="center" vertical="center"/>
    </xf>
    <xf numFmtId="164" fontId="75" fillId="3" borderId="26" xfId="0" applyNumberFormat="1" applyFont="1" applyFill="1" applyBorder="1" applyAlignment="1">
      <alignment horizontal="center" vertical="center"/>
    </xf>
    <xf numFmtId="2" fontId="76" fillId="3" borderId="0" xfId="0" applyNumberFormat="1" applyFont="1" applyFill="1" applyAlignment="1">
      <alignment horizontal="center" vertical="center" wrapText="1"/>
    </xf>
    <xf numFmtId="2" fontId="77" fillId="3" borderId="0" xfId="0" applyNumberFormat="1" applyFont="1" applyFill="1" applyAlignment="1">
      <alignment horizontal="center" vertical="center"/>
    </xf>
    <xf numFmtId="2" fontId="78" fillId="3" borderId="5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76" fillId="3" borderId="0" xfId="0" applyNumberFormat="1" applyFont="1" applyFill="1" applyAlignment="1"/>
    <xf numFmtId="2" fontId="76" fillId="3" borderId="5" xfId="0" applyNumberFormat="1" applyFont="1" applyFill="1" applyBorder="1" applyAlignment="1"/>
    <xf numFmtId="2" fontId="76" fillId="3" borderId="0" xfId="0" applyNumberFormat="1" applyFont="1" applyFill="1" applyAlignment="1">
      <alignment horizontal="center" vertical="center"/>
    </xf>
    <xf numFmtId="2" fontId="0" fillId="3" borderId="5" xfId="0" applyNumberFormat="1" applyFill="1" applyBorder="1" applyAlignment="1"/>
    <xf numFmtId="2" fontId="15" fillId="3" borderId="0" xfId="0" applyNumberFormat="1" applyFont="1" applyFill="1" applyAlignment="1"/>
    <xf numFmtId="2" fontId="15" fillId="3" borderId="5" xfId="0" applyNumberFormat="1" applyFont="1" applyFill="1" applyBorder="1" applyAlignment="1"/>
    <xf numFmtId="2" fontId="15" fillId="0" borderId="0" xfId="0" applyNumberFormat="1" applyFont="1" applyAlignment="1"/>
    <xf numFmtId="2" fontId="12" fillId="3" borderId="5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/>
    </xf>
    <xf numFmtId="2" fontId="8" fillId="18" borderId="29" xfId="0" applyNumberFormat="1" applyFont="1" applyFill="1" applyBorder="1" applyAlignment="1"/>
    <xf numFmtId="2" fontId="8" fillId="18" borderId="30" xfId="0" applyNumberFormat="1" applyFont="1" applyFill="1" applyBorder="1" applyAlignment="1">
      <alignment horizontal="center" vertical="center"/>
    </xf>
    <xf numFmtId="2" fontId="10" fillId="18" borderId="30" xfId="0" applyNumberFormat="1" applyFont="1" applyFill="1" applyBorder="1" applyAlignment="1">
      <alignment horizontal="center" vertical="center"/>
    </xf>
    <xf numFmtId="2" fontId="10" fillId="18" borderId="30" xfId="0" applyNumberFormat="1" applyFont="1" applyFill="1" applyBorder="1">
      <alignment vertical="center"/>
    </xf>
    <xf numFmtId="1" fontId="10" fillId="18" borderId="3" xfId="0" applyNumberFormat="1" applyFont="1" applyFill="1" applyBorder="1">
      <alignment vertical="center"/>
    </xf>
    <xf numFmtId="1" fontId="10" fillId="18" borderId="3" xfId="0" applyNumberFormat="1" applyFont="1" applyFill="1" applyBorder="1" applyAlignment="1">
      <alignment horizontal="center" vertical="center"/>
    </xf>
    <xf numFmtId="1" fontId="10" fillId="18" borderId="23" xfId="0" applyNumberFormat="1" applyFont="1" applyFill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2" fontId="16" fillId="0" borderId="38" xfId="0" applyNumberFormat="1" applyFont="1" applyBorder="1" applyAlignment="1"/>
    <xf numFmtId="2" fontId="16" fillId="0" borderId="30" xfId="0" applyNumberFormat="1" applyFont="1" applyBorder="1" applyAlignment="1"/>
    <xf numFmtId="2" fontId="16" fillId="0" borderId="41" xfId="0" applyNumberFormat="1" applyFont="1" applyBorder="1" applyAlignment="1"/>
    <xf numFmtId="1" fontId="10" fillId="18" borderId="3" xfId="0" applyNumberFormat="1" applyFont="1" applyFill="1" applyBorder="1" applyAlignment="1">
      <alignment horizontal="right" vertical="center"/>
    </xf>
    <xf numFmtId="2" fontId="10" fillId="18" borderId="50" xfId="0" applyNumberFormat="1" applyFont="1" applyFill="1" applyBorder="1" applyAlignment="1">
      <alignment horizontal="center" vertical="center"/>
    </xf>
    <xf numFmtId="2" fontId="10" fillId="18" borderId="50" xfId="0" applyNumberFormat="1" applyFont="1" applyFill="1" applyBorder="1">
      <alignment vertical="center"/>
    </xf>
    <xf numFmtId="2" fontId="16" fillId="0" borderId="0" xfId="0" applyNumberFormat="1" applyFont="1" applyAlignment="1"/>
    <xf numFmtId="2" fontId="16" fillId="0" borderId="5" xfId="0" applyNumberFormat="1" applyFont="1" applyBorder="1" applyAlignment="1"/>
    <xf numFmtId="2" fontId="16" fillId="4" borderId="6" xfId="0" applyNumberFormat="1" applyFont="1" applyFill="1" applyBorder="1" applyAlignment="1"/>
    <xf numFmtId="2" fontId="16" fillId="4" borderId="7" xfId="0" applyNumberFormat="1" applyFont="1" applyFill="1" applyBorder="1" applyAlignment="1"/>
    <xf numFmtId="2" fontId="16" fillId="0" borderId="7" xfId="0" applyNumberFormat="1" applyFont="1" applyBorder="1" applyAlignment="1"/>
    <xf numFmtId="2" fontId="16" fillId="0" borderId="10" xfId="0" applyNumberFormat="1" applyFont="1" applyBorder="1" applyAlignment="1"/>
    <xf numFmtId="0" fontId="45" fillId="0" borderId="3" xfId="0" applyFont="1" applyBorder="1" applyAlignment="1">
      <alignment horizontal="left" vertical="center"/>
    </xf>
    <xf numFmtId="0" fontId="45" fillId="0" borderId="0" xfId="0" applyFont="1" applyAlignment="1"/>
    <xf numFmtId="0" fontId="17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20" borderId="0" xfId="0" applyFill="1">
      <alignment vertical="center"/>
    </xf>
    <xf numFmtId="0" fontId="45" fillId="0" borderId="0" xfId="0" applyFont="1" applyAlignment="1">
      <alignment horizontal="left" vertical="center"/>
    </xf>
    <xf numFmtId="0" fontId="33" fillId="3" borderId="0" xfId="0" applyFont="1" applyFill="1" applyAlignment="1">
      <alignment horizontal="left" vertical="center" wrapText="1"/>
    </xf>
    <xf numFmtId="0" fontId="45" fillId="20" borderId="0" xfId="0" applyFont="1" applyFill="1">
      <alignment vertical="center"/>
    </xf>
    <xf numFmtId="2" fontId="0" fillId="27" borderId="0" xfId="0" applyNumberFormat="1" applyFill="1">
      <alignment vertical="center"/>
    </xf>
    <xf numFmtId="2" fontId="0" fillId="27" borderId="21" xfId="0" applyNumberFormat="1" applyFill="1" applyBorder="1" applyAlignment="1">
      <alignment horizontal="center" vertical="center"/>
    </xf>
    <xf numFmtId="2" fontId="45" fillId="27" borderId="21" xfId="0" applyNumberFormat="1" applyFont="1" applyFill="1" applyBorder="1" applyAlignment="1">
      <alignment horizontal="left" vertical="center" wrapText="1"/>
    </xf>
    <xf numFmtId="2" fontId="45" fillId="27" borderId="60" xfId="0" applyNumberFormat="1" applyFont="1" applyFill="1" applyBorder="1" applyAlignment="1">
      <alignment horizontal="left" vertical="center" wrapText="1"/>
    </xf>
    <xf numFmtId="2" fontId="17" fillId="27" borderId="3" xfId="0" applyNumberFormat="1" applyFont="1" applyFill="1" applyBorder="1" applyAlignment="1">
      <alignment horizontal="left" vertical="center" wrapText="1"/>
    </xf>
    <xf numFmtId="2" fontId="0" fillId="27" borderId="21" xfId="0" applyNumberFormat="1" applyFill="1" applyBorder="1" applyAlignment="1">
      <alignment horizontal="left" vertical="center" wrapText="1"/>
    </xf>
    <xf numFmtId="2" fontId="0" fillId="27" borderId="3" xfId="0" applyNumberFormat="1" applyFill="1" applyBorder="1" applyAlignment="1">
      <alignment horizontal="left" vertical="top" wrapText="1"/>
    </xf>
    <xf numFmtId="2" fontId="0" fillId="27" borderId="0" xfId="0" applyNumberFormat="1" applyFill="1" applyAlignment="1">
      <alignment horizontal="center" vertical="center"/>
    </xf>
    <xf numFmtId="2" fontId="23" fillId="27" borderId="0" xfId="0" applyNumberFormat="1" applyFont="1" applyFill="1" applyAlignment="1">
      <alignment horizontal="center" vertical="center"/>
    </xf>
    <xf numFmtId="2" fontId="0" fillId="27" borderId="0" xfId="0" applyNumberFormat="1" applyFill="1" applyAlignment="1">
      <alignment vertical="top" wrapText="1"/>
    </xf>
    <xf numFmtId="2" fontId="0" fillId="27" borderId="0" xfId="0" applyNumberFormat="1" applyFill="1" applyAlignment="1">
      <alignment horizontal="left" vertical="top" wrapText="1"/>
    </xf>
    <xf numFmtId="2" fontId="0" fillId="27" borderId="0" xfId="0" applyNumberFormat="1" applyFill="1" applyAlignment="1">
      <alignment horizontal="center" vertical="center" wrapText="1"/>
    </xf>
    <xf numFmtId="2" fontId="0" fillId="27" borderId="3" xfId="0" applyNumberFormat="1" applyFill="1" applyBorder="1" applyAlignment="1">
      <alignment horizontal="center" vertical="center"/>
    </xf>
    <xf numFmtId="2" fontId="0" fillId="27" borderId="3" xfId="0" applyNumberFormat="1" applyFill="1" applyBorder="1" applyAlignment="1">
      <alignment vertical="top" wrapText="1"/>
    </xf>
    <xf numFmtId="2" fontId="0" fillId="27" borderId="3" xfId="0" applyNumberFormat="1" applyFill="1" applyBorder="1" applyAlignment="1">
      <alignment vertical="center" wrapText="1"/>
    </xf>
    <xf numFmtId="2" fontId="45" fillId="27" borderId="3" xfId="0" applyNumberFormat="1" applyFont="1" applyFill="1" applyBorder="1" applyAlignment="1">
      <alignment horizontal="left" vertical="center" wrapText="1"/>
    </xf>
    <xf numFmtId="2" fontId="45" fillId="27" borderId="3" xfId="0" applyNumberFormat="1" applyFont="1" applyFill="1" applyBorder="1" applyAlignment="1">
      <alignment horizontal="left" vertical="top" wrapText="1"/>
    </xf>
    <xf numFmtId="2" fontId="0" fillId="27" borderId="3" xfId="0" applyNumberFormat="1" applyFill="1" applyBorder="1" applyAlignment="1">
      <alignment horizontal="center" vertical="center" wrapText="1"/>
    </xf>
    <xf numFmtId="2" fontId="0" fillId="27" borderId="3" xfId="0" applyNumberFormat="1" applyFill="1" applyBorder="1" applyAlignment="1">
      <alignment horizontal="left" vertical="center" wrapText="1"/>
    </xf>
    <xf numFmtId="2" fontId="0" fillId="27" borderId="38" xfId="0" applyNumberFormat="1" applyFill="1" applyBorder="1" applyAlignment="1">
      <alignment horizontal="left" vertical="center" wrapText="1"/>
    </xf>
    <xf numFmtId="2" fontId="45" fillId="27" borderId="3" xfId="0" applyNumberFormat="1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80" fillId="5" borderId="3" xfId="0" applyFont="1" applyFill="1" applyBorder="1" applyAlignment="1">
      <alignment horizontal="center" vertical="center"/>
    </xf>
    <xf numFmtId="2" fontId="81" fillId="0" borderId="3" xfId="0" applyNumberFormat="1" applyFont="1" applyBorder="1" applyAlignment="1">
      <alignment horizontal="center" vertical="center"/>
    </xf>
    <xf numFmtId="190" fontId="25" fillId="0" borderId="3" xfId="0" applyNumberFormat="1" applyFont="1" applyBorder="1" applyAlignment="1">
      <alignment horizontal="center" vertical="center"/>
    </xf>
    <xf numFmtId="0" fontId="45" fillId="0" borderId="38" xfId="5" applyBorder="1" applyAlignment="1">
      <alignment vertical="center"/>
    </xf>
    <xf numFmtId="0" fontId="0" fillId="0" borderId="30" xfId="0" applyBorder="1" applyAlignment="1"/>
    <xf numFmtId="0" fontId="0" fillId="0" borderId="49" xfId="0" applyBorder="1" applyAlignment="1"/>
    <xf numFmtId="0" fontId="82" fillId="0" borderId="0" xfId="0" applyFont="1">
      <alignment vertical="center"/>
    </xf>
    <xf numFmtId="0" fontId="45" fillId="0" borderId="60" xfId="5" applyBorder="1" applyAlignment="1">
      <alignment vertical="center"/>
    </xf>
    <xf numFmtId="0" fontId="0" fillId="0" borderId="85" xfId="0" applyBorder="1" applyAlignment="1"/>
    <xf numFmtId="0" fontId="0" fillId="0" borderId="64" xfId="0" applyBorder="1" applyAlignment="1"/>
    <xf numFmtId="0" fontId="45" fillId="3" borderId="21" xfId="0" applyFont="1" applyFill="1" applyBorder="1">
      <alignment vertical="center"/>
    </xf>
    <xf numFmtId="0" fontId="0" fillId="0" borderId="21" xfId="0" applyBorder="1" applyAlignment="1"/>
    <xf numFmtId="166" fontId="81" fillId="0" borderId="3" xfId="0" applyNumberFormat="1" applyFont="1" applyBorder="1" applyAlignment="1">
      <alignment horizontal="center" vertical="center"/>
    </xf>
    <xf numFmtId="190" fontId="25" fillId="0" borderId="0" xfId="0" applyNumberFormat="1" applyFont="1">
      <alignment vertical="center"/>
    </xf>
    <xf numFmtId="0" fontId="34" fillId="0" borderId="87" xfId="0" applyFont="1" applyBorder="1" applyAlignment="1">
      <alignment horizontal="center" vertical="center" wrapText="1"/>
    </xf>
    <xf numFmtId="0" fontId="33" fillId="0" borderId="60" xfId="0" applyFont="1" applyBorder="1" applyAlignment="1"/>
    <xf numFmtId="0" fontId="33" fillId="0" borderId="38" xfId="0" applyFont="1" applyBorder="1" applyAlignment="1"/>
    <xf numFmtId="0" fontId="33" fillId="0" borderId="88" xfId="0" applyFont="1" applyBorder="1" applyAlignment="1"/>
    <xf numFmtId="2" fontId="7" fillId="28" borderId="3" xfId="0" applyNumberFormat="1" applyFont="1" applyFill="1" applyBorder="1" applyAlignment="1">
      <alignment horizontal="center" vertical="center"/>
    </xf>
    <xf numFmtId="1" fontId="7" fillId="28" borderId="0" xfId="0" applyNumberFormat="1" applyFont="1" applyFill="1" applyAlignment="1">
      <alignment horizontal="center" vertical="center"/>
    </xf>
    <xf numFmtId="1" fontId="7" fillId="28" borderId="0" xfId="0" applyNumberFormat="1" applyFont="1" applyFill="1" applyAlignment="1">
      <alignment horizontal="center"/>
    </xf>
    <xf numFmtId="0" fontId="84" fillId="0" borderId="0" xfId="0" applyFont="1">
      <alignment vertical="center"/>
    </xf>
    <xf numFmtId="0" fontId="85" fillId="0" borderId="3" xfId="0" applyFont="1" applyBorder="1" applyAlignment="1">
      <alignment horizontal="right" vertical="center"/>
    </xf>
    <xf numFmtId="0" fontId="85" fillId="0" borderId="3" xfId="0" applyFont="1" applyBorder="1">
      <alignment vertical="center"/>
    </xf>
    <xf numFmtId="9" fontId="65" fillId="0" borderId="3" xfId="0" applyNumberFormat="1" applyFont="1" applyBorder="1" applyAlignment="1">
      <alignment horizontal="center" vertical="center"/>
    </xf>
    <xf numFmtId="0" fontId="85" fillId="0" borderId="0" xfId="0" applyFont="1">
      <alignment vertical="center"/>
    </xf>
    <xf numFmtId="9" fontId="85" fillId="0" borderId="3" xfId="0" applyNumberFormat="1" applyFont="1" applyBorder="1" applyAlignment="1">
      <alignment horizontal="center" vertical="center"/>
    </xf>
    <xf numFmtId="9" fontId="86" fillId="0" borderId="3" xfId="0" applyNumberFormat="1" applyFont="1" applyBorder="1">
      <alignment vertical="center"/>
    </xf>
    <xf numFmtId="9" fontId="87" fillId="3" borderId="3" xfId="0" applyNumberFormat="1" applyFont="1" applyFill="1" applyBorder="1">
      <alignment vertical="center"/>
    </xf>
    <xf numFmtId="9" fontId="86" fillId="0" borderId="0" xfId="0" applyNumberFormat="1" applyFont="1" applyAlignment="1">
      <alignment horizontal="center" vertical="center"/>
    </xf>
    <xf numFmtId="0" fontId="25" fillId="0" borderId="3" xfId="0" applyFont="1" applyBorder="1" applyAlignment="1" applyProtection="1">
      <alignment horizontal="center" vertical="center"/>
      <protection locked="0"/>
    </xf>
    <xf numFmtId="0" fontId="25" fillId="0" borderId="38" xfId="0" applyFont="1" applyBorder="1" applyProtection="1">
      <alignment vertical="center"/>
      <protection locked="0"/>
    </xf>
    <xf numFmtId="0" fontId="25" fillId="0" borderId="30" xfId="0" applyFont="1" applyBorder="1" applyProtection="1">
      <alignment vertical="center"/>
      <protection locked="0"/>
    </xf>
    <xf numFmtId="0" fontId="25" fillId="0" borderId="49" xfId="0" applyFont="1" applyBorder="1" applyProtection="1">
      <alignment vertical="center"/>
      <protection locked="0"/>
    </xf>
    <xf numFmtId="0" fontId="25" fillId="0" borderId="38" xfId="0" applyFont="1" applyBorder="1" applyAlignment="1">
      <alignment horizontal="left" vertical="center"/>
    </xf>
    <xf numFmtId="172" fontId="25" fillId="3" borderId="0" xfId="0" applyNumberFormat="1" applyFont="1" applyFill="1" applyAlignment="1">
      <alignment horizontal="left" vertical="center"/>
    </xf>
    <xf numFmtId="174" fontId="25" fillId="3" borderId="0" xfId="0" applyNumberFormat="1" applyFont="1" applyFill="1" applyAlignment="1">
      <alignment horizontal="left" vertical="center"/>
    </xf>
    <xf numFmtId="0" fontId="35" fillId="3" borderId="0" xfId="0" applyFont="1" applyFill="1">
      <alignment vertical="center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>
      <alignment vertical="center"/>
    </xf>
    <xf numFmtId="168" fontId="25" fillId="3" borderId="0" xfId="0" applyNumberFormat="1" applyFont="1" applyFill="1" applyAlignment="1">
      <alignment horizontal="left" vertical="center"/>
    </xf>
    <xf numFmtId="0" fontId="64" fillId="0" borderId="0" xfId="0" applyFont="1" applyAlignment="1" applyProtection="1">
      <protection locked="0"/>
    </xf>
    <xf numFmtId="0" fontId="25" fillId="3" borderId="0" xfId="5" applyFont="1" applyFill="1" applyAlignment="1" applyProtection="1">
      <alignment vertical="center"/>
      <protection locked="0"/>
    </xf>
    <xf numFmtId="0" fontId="90" fillId="0" borderId="0" xfId="0" applyFont="1" applyAlignment="1" applyProtection="1">
      <protection locked="0"/>
    </xf>
    <xf numFmtId="0" fontId="34" fillId="3" borderId="0" xfId="5" applyFont="1" applyFill="1" applyAlignment="1" applyProtection="1">
      <alignment vertical="center"/>
      <protection locked="0"/>
    </xf>
    <xf numFmtId="0" fontId="25" fillId="3" borderId="0" xfId="0" applyFont="1" applyFill="1" applyProtection="1">
      <alignment vertical="center"/>
      <protection locked="0"/>
    </xf>
    <xf numFmtId="0" fontId="25" fillId="3" borderId="0" xfId="5" quotePrefix="1" applyFont="1" applyFill="1" applyAlignment="1" applyProtection="1">
      <alignment vertical="center"/>
      <protection locked="0"/>
    </xf>
    <xf numFmtId="0" fontId="45" fillId="0" borderId="3" xfId="0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 wrapText="1"/>
    </xf>
    <xf numFmtId="0" fontId="45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45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5" fillId="0" borderId="3" xfId="0" applyFont="1" applyBorder="1" applyAlignment="1">
      <alignment vertical="top" wrapText="1"/>
    </xf>
    <xf numFmtId="167" fontId="50" fillId="13" borderId="33" xfId="0" applyNumberFormat="1" applyFont="1" applyFill="1" applyBorder="1" applyAlignment="1">
      <alignment horizontal="center" vertical="center"/>
    </xf>
    <xf numFmtId="2" fontId="45" fillId="19" borderId="0" xfId="0" applyNumberFormat="1" applyFont="1" applyFill="1" applyAlignment="1">
      <alignment horizontal="center"/>
    </xf>
    <xf numFmtId="179" fontId="25" fillId="0" borderId="38" xfId="0" applyNumberFormat="1" applyFont="1" applyBorder="1" applyAlignment="1">
      <alignment horizontal="right" vertical="center"/>
    </xf>
    <xf numFmtId="179" fontId="33" fillId="0" borderId="38" xfId="0" applyNumberFormat="1" applyFont="1" applyBorder="1" applyAlignment="1">
      <alignment horizontal="right" vertical="center"/>
    </xf>
    <xf numFmtId="0" fontId="25" fillId="0" borderId="49" xfId="0" applyFont="1" applyBorder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0" fontId="0" fillId="0" borderId="0" xfId="0" quotePrefix="1">
      <alignment vertical="center"/>
    </xf>
    <xf numFmtId="0" fontId="0" fillId="0" borderId="3" xfId="0" quotePrefix="1" applyBorder="1">
      <alignment vertical="center"/>
    </xf>
    <xf numFmtId="0" fontId="33" fillId="0" borderId="0" xfId="0" applyFont="1" applyAlignment="1" applyProtection="1">
      <alignment horizontal="right" vertical="center"/>
      <protection hidden="1"/>
    </xf>
    <xf numFmtId="0" fontId="58" fillId="0" borderId="0" xfId="0" applyFont="1" applyProtection="1">
      <alignment vertical="center"/>
      <protection hidden="1"/>
    </xf>
    <xf numFmtId="2" fontId="84" fillId="0" borderId="0" xfId="0" applyNumberFormat="1" applyFont="1">
      <alignment vertical="center"/>
    </xf>
    <xf numFmtId="2" fontId="0" fillId="20" borderId="3" xfId="0" applyNumberFormat="1" applyFill="1" applyBorder="1" applyAlignment="1">
      <alignment horizontal="center" vertical="center"/>
    </xf>
    <xf numFmtId="2" fontId="0" fillId="7" borderId="38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5" borderId="3" xfId="0" applyFill="1" applyBorder="1" applyAlignment="1">
      <alignment vertical="center" wrapText="1"/>
    </xf>
    <xf numFmtId="0" fontId="0" fillId="5" borderId="0" xfId="0" applyFill="1">
      <alignment vertical="center"/>
    </xf>
    <xf numFmtId="0" fontId="45" fillId="5" borderId="3" xfId="0" applyFont="1" applyFill="1" applyBorder="1">
      <alignment vertical="center"/>
    </xf>
    <xf numFmtId="2" fontId="7" fillId="0" borderId="64" xfId="0" applyNumberFormat="1" applyFont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top" wrapText="1"/>
    </xf>
    <xf numFmtId="2" fontId="0" fillId="20" borderId="3" xfId="0" applyNumberFormat="1" applyFill="1" applyBorder="1" applyAlignment="1">
      <alignment horizontal="center"/>
    </xf>
    <xf numFmtId="2" fontId="7" fillId="0" borderId="0" xfId="0" applyNumberFormat="1" applyFont="1">
      <alignment vertical="center"/>
    </xf>
    <xf numFmtId="2" fontId="91" fillId="0" borderId="0" xfId="0" applyNumberFormat="1" applyFont="1" applyAlignment="1">
      <alignment horizontal="center" vertical="center"/>
    </xf>
    <xf numFmtId="2" fontId="7" fillId="28" borderId="3" xfId="0" applyNumberFormat="1" applyFont="1" applyFill="1" applyBorder="1" applyAlignment="1">
      <alignment horizontal="center"/>
    </xf>
    <xf numFmtId="2" fontId="7" fillId="28" borderId="38" xfId="0" applyNumberFormat="1" applyFont="1" applyFill="1" applyBorder="1" applyAlignment="1">
      <alignment horizontal="center" vertical="center"/>
    </xf>
    <xf numFmtId="164" fontId="10" fillId="3" borderId="38" xfId="0" applyNumberFormat="1" applyFont="1" applyFill="1" applyBorder="1" applyAlignment="1">
      <alignment horizontal="center" vertical="center"/>
    </xf>
    <xf numFmtId="0" fontId="33" fillId="29" borderId="0" xfId="0" applyFont="1" applyFill="1">
      <alignment vertical="center"/>
    </xf>
    <xf numFmtId="0" fontId="45" fillId="29" borderId="3" xfId="0" applyFont="1" applyFill="1" applyBorder="1" applyAlignment="1">
      <alignment horizontal="left" vertical="center"/>
    </xf>
    <xf numFmtId="0" fontId="0" fillId="29" borderId="0" xfId="0" applyFill="1">
      <alignment vertical="center"/>
    </xf>
    <xf numFmtId="2" fontId="45" fillId="29" borderId="0" xfId="0" applyNumberFormat="1" applyFont="1" applyFill="1" applyAlignment="1"/>
    <xf numFmtId="0" fontId="33" fillId="0" borderId="49" xfId="0" applyFont="1" applyBorder="1" applyAlignment="1">
      <alignment horizontal="left" vertical="center"/>
    </xf>
    <xf numFmtId="0" fontId="33" fillId="0" borderId="66" xfId="0" applyFont="1" applyBorder="1" applyAlignment="1">
      <alignment horizontal="center" vertical="center"/>
    </xf>
    <xf numFmtId="0" fontId="33" fillId="0" borderId="91" xfId="0" applyFont="1" applyBorder="1">
      <alignment vertical="center"/>
    </xf>
    <xf numFmtId="0" fontId="33" fillId="0" borderId="67" xfId="0" applyFont="1" applyBorder="1">
      <alignment vertical="center"/>
    </xf>
    <xf numFmtId="0" fontId="33" fillId="0" borderId="68" xfId="0" applyFont="1" applyBorder="1">
      <alignment vertical="center"/>
    </xf>
    <xf numFmtId="0" fontId="33" fillId="0" borderId="54" xfId="0" applyFont="1" applyBorder="1" applyAlignment="1">
      <alignment horizontal="center" vertical="center"/>
    </xf>
    <xf numFmtId="0" fontId="33" fillId="0" borderId="55" xfId="0" applyFont="1" applyBorder="1">
      <alignment vertical="center"/>
    </xf>
    <xf numFmtId="0" fontId="33" fillId="0" borderId="62" xfId="0" applyFont="1" applyBorder="1">
      <alignment vertical="center"/>
    </xf>
    <xf numFmtId="0" fontId="33" fillId="0" borderId="57" xfId="0" applyFont="1" applyBorder="1" applyAlignment="1">
      <alignment horizontal="center" vertical="center"/>
    </xf>
    <xf numFmtId="2" fontId="33" fillId="0" borderId="91" xfId="0" applyNumberFormat="1" applyFont="1" applyBorder="1">
      <alignment vertical="center"/>
    </xf>
    <xf numFmtId="166" fontId="33" fillId="0" borderId="68" xfId="0" applyNumberFormat="1" applyFont="1" applyBorder="1">
      <alignment vertical="center"/>
    </xf>
    <xf numFmtId="2" fontId="33" fillId="0" borderId="55" xfId="0" applyNumberFormat="1" applyFont="1" applyBorder="1">
      <alignment vertical="center"/>
    </xf>
    <xf numFmtId="2" fontId="33" fillId="0" borderId="58" xfId="0" applyNumberFormat="1" applyFont="1" applyBorder="1">
      <alignment vertical="center"/>
    </xf>
    <xf numFmtId="0" fontId="33" fillId="0" borderId="70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1" fontId="33" fillId="0" borderId="72" xfId="0" applyNumberFormat="1" applyFont="1" applyBorder="1" applyAlignment="1">
      <alignment horizontal="center" vertical="center"/>
    </xf>
    <xf numFmtId="1" fontId="33" fillId="0" borderId="73" xfId="0" applyNumberFormat="1" applyFont="1" applyBorder="1" applyAlignment="1">
      <alignment horizontal="center" vertical="center"/>
    </xf>
    <xf numFmtId="1" fontId="33" fillId="0" borderId="74" xfId="0" applyNumberFormat="1" applyFont="1" applyBorder="1" applyAlignment="1">
      <alignment horizontal="center" vertical="center"/>
    </xf>
    <xf numFmtId="166" fontId="33" fillId="0" borderId="26" xfId="0" applyNumberFormat="1" applyFont="1" applyBorder="1" applyAlignment="1">
      <alignment horizontal="center" vertical="center"/>
    </xf>
    <xf numFmtId="166" fontId="33" fillId="0" borderId="3" xfId="0" applyNumberFormat="1" applyFont="1" applyBorder="1" applyAlignment="1">
      <alignment horizontal="center" vertical="center"/>
    </xf>
    <xf numFmtId="1" fontId="33" fillId="0" borderId="3" xfId="0" applyNumberFormat="1" applyFont="1" applyBorder="1" applyAlignment="1">
      <alignment horizontal="center" vertical="center"/>
    </xf>
    <xf numFmtId="0" fontId="45" fillId="0" borderId="0" xfId="4"/>
    <xf numFmtId="0" fontId="7" fillId="0" borderId="0" xfId="4" applyFont="1" applyAlignment="1" applyProtection="1">
      <alignment horizontal="center" wrapText="1"/>
      <protection hidden="1"/>
    </xf>
    <xf numFmtId="0" fontId="45" fillId="0" borderId="0" xfId="4" applyProtection="1">
      <protection locked="0"/>
    </xf>
    <xf numFmtId="0" fontId="95" fillId="0" borderId="0" xfId="4" applyFont="1" applyAlignment="1">
      <alignment horizontal="center" vertical="center" wrapText="1"/>
    </xf>
    <xf numFmtId="0" fontId="7" fillId="0" borderId="0" xfId="4" applyFont="1" applyProtection="1">
      <protection locked="0"/>
    </xf>
    <xf numFmtId="0" fontId="9" fillId="0" borderId="38" xfId="4" applyFont="1" applyBorder="1" applyAlignment="1">
      <alignment horizontal="left" vertical="top" wrapText="1"/>
    </xf>
    <xf numFmtId="0" fontId="9" fillId="0" borderId="49" xfId="4" applyFont="1" applyBorder="1" applyAlignment="1">
      <alignment horizontal="left" vertical="top" wrapText="1"/>
    </xf>
    <xf numFmtId="0" fontId="45" fillId="0" borderId="0" xfId="4" applyAlignment="1">
      <alignment horizontal="left" vertical="top"/>
    </xf>
    <xf numFmtId="0" fontId="9" fillId="0" borderId="49" xfId="4" applyFont="1" applyBorder="1" applyAlignment="1">
      <alignment horizontal="left" vertical="top"/>
    </xf>
    <xf numFmtId="0" fontId="9" fillId="0" borderId="0" xfId="4" applyFont="1" applyAlignment="1">
      <alignment vertical="center" wrapText="1"/>
    </xf>
    <xf numFmtId="0" fontId="9" fillId="0" borderId="0" xfId="4" applyFont="1" applyAlignment="1">
      <alignment horizontal="center" vertical="center" wrapText="1"/>
    </xf>
    <xf numFmtId="0" fontId="98" fillId="0" borderId="0" xfId="4" applyFont="1"/>
    <xf numFmtId="0" fontId="45" fillId="0" borderId="0" xfId="4" applyAlignment="1">
      <alignment vertical="top" wrapText="1"/>
    </xf>
    <xf numFmtId="0" fontId="9" fillId="0" borderId="38" xfId="4" applyFont="1" applyBorder="1" applyAlignment="1">
      <alignment vertical="top"/>
    </xf>
    <xf numFmtId="0" fontId="9" fillId="0" borderId="49" xfId="4" applyFont="1" applyBorder="1" applyAlignment="1" applyProtection="1">
      <alignment vertical="top" wrapText="1"/>
      <protection locked="0"/>
    </xf>
    <xf numFmtId="0" fontId="9" fillId="0" borderId="49" xfId="4" applyFont="1" applyBorder="1" applyAlignment="1" applyProtection="1">
      <alignment vertical="top"/>
      <protection locked="0"/>
    </xf>
    <xf numFmtId="0" fontId="56" fillId="0" borderId="0" xfId="4" applyFont="1" applyAlignment="1">
      <alignment vertical="top"/>
    </xf>
    <xf numFmtId="0" fontId="9" fillId="0" borderId="0" xfId="4" applyFont="1" applyAlignment="1" applyProtection="1">
      <alignment horizontal="center" vertical="top" wrapText="1"/>
      <protection locked="0"/>
    </xf>
    <xf numFmtId="0" fontId="95" fillId="0" borderId="0" xfId="4" applyFont="1" applyAlignment="1">
      <alignment wrapText="1"/>
    </xf>
    <xf numFmtId="0" fontId="92" fillId="0" borderId="0" xfId="4" applyFont="1" applyAlignment="1">
      <alignment horizontal="center"/>
    </xf>
    <xf numFmtId="0" fontId="3" fillId="0" borderId="0" xfId="4" applyFont="1"/>
    <xf numFmtId="0" fontId="9" fillId="0" borderId="0" xfId="4" applyFont="1" applyAlignment="1">
      <alignment horizontal="center" vertical="top" wrapText="1"/>
    </xf>
    <xf numFmtId="0" fontId="9" fillId="0" borderId="0" xfId="4" applyFont="1" applyAlignment="1">
      <alignment vertical="top" wrapText="1"/>
    </xf>
    <xf numFmtId="0" fontId="9" fillId="0" borderId="0" xfId="4" applyFont="1" applyAlignment="1">
      <alignment horizontal="justify" vertical="center" wrapText="1"/>
    </xf>
    <xf numFmtId="0" fontId="99" fillId="0" borderId="0" xfId="4" applyFont="1" applyAlignment="1">
      <alignment vertical="center"/>
    </xf>
    <xf numFmtId="0" fontId="45" fillId="0" borderId="1" xfId="4" applyBorder="1"/>
    <xf numFmtId="0" fontId="100" fillId="0" borderId="92" xfId="4" applyFont="1" applyBorder="1"/>
    <xf numFmtId="0" fontId="45" fillId="0" borderId="4" xfId="4" applyBorder="1"/>
    <xf numFmtId="0" fontId="45" fillId="0" borderId="5" xfId="4" applyBorder="1"/>
    <xf numFmtId="0" fontId="45" fillId="0" borderId="4" xfId="4" applyBorder="1" applyAlignment="1">
      <alignment wrapText="1"/>
    </xf>
    <xf numFmtId="0" fontId="45" fillId="0" borderId="5" xfId="4" applyBorder="1" applyAlignment="1">
      <alignment wrapText="1"/>
    </xf>
    <xf numFmtId="0" fontId="100" fillId="0" borderId="5" xfId="4" applyFont="1" applyBorder="1"/>
    <xf numFmtId="0" fontId="101" fillId="0" borderId="5" xfId="4" applyFont="1" applyBorder="1" applyAlignment="1">
      <alignment horizontal="left" wrapText="1"/>
    </xf>
    <xf numFmtId="0" fontId="45" fillId="0" borderId="0" xfId="4" applyAlignment="1">
      <alignment wrapText="1"/>
    </xf>
    <xf numFmtId="0" fontId="101" fillId="0" borderId="4" xfId="4" applyFont="1" applyBorder="1" applyAlignment="1">
      <alignment wrapText="1"/>
    </xf>
    <xf numFmtId="185" fontId="101" fillId="0" borderId="5" xfId="4" applyNumberFormat="1" applyFont="1" applyBorder="1" applyAlignment="1">
      <alignment horizontal="left"/>
    </xf>
    <xf numFmtId="185" fontId="45" fillId="0" borderId="5" xfId="4" applyNumberFormat="1" applyBorder="1"/>
    <xf numFmtId="0" fontId="102" fillId="0" borderId="5" xfId="4" applyFont="1" applyBorder="1" applyAlignment="1">
      <alignment horizontal="left" wrapText="1"/>
    </xf>
    <xf numFmtId="0" fontId="101" fillId="0" borderId="5" xfId="4" applyFont="1" applyBorder="1" applyAlignment="1">
      <alignment wrapText="1"/>
    </xf>
    <xf numFmtId="0" fontId="101" fillId="0" borderId="4" xfId="4" applyFont="1" applyBorder="1"/>
    <xf numFmtId="0" fontId="101" fillId="0" borderId="6" xfId="4" applyFont="1" applyBorder="1"/>
    <xf numFmtId="0" fontId="101" fillId="0" borderId="10" xfId="4" applyFont="1" applyBorder="1" applyAlignment="1">
      <alignment wrapText="1"/>
    </xf>
    <xf numFmtId="166" fontId="33" fillId="0" borderId="0" xfId="5" applyNumberFormat="1" applyFont="1" applyAlignment="1" applyProtection="1">
      <alignment horizontal="center" vertical="center"/>
      <protection hidden="1"/>
    </xf>
    <xf numFmtId="2" fontId="33" fillId="0" borderId="0" xfId="5" applyNumberFormat="1" applyFont="1" applyAlignment="1" applyProtection="1">
      <alignment vertical="center"/>
      <protection hidden="1"/>
    </xf>
    <xf numFmtId="182" fontId="33" fillId="0" borderId="68" xfId="0" applyNumberFormat="1" applyFont="1" applyBorder="1">
      <alignment vertical="center"/>
    </xf>
    <xf numFmtId="183" fontId="33" fillId="0" borderId="62" xfId="0" applyNumberFormat="1" applyFont="1" applyBorder="1">
      <alignment vertical="center"/>
    </xf>
    <xf numFmtId="184" fontId="33" fillId="0" borderId="63" xfId="0" applyNumberFormat="1" applyFont="1" applyBorder="1">
      <alignment vertical="center"/>
    </xf>
    <xf numFmtId="0" fontId="103" fillId="0" borderId="3" xfId="0" applyFont="1" applyBorder="1" applyAlignment="1">
      <alignment horizontal="center" vertical="center"/>
    </xf>
    <xf numFmtId="0" fontId="33" fillId="0" borderId="91" xfId="0" applyFont="1" applyBorder="1" applyAlignment="1">
      <alignment horizontal="right" vertical="center"/>
    </xf>
    <xf numFmtId="0" fontId="33" fillId="0" borderId="68" xfId="0" applyFont="1" applyBorder="1" applyProtection="1">
      <alignment vertical="center"/>
      <protection hidden="1"/>
    </xf>
    <xf numFmtId="0" fontId="33" fillId="0" borderId="62" xfId="0" applyFont="1" applyBorder="1" applyProtection="1">
      <alignment vertical="center"/>
      <protection hidden="1"/>
    </xf>
    <xf numFmtId="0" fontId="33" fillId="0" borderId="63" xfId="0" applyFont="1" applyBorder="1" applyProtection="1">
      <alignment vertical="center"/>
      <protection hidden="1"/>
    </xf>
    <xf numFmtId="0" fontId="33" fillId="0" borderId="0" xfId="0" quotePrefix="1" applyFont="1" applyAlignment="1" applyProtection="1">
      <alignment horizontal="left" vertical="center"/>
      <protection locked="0"/>
    </xf>
    <xf numFmtId="0" fontId="33" fillId="0" borderId="0" xfId="0" quotePrefix="1" applyFont="1" applyProtection="1">
      <alignment vertical="center"/>
      <protection locked="0"/>
    </xf>
    <xf numFmtId="0" fontId="40" fillId="0" borderId="0" xfId="0" applyFont="1">
      <alignment vertical="center"/>
    </xf>
    <xf numFmtId="0" fontId="33" fillId="0" borderId="3" xfId="0" applyFont="1" applyBorder="1">
      <alignment vertical="center"/>
    </xf>
    <xf numFmtId="166" fontId="33" fillId="0" borderId="16" xfId="0" applyNumberFormat="1" applyFont="1" applyBorder="1" applyAlignment="1">
      <alignment horizontal="center" vertical="center"/>
    </xf>
    <xf numFmtId="166" fontId="33" fillId="0" borderId="50" xfId="0" applyNumberFormat="1" applyFont="1" applyBorder="1">
      <alignment vertical="center"/>
    </xf>
    <xf numFmtId="0" fontId="33" fillId="0" borderId="3" xfId="0" applyFont="1" applyBorder="1" applyAlignment="1" applyProtection="1">
      <alignment horizontal="center" vertical="center"/>
      <protection locked="0"/>
    </xf>
    <xf numFmtId="190" fontId="33" fillId="0" borderId="0" xfId="0" applyNumberFormat="1" applyFont="1">
      <alignment vertical="center"/>
    </xf>
    <xf numFmtId="0" fontId="25" fillId="0" borderId="38" xfId="0" applyFont="1" applyBorder="1" applyAlignment="1" applyProtection="1">
      <alignment horizontal="left" vertical="center"/>
      <protection locked="0"/>
    </xf>
    <xf numFmtId="0" fontId="33" fillId="0" borderId="30" xfId="0" applyFont="1" applyBorder="1">
      <alignment vertical="center"/>
    </xf>
    <xf numFmtId="0" fontId="33" fillId="0" borderId="30" xfId="0" applyFont="1" applyBorder="1" applyAlignment="1">
      <alignment horizontal="center" vertical="center"/>
    </xf>
    <xf numFmtId="9" fontId="33" fillId="0" borderId="0" xfId="0" applyNumberFormat="1" applyFont="1">
      <alignment vertical="center"/>
    </xf>
    <xf numFmtId="0" fontId="33" fillId="0" borderId="53" xfId="0" applyFont="1" applyBorder="1" applyAlignment="1">
      <alignment horizontal="center" vertical="center"/>
    </xf>
    <xf numFmtId="0" fontId="33" fillId="0" borderId="61" xfId="0" applyFont="1" applyBorder="1">
      <alignment vertical="center"/>
    </xf>
    <xf numFmtId="0" fontId="33" fillId="0" borderId="52" xfId="0" applyFont="1" applyBorder="1" applyAlignment="1" applyProtection="1">
      <alignment horizontal="right" vertical="center"/>
      <protection locked="0"/>
    </xf>
    <xf numFmtId="0" fontId="33" fillId="0" borderId="59" xfId="0" applyFont="1" applyBorder="1" applyAlignment="1">
      <alignment horizontal="center" vertical="center"/>
    </xf>
    <xf numFmtId="0" fontId="33" fillId="0" borderId="58" xfId="0" applyFont="1" applyBorder="1" applyAlignment="1" applyProtection="1">
      <alignment horizontal="right" vertical="center"/>
      <protection locked="0"/>
    </xf>
    <xf numFmtId="0" fontId="42" fillId="0" borderId="0" xfId="0" applyFont="1">
      <alignment vertical="center"/>
    </xf>
    <xf numFmtId="0" fontId="33" fillId="0" borderId="3" xfId="0" applyFont="1" applyBorder="1" applyAlignment="1">
      <alignment horizontal="center" vertical="center" wrapText="1"/>
    </xf>
    <xf numFmtId="2" fontId="33" fillId="0" borderId="3" xfId="0" applyNumberFormat="1" applyFont="1" applyBorder="1" applyAlignment="1" applyProtection="1">
      <alignment horizontal="center" vertical="center"/>
      <protection locked="0"/>
    </xf>
    <xf numFmtId="167" fontId="33" fillId="0" borderId="0" xfId="0" applyNumberFormat="1" applyFont="1" applyAlignment="1">
      <alignment horizontal="right" vertical="center"/>
    </xf>
    <xf numFmtId="164" fontId="33" fillId="0" borderId="43" xfId="0" applyNumberFormat="1" applyFont="1" applyBorder="1" applyAlignment="1">
      <alignment horizontal="center" vertical="center"/>
    </xf>
    <xf numFmtId="167" fontId="33" fillId="0" borderId="71" xfId="0" applyNumberFormat="1" applyFont="1" applyBorder="1" applyAlignment="1">
      <alignment horizontal="center" vertical="center" wrapText="1"/>
    </xf>
    <xf numFmtId="167" fontId="33" fillId="0" borderId="35" xfId="0" applyNumberFormat="1" applyFont="1" applyBorder="1" applyAlignment="1">
      <alignment horizontal="center" vertical="center"/>
    </xf>
    <xf numFmtId="0" fontId="105" fillId="0" borderId="0" xfId="0" applyFont="1">
      <alignment vertical="center"/>
    </xf>
    <xf numFmtId="166" fontId="33" fillId="0" borderId="64" xfId="0" applyNumberFormat="1" applyFont="1" applyBorder="1" applyAlignment="1">
      <alignment horizontal="center" vertical="center"/>
    </xf>
    <xf numFmtId="166" fontId="33" fillId="0" borderId="21" xfId="0" applyNumberFormat="1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1" fontId="33" fillId="0" borderId="21" xfId="0" applyNumberFormat="1" applyFont="1" applyBorder="1" applyAlignment="1">
      <alignment horizontal="center" vertical="center"/>
    </xf>
    <xf numFmtId="1" fontId="33" fillId="0" borderId="22" xfId="0" applyNumberFormat="1" applyFont="1" applyBorder="1" applyAlignment="1">
      <alignment horizontal="center" vertical="center"/>
    </xf>
    <xf numFmtId="166" fontId="33" fillId="0" borderId="49" xfId="0" applyNumberFormat="1" applyFont="1" applyBorder="1" applyAlignment="1">
      <alignment horizontal="center" vertical="center"/>
    </xf>
    <xf numFmtId="1" fontId="33" fillId="0" borderId="23" xfId="0" applyNumberFormat="1" applyFont="1" applyBorder="1" applyAlignment="1">
      <alignment horizontal="center" vertical="center"/>
    </xf>
    <xf numFmtId="166" fontId="33" fillId="0" borderId="23" xfId="0" applyNumberFormat="1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2" fontId="33" fillId="0" borderId="25" xfId="0" applyNumberFormat="1" applyFont="1" applyBorder="1" applyAlignment="1">
      <alignment horizontal="center" vertical="center"/>
    </xf>
    <xf numFmtId="2" fontId="33" fillId="0" borderId="0" xfId="0" applyNumberFormat="1" applyFont="1" applyProtection="1">
      <alignment vertical="center"/>
      <protection locked="0"/>
    </xf>
    <xf numFmtId="0" fontId="45" fillId="0" borderId="0" xfId="0" applyFont="1" applyProtection="1">
      <alignment vertical="center"/>
      <protection locked="0"/>
    </xf>
    <xf numFmtId="170" fontId="33" fillId="0" borderId="0" xfId="0" applyNumberFormat="1" applyFont="1">
      <alignment vertical="center"/>
    </xf>
    <xf numFmtId="2" fontId="33" fillId="0" borderId="0" xfId="0" applyNumberFormat="1" applyFont="1" applyAlignment="1" applyProtection="1">
      <alignment horizontal="center" vertical="center"/>
      <protection locked="0"/>
    </xf>
    <xf numFmtId="0" fontId="83" fillId="0" borderId="0" xfId="0" applyFont="1">
      <alignment vertical="center"/>
    </xf>
    <xf numFmtId="0" fontId="42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left" vertical="center"/>
      <protection locked="0"/>
    </xf>
    <xf numFmtId="166" fontId="32" fillId="0" borderId="3" xfId="0" applyNumberFormat="1" applyFont="1" applyBorder="1" applyAlignment="1" applyProtection="1">
      <alignment horizontal="center" vertical="center"/>
      <protection locked="0"/>
    </xf>
    <xf numFmtId="166" fontId="32" fillId="0" borderId="16" xfId="0" applyNumberFormat="1" applyFont="1" applyBorder="1" applyAlignment="1" applyProtection="1">
      <alignment horizontal="center" vertical="center"/>
      <protection locked="0"/>
    </xf>
    <xf numFmtId="166" fontId="32" fillId="0" borderId="50" xfId="0" applyNumberFormat="1" applyFont="1" applyBorder="1" applyAlignment="1" applyProtection="1">
      <alignment horizontal="center" vertical="center"/>
      <protection locked="0"/>
    </xf>
    <xf numFmtId="0" fontId="33" fillId="0" borderId="64" xfId="0" applyFont="1" applyBorder="1">
      <alignment vertical="center"/>
    </xf>
    <xf numFmtId="0" fontId="32" fillId="0" borderId="38" xfId="0" applyFont="1" applyBorder="1" applyAlignment="1" applyProtection="1">
      <alignment horizontal="right" vertical="center"/>
      <protection locked="0"/>
    </xf>
    <xf numFmtId="0" fontId="32" fillId="0" borderId="38" xfId="0" quotePrefix="1" applyFont="1" applyBorder="1" applyAlignment="1" applyProtection="1">
      <alignment horizontal="right" vertical="center"/>
      <protection locked="0"/>
    </xf>
    <xf numFmtId="2" fontId="32" fillId="0" borderId="3" xfId="0" applyNumberFormat="1" applyFont="1" applyBorder="1" applyAlignment="1" applyProtection="1">
      <alignment horizontal="center" vertical="center"/>
      <protection locked="0"/>
    </xf>
    <xf numFmtId="164" fontId="32" fillId="0" borderId="3" xfId="0" applyNumberFormat="1" applyFont="1" applyBorder="1" applyAlignment="1" applyProtection="1">
      <alignment horizontal="center" vertical="center"/>
      <protection locked="0"/>
    </xf>
    <xf numFmtId="0" fontId="34" fillId="0" borderId="0" xfId="0" applyFont="1" applyAlignment="1" applyProtection="1">
      <protection locked="0"/>
    </xf>
    <xf numFmtId="0" fontId="25" fillId="0" borderId="0" xfId="0" applyFont="1" applyAlignment="1" applyProtection="1">
      <protection locked="0"/>
    </xf>
    <xf numFmtId="166" fontId="32" fillId="11" borderId="0" xfId="0" applyNumberFormat="1" applyFont="1" applyFill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applyFont="1">
      <alignment vertical="center"/>
    </xf>
    <xf numFmtId="0" fontId="32" fillId="0" borderId="55" xfId="0" applyFont="1" applyBorder="1">
      <alignment vertical="center"/>
    </xf>
    <xf numFmtId="0" fontId="32" fillId="0" borderId="58" xfId="0" applyFont="1" applyBorder="1">
      <alignment vertical="center"/>
    </xf>
    <xf numFmtId="182" fontId="32" fillId="0" borderId="91" xfId="0" applyNumberFormat="1" applyFont="1" applyBorder="1" applyAlignment="1">
      <alignment horizontal="right" vertical="center"/>
    </xf>
    <xf numFmtId="164" fontId="32" fillId="0" borderId="55" xfId="0" applyNumberFormat="1" applyFont="1" applyBorder="1">
      <alignment vertical="center"/>
    </xf>
    <xf numFmtId="184" fontId="32" fillId="0" borderId="58" xfId="0" applyNumberFormat="1" applyFont="1" applyBorder="1" applyAlignment="1">
      <alignment horizontal="right" vertical="center"/>
    </xf>
    <xf numFmtId="2" fontId="32" fillId="0" borderId="3" xfId="0" applyNumberFormat="1" applyFont="1" applyBorder="1" applyAlignment="1">
      <alignment horizontal="center" vertical="center"/>
    </xf>
    <xf numFmtId="170" fontId="32" fillId="0" borderId="3" xfId="0" applyNumberFormat="1" applyFont="1" applyBorder="1" applyAlignment="1">
      <alignment horizontal="center" vertical="center"/>
    </xf>
    <xf numFmtId="0" fontId="32" fillId="0" borderId="49" xfId="0" applyFont="1" applyBorder="1" applyAlignment="1">
      <alignment horizontal="left" vertical="center"/>
    </xf>
    <xf numFmtId="166" fontId="32" fillId="0" borderId="0" xfId="0" applyNumberFormat="1" applyFont="1" applyAlignment="1" applyProtection="1">
      <alignment horizontal="left" vertical="center"/>
      <protection locked="0"/>
    </xf>
    <xf numFmtId="193" fontId="32" fillId="0" borderId="55" xfId="0" applyNumberFormat="1" applyFont="1" applyBorder="1" applyAlignment="1">
      <alignment horizontal="right" vertical="center"/>
    </xf>
    <xf numFmtId="194" fontId="32" fillId="0" borderId="58" xfId="0" applyNumberFormat="1" applyFont="1" applyBorder="1" applyAlignment="1">
      <alignment horizontal="right" vertical="center"/>
    </xf>
    <xf numFmtId="164" fontId="32" fillId="0" borderId="38" xfId="0" applyNumberFormat="1" applyFont="1" applyBorder="1" applyAlignment="1" applyProtection="1">
      <alignment horizontal="right" vertical="center"/>
      <protection locked="0"/>
    </xf>
    <xf numFmtId="0" fontId="32" fillId="0" borderId="0" xfId="0" applyFont="1" applyAlignment="1" applyProtection="1">
      <alignment horizontal="right" vertical="center"/>
      <protection hidden="1"/>
    </xf>
    <xf numFmtId="0" fontId="106" fillId="3" borderId="0" xfId="0" applyFont="1" applyFill="1" applyProtection="1">
      <alignment vertical="center"/>
      <protection locked="0"/>
    </xf>
    <xf numFmtId="0" fontId="32" fillId="0" borderId="0" xfId="0" applyFont="1" applyProtection="1">
      <alignment vertical="center"/>
      <protection hidden="1"/>
    </xf>
    <xf numFmtId="2" fontId="107" fillId="11" borderId="3" xfId="0" applyNumberFormat="1" applyFont="1" applyFill="1" applyBorder="1" applyAlignment="1">
      <alignment horizontal="left" vertical="center"/>
    </xf>
    <xf numFmtId="166" fontId="45" fillId="11" borderId="0" xfId="0" applyNumberFormat="1" applyFont="1" applyFill="1" applyAlignment="1">
      <alignment horizontal="left" vertical="center"/>
    </xf>
    <xf numFmtId="164" fontId="45" fillId="0" borderId="3" xfId="4" applyNumberFormat="1" applyBorder="1" applyAlignment="1">
      <alignment horizontal="center" vertical="center"/>
    </xf>
    <xf numFmtId="2" fontId="62" fillId="20" borderId="0" xfId="0" applyNumberFormat="1" applyFont="1" applyFill="1" applyAlignment="1">
      <alignment horizontal="center" vertical="center"/>
    </xf>
    <xf numFmtId="2" fontId="45" fillId="25" borderId="0" xfId="4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>
      <alignment vertical="center"/>
    </xf>
    <xf numFmtId="2" fontId="23" fillId="5" borderId="3" xfId="0" applyNumberFormat="1" applyFont="1" applyFill="1" applyBorder="1" applyAlignment="1">
      <alignment horizontal="center"/>
    </xf>
    <xf numFmtId="2" fontId="23" fillId="19" borderId="3" xfId="0" applyNumberFormat="1" applyFont="1" applyFill="1" applyBorder="1" applyAlignment="1">
      <alignment horizontal="center"/>
    </xf>
    <xf numFmtId="188" fontId="23" fillId="13" borderId="3" xfId="0" applyNumberFormat="1" applyFont="1" applyFill="1" applyBorder="1" applyAlignment="1">
      <alignment horizontal="center"/>
    </xf>
    <xf numFmtId="2" fontId="23" fillId="30" borderId="3" xfId="0" applyNumberFormat="1" applyFont="1" applyFill="1" applyBorder="1" applyAlignment="1">
      <alignment horizontal="center"/>
    </xf>
    <xf numFmtId="2" fontId="45" fillId="6" borderId="3" xfId="0" applyNumberFormat="1" applyFont="1" applyFill="1" applyBorder="1" applyAlignment="1">
      <alignment horizontal="center" vertical="top" wrapText="1"/>
    </xf>
    <xf numFmtId="2" fontId="45" fillId="6" borderId="3" xfId="0" applyNumberFormat="1" applyFont="1" applyFill="1" applyBorder="1" applyAlignment="1">
      <alignment horizontal="center"/>
    </xf>
    <xf numFmtId="2" fontId="45" fillId="7" borderId="23" xfId="0" applyNumberFormat="1" applyFont="1" applyFill="1" applyBorder="1" applyAlignment="1">
      <alignment horizontal="center" vertical="center"/>
    </xf>
    <xf numFmtId="2" fontId="45" fillId="7" borderId="3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/>
    </xf>
    <xf numFmtId="2" fontId="45" fillId="13" borderId="3" xfId="0" applyNumberFormat="1" applyFont="1" applyFill="1" applyBorder="1" applyAlignment="1">
      <alignment horizontal="center"/>
    </xf>
    <xf numFmtId="0" fontId="33" fillId="0" borderId="89" xfId="0" applyFont="1" applyBorder="1" applyAlignment="1">
      <alignment horizontal="center"/>
    </xf>
    <xf numFmtId="0" fontId="33" fillId="0" borderId="90" xfId="0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34" fillId="0" borderId="82" xfId="0" applyFont="1" applyBorder="1" applyAlignment="1">
      <alignment horizontal="center" vertical="center" wrapText="1"/>
    </xf>
    <xf numFmtId="0" fontId="34" fillId="0" borderId="74" xfId="0" applyFont="1" applyBorder="1" applyAlignment="1">
      <alignment horizontal="center" vertical="center" wrapText="1"/>
    </xf>
    <xf numFmtId="1" fontId="33" fillId="0" borderId="72" xfId="0" applyNumberFormat="1" applyFont="1" applyBorder="1" applyAlignment="1">
      <alignment horizontal="center" vertical="center"/>
    </xf>
    <xf numFmtId="1" fontId="33" fillId="0" borderId="73" xfId="0" applyNumberFormat="1" applyFont="1" applyBorder="1" applyAlignment="1">
      <alignment horizontal="center" vertical="center"/>
    </xf>
    <xf numFmtId="1" fontId="33" fillId="0" borderId="74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166" fontId="33" fillId="0" borderId="24" xfId="0" applyNumberFormat="1" applyFont="1" applyBorder="1" applyAlignment="1">
      <alignment horizontal="center" vertical="center"/>
    </xf>
    <xf numFmtId="166" fontId="33" fillId="0" borderId="26" xfId="0" applyNumberFormat="1" applyFont="1" applyBorder="1" applyAlignment="1">
      <alignment horizontal="center" vertical="center"/>
    </xf>
    <xf numFmtId="166" fontId="33" fillId="0" borderId="70" xfId="0" applyNumberFormat="1" applyFont="1" applyBorder="1" applyAlignment="1">
      <alignment horizontal="center" vertical="center"/>
    </xf>
    <xf numFmtId="166" fontId="3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6" fontId="33" fillId="0" borderId="12" xfId="0" applyNumberFormat="1" applyFont="1" applyBorder="1" applyAlignment="1">
      <alignment horizontal="center" vertical="center"/>
    </xf>
    <xf numFmtId="166" fontId="33" fillId="0" borderId="14" xfId="0" applyNumberFormat="1" applyFont="1" applyBorder="1" applyAlignment="1">
      <alignment horizontal="center" vertical="center"/>
    </xf>
    <xf numFmtId="166" fontId="33" fillId="0" borderId="69" xfId="0" applyNumberFormat="1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42" fillId="0" borderId="51" xfId="0" applyFont="1" applyBorder="1" applyAlignment="1">
      <alignment horizontal="center" vertical="center"/>
    </xf>
    <xf numFmtId="0" fontId="33" fillId="0" borderId="70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64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3" fillId="0" borderId="31" xfId="0" applyFont="1" applyBorder="1" applyAlignment="1">
      <alignment horizontal="right" vertical="center"/>
    </xf>
    <xf numFmtId="0" fontId="33" fillId="0" borderId="40" xfId="0" applyFont="1" applyBorder="1" applyAlignment="1">
      <alignment horizontal="right" vertical="center"/>
    </xf>
    <xf numFmtId="0" fontId="33" fillId="0" borderId="29" xfId="0" applyFont="1" applyBorder="1" applyAlignment="1">
      <alignment horizontal="right" vertical="center"/>
    </xf>
    <xf numFmtId="0" fontId="33" fillId="0" borderId="41" xfId="0" applyFont="1" applyBorder="1" applyAlignment="1">
      <alignment horizontal="right" vertical="center"/>
    </xf>
    <xf numFmtId="0" fontId="33" fillId="0" borderId="83" xfId="0" applyFont="1" applyBorder="1" applyAlignment="1">
      <alignment horizontal="right" vertical="center"/>
    </xf>
    <xf numFmtId="0" fontId="33" fillId="0" borderId="84" xfId="0" applyFont="1" applyBorder="1" applyAlignment="1">
      <alignment horizontal="right" vertical="center"/>
    </xf>
    <xf numFmtId="0" fontId="66" fillId="0" borderId="0" xfId="0" applyFont="1" applyAlignment="1">
      <alignment horizontal="center" vertical="center" wrapText="1"/>
    </xf>
    <xf numFmtId="0" fontId="33" fillId="0" borderId="24" xfId="0" applyFont="1" applyBorder="1" applyAlignment="1">
      <alignment horizontal="left" vertical="center"/>
    </xf>
    <xf numFmtId="0" fontId="33" fillId="0" borderId="25" xfId="0" applyFont="1" applyBorder="1" applyAlignment="1">
      <alignment horizontal="left" vertical="center"/>
    </xf>
    <xf numFmtId="0" fontId="33" fillId="0" borderId="26" xfId="0" applyFont="1" applyBorder="1" applyAlignment="1">
      <alignment horizontal="left" vertical="center"/>
    </xf>
    <xf numFmtId="0" fontId="33" fillId="0" borderId="18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4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textRotation="180" wrapText="1"/>
    </xf>
    <xf numFmtId="0" fontId="25" fillId="0" borderId="22" xfId="0" applyFont="1" applyBorder="1" applyAlignment="1">
      <alignment horizontal="center" vertical="center" textRotation="180" wrapText="1"/>
    </xf>
    <xf numFmtId="0" fontId="25" fillId="0" borderId="18" xfId="0" applyFont="1" applyBorder="1" applyAlignment="1">
      <alignment horizontal="center" vertical="center" textRotation="180" wrapText="1"/>
    </xf>
    <xf numFmtId="0" fontId="25" fillId="0" borderId="23" xfId="0" applyFont="1" applyBorder="1" applyAlignment="1">
      <alignment horizontal="center" vertical="center" textRotation="180" wrapText="1"/>
    </xf>
    <xf numFmtId="0" fontId="25" fillId="0" borderId="24" xfId="0" applyFont="1" applyBorder="1" applyAlignment="1">
      <alignment horizontal="center" vertical="center" textRotation="180" wrapText="1"/>
    </xf>
    <xf numFmtId="0" fontId="25" fillId="0" borderId="26" xfId="0" applyFont="1" applyBorder="1" applyAlignment="1">
      <alignment horizontal="center" vertical="center" textRotation="180" wrapText="1"/>
    </xf>
    <xf numFmtId="0" fontId="33" fillId="11" borderId="8" xfId="0" applyFont="1" applyFill="1" applyBorder="1" applyAlignment="1">
      <alignment horizontal="center"/>
    </xf>
    <xf numFmtId="0" fontId="33" fillId="11" borderId="11" xfId="0" applyFont="1" applyFill="1" applyBorder="1" applyAlignment="1">
      <alignment horizontal="center"/>
    </xf>
    <xf numFmtId="0" fontId="2" fillId="0" borderId="75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42" fillId="0" borderId="57" xfId="0" applyFont="1" applyBorder="1" applyAlignment="1">
      <alignment horizontal="center" vertical="center"/>
    </xf>
    <xf numFmtId="0" fontId="33" fillId="0" borderId="77" xfId="0" applyFont="1" applyBorder="1" applyAlignment="1">
      <alignment horizontal="center" vertical="center"/>
    </xf>
    <xf numFmtId="0" fontId="33" fillId="0" borderId="77" xfId="0" applyFont="1" applyBorder="1" applyAlignment="1">
      <alignment horizontal="center" wrapText="1"/>
    </xf>
    <xf numFmtId="0" fontId="33" fillId="0" borderId="77" xfId="0" applyFont="1" applyBorder="1" applyAlignment="1">
      <alignment horizontal="center"/>
    </xf>
    <xf numFmtId="0" fontId="33" fillId="0" borderId="76" xfId="0" applyFont="1" applyBorder="1" applyAlignment="1">
      <alignment horizontal="center" vertical="center"/>
    </xf>
    <xf numFmtId="164" fontId="33" fillId="0" borderId="0" xfId="0" applyNumberFormat="1" applyFont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185" fontId="62" fillId="0" borderId="3" xfId="0" quotePrefix="1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45" fillId="0" borderId="16" xfId="0" applyFont="1" applyBorder="1" applyAlignment="1">
      <alignment horizontal="left" vertical="center"/>
    </xf>
    <xf numFmtId="0" fontId="32" fillId="0" borderId="0" xfId="0" applyFont="1" applyAlignment="1" applyProtection="1">
      <alignment horizontal="left" vertical="center"/>
      <protection locked="0"/>
    </xf>
    <xf numFmtId="0" fontId="40" fillId="0" borderId="0" xfId="0" applyFont="1" applyAlignment="1">
      <alignment horizontal="left" vertical="center"/>
    </xf>
    <xf numFmtId="0" fontId="33" fillId="0" borderId="3" xfId="0" applyFont="1" applyBorder="1" applyAlignment="1">
      <alignment horizontal="center" vertical="center" wrapText="1"/>
    </xf>
    <xf numFmtId="1" fontId="32" fillId="0" borderId="3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2" fillId="11" borderId="0" xfId="0" applyFont="1" applyFill="1" applyAlignment="1" applyProtection="1">
      <alignment horizontal="left" vertical="center"/>
      <protection locked="0"/>
    </xf>
    <xf numFmtId="0" fontId="33" fillId="0" borderId="0" xfId="0" applyFont="1" applyAlignment="1" applyProtection="1">
      <alignment horizontal="left" vertical="center" wrapText="1"/>
      <protection locked="0"/>
    </xf>
    <xf numFmtId="0" fontId="33" fillId="0" borderId="3" xfId="0" applyFont="1" applyBorder="1" applyAlignment="1">
      <alignment horizontal="center" vertical="center"/>
    </xf>
    <xf numFmtId="166" fontId="33" fillId="0" borderId="0" xfId="0" applyNumberFormat="1" applyFont="1" applyAlignment="1">
      <alignment horizontal="center" vertical="center"/>
    </xf>
    <xf numFmtId="166" fontId="32" fillId="0" borderId="3" xfId="0" applyNumberFormat="1" applyFont="1" applyBorder="1" applyAlignment="1" applyProtection="1">
      <alignment horizontal="center" vertical="center"/>
      <protection locked="0"/>
    </xf>
    <xf numFmtId="166" fontId="33" fillId="0" borderId="3" xfId="0" applyNumberFormat="1" applyFont="1" applyBorder="1" applyAlignment="1" applyProtection="1">
      <alignment horizontal="center" vertical="center"/>
      <protection locked="0"/>
    </xf>
    <xf numFmtId="0" fontId="33" fillId="0" borderId="3" xfId="0" applyFont="1" applyBorder="1" applyAlignment="1" applyProtection="1">
      <alignment horizontal="center" vertical="center"/>
      <protection locked="0"/>
    </xf>
    <xf numFmtId="2" fontId="33" fillId="0" borderId="16" xfId="0" applyNumberFormat="1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 wrapText="1"/>
    </xf>
    <xf numFmtId="166" fontId="33" fillId="0" borderId="3" xfId="0" applyNumberFormat="1" applyFont="1" applyBorder="1" applyAlignment="1">
      <alignment horizontal="left" vertical="center"/>
    </xf>
    <xf numFmtId="2" fontId="33" fillId="0" borderId="3" xfId="0" applyNumberFormat="1" applyFont="1" applyBorder="1" applyAlignment="1">
      <alignment horizontal="center" vertical="center"/>
    </xf>
    <xf numFmtId="170" fontId="33" fillId="0" borderId="3" xfId="0" applyNumberFormat="1" applyFont="1" applyBorder="1" applyAlignment="1">
      <alignment horizontal="center" vertical="center"/>
    </xf>
    <xf numFmtId="166" fontId="33" fillId="0" borderId="3" xfId="0" applyNumberFormat="1" applyFont="1" applyBorder="1" applyAlignment="1">
      <alignment horizontal="center" vertical="center"/>
    </xf>
    <xf numFmtId="166" fontId="33" fillId="0" borderId="0" xfId="0" applyNumberFormat="1" applyFont="1" applyAlignment="1">
      <alignment horizontal="left" vertical="center"/>
    </xf>
    <xf numFmtId="1" fontId="33" fillId="0" borderId="0" xfId="0" applyNumberFormat="1" applyFont="1" applyAlignment="1">
      <alignment horizontal="center" vertical="center"/>
    </xf>
    <xf numFmtId="0" fontId="104" fillId="0" borderId="3" xfId="3" applyFont="1" applyFill="1" applyBorder="1" applyAlignment="1" applyProtection="1">
      <alignment horizontal="center" vertical="center"/>
      <protection locked="0"/>
    </xf>
    <xf numFmtId="186" fontId="25" fillId="0" borderId="3" xfId="0" applyNumberFormat="1" applyFont="1" applyBorder="1" applyAlignment="1">
      <alignment horizontal="center" vertical="center"/>
    </xf>
    <xf numFmtId="0" fontId="50" fillId="0" borderId="38" xfId="0" applyFont="1" applyBorder="1" applyAlignment="1" applyProtection="1">
      <alignment horizontal="left" vertical="center"/>
      <protection locked="0"/>
    </xf>
    <xf numFmtId="0" fontId="50" fillId="0" borderId="30" xfId="0" applyFont="1" applyBorder="1" applyAlignment="1" applyProtection="1">
      <alignment horizontal="left" vertical="center"/>
      <protection locked="0"/>
    </xf>
    <xf numFmtId="0" fontId="50" fillId="0" borderId="49" xfId="0" applyFont="1" applyBorder="1" applyAlignment="1" applyProtection="1">
      <alignment horizontal="left" vertical="center"/>
      <protection locked="0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3" fillId="0" borderId="3" xfId="0" quotePrefix="1" applyFont="1" applyBorder="1" applyAlignment="1" applyProtection="1">
      <alignment horizontal="center" vertical="center"/>
      <protection locked="0"/>
    </xf>
    <xf numFmtId="0" fontId="42" fillId="0" borderId="58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176" fontId="33" fillId="0" borderId="3" xfId="0" applyNumberFormat="1" applyFont="1" applyBorder="1" applyAlignment="1">
      <alignment horizontal="center" vertical="center"/>
    </xf>
    <xf numFmtId="191" fontId="25" fillId="0" borderId="3" xfId="0" applyNumberFormat="1" applyFont="1" applyBorder="1" applyAlignment="1">
      <alignment horizontal="center" vertical="center"/>
    </xf>
    <xf numFmtId="187" fontId="25" fillId="0" borderId="3" xfId="0" applyNumberFormat="1" applyFont="1" applyBorder="1" applyAlignment="1">
      <alignment horizontal="center" vertical="center"/>
    </xf>
    <xf numFmtId="1" fontId="33" fillId="0" borderId="3" xfId="0" applyNumberFormat="1" applyFont="1" applyBorder="1" applyAlignment="1">
      <alignment horizontal="center" vertical="center"/>
    </xf>
    <xf numFmtId="0" fontId="105" fillId="0" borderId="48" xfId="0" applyFont="1" applyBorder="1" applyAlignment="1">
      <alignment horizontal="center" vertical="center"/>
    </xf>
    <xf numFmtId="0" fontId="105" fillId="0" borderId="0" xfId="0" applyFont="1" applyAlignment="1">
      <alignment horizontal="center" vertical="center"/>
    </xf>
    <xf numFmtId="164" fontId="33" fillId="0" borderId="3" xfId="0" applyNumberFormat="1" applyFont="1" applyBorder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178" fontId="33" fillId="0" borderId="0" xfId="0" applyNumberFormat="1" applyFont="1" applyAlignment="1">
      <alignment horizontal="center" vertical="center"/>
    </xf>
    <xf numFmtId="171" fontId="33" fillId="0" borderId="0" xfId="0" applyNumberFormat="1" applyFont="1" applyAlignment="1">
      <alignment horizontal="center" vertical="center"/>
    </xf>
    <xf numFmtId="0" fontId="89" fillId="0" borderId="0" xfId="0" applyFont="1" applyAlignment="1" applyProtection="1">
      <alignment horizontal="left" vertical="center"/>
      <protection locked="0"/>
    </xf>
    <xf numFmtId="190" fontId="25" fillId="0" borderId="38" xfId="0" applyNumberFormat="1" applyFont="1" applyBorder="1" applyAlignment="1">
      <alignment horizontal="center" vertical="center"/>
    </xf>
    <xf numFmtId="190" fontId="25" fillId="0" borderId="49" xfId="0" applyNumberFormat="1" applyFont="1" applyBorder="1" applyAlignment="1">
      <alignment horizontal="center" vertical="center"/>
    </xf>
    <xf numFmtId="0" fontId="42" fillId="0" borderId="52" xfId="0" applyFont="1" applyBorder="1" applyAlignment="1">
      <alignment horizontal="center" vertical="center"/>
    </xf>
    <xf numFmtId="0" fontId="42" fillId="0" borderId="61" xfId="0" applyFont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2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11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50" fillId="5" borderId="69" xfId="0" applyFont="1" applyFill="1" applyBorder="1" applyAlignment="1">
      <alignment horizontal="center" vertical="center"/>
    </xf>
    <xf numFmtId="0" fontId="50" fillId="5" borderId="49" xfId="0" applyFont="1" applyFill="1" applyBorder="1" applyAlignment="1">
      <alignment horizontal="center" vertical="center"/>
    </xf>
    <xf numFmtId="0" fontId="50" fillId="5" borderId="13" xfId="0" applyFont="1" applyFill="1" applyBorder="1" applyAlignment="1">
      <alignment horizontal="center" vertical="center"/>
    </xf>
    <xf numFmtId="0" fontId="50" fillId="5" borderId="3" xfId="0" applyFont="1" applyFill="1" applyBorder="1" applyAlignment="1">
      <alignment horizontal="center" vertical="center"/>
    </xf>
    <xf numFmtId="2" fontId="34" fillId="11" borderId="0" xfId="0" applyNumberFormat="1" applyFont="1" applyFill="1" applyAlignment="1">
      <alignment horizontal="center" vertical="center"/>
    </xf>
    <xf numFmtId="0" fontId="51" fillId="5" borderId="31" xfId="0" applyFont="1" applyFill="1" applyBorder="1" applyAlignment="1">
      <alignment horizontal="left" vertical="center"/>
    </xf>
    <xf numFmtId="0" fontId="51" fillId="5" borderId="32" xfId="0" applyFont="1" applyFill="1" applyBorder="1" applyAlignment="1">
      <alignment horizontal="left" vertical="center"/>
    </xf>
    <xf numFmtId="0" fontId="50" fillId="5" borderId="29" xfId="0" applyFont="1" applyFill="1" applyBorder="1" applyAlignment="1">
      <alignment horizontal="left" vertical="center"/>
    </xf>
    <xf numFmtId="0" fontId="50" fillId="5" borderId="30" xfId="0" applyFont="1" applyFill="1" applyBorder="1" applyAlignment="1">
      <alignment horizontal="left" vertical="center"/>
    </xf>
    <xf numFmtId="0" fontId="50" fillId="5" borderId="41" xfId="0" applyFont="1" applyFill="1" applyBorder="1" applyAlignment="1">
      <alignment horizontal="left" vertical="center"/>
    </xf>
    <xf numFmtId="0" fontId="50" fillId="5" borderId="31" xfId="0" applyFont="1" applyFill="1" applyBorder="1" applyAlignment="1">
      <alignment horizontal="left" vertical="center"/>
    </xf>
    <xf numFmtId="0" fontId="50" fillId="5" borderId="32" xfId="0" applyFont="1" applyFill="1" applyBorder="1" applyAlignment="1">
      <alignment horizontal="left" vertical="center"/>
    </xf>
    <xf numFmtId="0" fontId="50" fillId="5" borderId="40" xfId="0" applyFont="1" applyFill="1" applyBorder="1" applyAlignment="1">
      <alignment horizontal="left" vertical="center"/>
    </xf>
    <xf numFmtId="0" fontId="50" fillId="5" borderId="27" xfId="0" applyFont="1" applyFill="1" applyBorder="1" applyAlignment="1">
      <alignment horizontal="left" vertical="center"/>
    </xf>
    <xf numFmtId="0" fontId="50" fillId="5" borderId="28" xfId="0" applyFont="1" applyFill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12" borderId="0" xfId="0" applyFont="1" applyFill="1" applyAlignment="1">
      <alignment horizontal="center" vertical="center"/>
    </xf>
    <xf numFmtId="0" fontId="50" fillId="5" borderId="20" xfId="0" applyFont="1" applyFill="1" applyBorder="1" applyAlignment="1">
      <alignment horizontal="center" vertical="center"/>
    </xf>
    <xf numFmtId="0" fontId="50" fillId="5" borderId="22" xfId="0" applyFont="1" applyFill="1" applyBorder="1" applyAlignment="1">
      <alignment horizontal="center" vertical="center"/>
    </xf>
    <xf numFmtId="0" fontId="50" fillId="5" borderId="12" xfId="0" applyFont="1" applyFill="1" applyBorder="1" applyAlignment="1">
      <alignment horizontal="center" vertical="center"/>
    </xf>
    <xf numFmtId="0" fontId="50" fillId="5" borderId="14" xfId="0" applyFont="1" applyFill="1" applyBorder="1" applyAlignment="1">
      <alignment horizontal="center" vertical="center"/>
    </xf>
    <xf numFmtId="0" fontId="50" fillId="5" borderId="15" xfId="0" applyFont="1" applyFill="1" applyBorder="1" applyAlignment="1">
      <alignment horizontal="center" vertical="center"/>
    </xf>
    <xf numFmtId="0" fontId="50" fillId="5" borderId="16" xfId="0" applyFont="1" applyFill="1" applyBorder="1" applyAlignment="1">
      <alignment horizontal="center" vertical="center"/>
    </xf>
    <xf numFmtId="0" fontId="50" fillId="5" borderId="17" xfId="0" applyFont="1" applyFill="1" applyBorder="1" applyAlignment="1">
      <alignment horizontal="center" vertical="center"/>
    </xf>
    <xf numFmtId="0" fontId="25" fillId="0" borderId="38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5" fillId="0" borderId="49" xfId="0" applyFont="1" applyBorder="1" applyAlignment="1">
      <alignment horizontal="left" vertical="center"/>
    </xf>
    <xf numFmtId="0" fontId="25" fillId="0" borderId="3" xfId="0" applyFont="1" applyBorder="1">
      <alignment vertical="center"/>
    </xf>
    <xf numFmtId="0" fontId="34" fillId="0" borderId="38" xfId="5" applyFont="1" applyBorder="1" applyAlignment="1">
      <alignment horizontal="center" vertical="center"/>
    </xf>
    <xf numFmtId="0" fontId="34" fillId="0" borderId="30" xfId="5" applyFont="1" applyBorder="1" applyAlignment="1">
      <alignment horizontal="center" vertical="center"/>
    </xf>
    <xf numFmtId="0" fontId="34" fillId="0" borderId="49" xfId="5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9" fontId="25" fillId="0" borderId="16" xfId="0" applyNumberFormat="1" applyFont="1" applyBorder="1" applyAlignment="1">
      <alignment horizontal="center" vertical="center"/>
    </xf>
    <xf numFmtId="9" fontId="25" fillId="0" borderId="2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79" fillId="5" borderId="3" xfId="0" applyFont="1" applyFill="1" applyBorder="1" applyAlignment="1">
      <alignment horizontal="center" vertical="center"/>
    </xf>
    <xf numFmtId="0" fontId="80" fillId="5" borderId="3" xfId="0" applyFont="1" applyFill="1" applyBorder="1" applyAlignment="1">
      <alignment horizontal="center" vertical="center"/>
    </xf>
    <xf numFmtId="190" fontId="25" fillId="0" borderId="3" xfId="0" applyNumberFormat="1" applyFont="1" applyBorder="1" applyAlignment="1">
      <alignment horizontal="center" vertical="center"/>
    </xf>
    <xf numFmtId="0" fontId="88" fillId="3" borderId="3" xfId="0" applyFont="1" applyFill="1" applyBorder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horizontal="center" vertical="center"/>
      <protection locked="0"/>
    </xf>
    <xf numFmtId="0" fontId="25" fillId="11" borderId="0" xfId="0" applyFont="1" applyFill="1" applyAlignment="1" applyProtection="1">
      <alignment horizontal="left" vertical="center"/>
      <protection locked="0"/>
    </xf>
    <xf numFmtId="9" fontId="39" fillId="0" borderId="48" xfId="0" applyNumberFormat="1" applyFont="1" applyBorder="1" applyAlignment="1" applyProtection="1">
      <alignment horizontal="center" vertical="center"/>
      <protection locked="0"/>
    </xf>
    <xf numFmtId="0" fontId="39" fillId="0" borderId="48" xfId="0" applyFont="1" applyBorder="1" applyAlignment="1" applyProtection="1">
      <alignment horizontal="center" vertical="center"/>
      <protection locked="0"/>
    </xf>
    <xf numFmtId="0" fontId="25" fillId="0" borderId="49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5" fillId="0" borderId="16" xfId="0" applyFont="1" applyBorder="1" applyAlignment="1" applyProtection="1">
      <alignment horizontal="center" vertical="center"/>
      <protection locked="0"/>
    </xf>
    <xf numFmtId="0" fontId="25" fillId="0" borderId="3" xfId="0" applyFont="1" applyBorder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left" vertical="center"/>
      <protection locked="0"/>
    </xf>
    <xf numFmtId="166" fontId="25" fillId="0" borderId="3" xfId="0" applyNumberFormat="1" applyFont="1" applyBorder="1" applyAlignment="1">
      <alignment horizontal="center" vertical="center" wrapText="1"/>
    </xf>
    <xf numFmtId="166" fontId="25" fillId="0" borderId="3" xfId="0" applyNumberFormat="1" applyFont="1" applyBorder="1" applyAlignment="1">
      <alignment horizontal="center" vertical="center"/>
    </xf>
    <xf numFmtId="0" fontId="43" fillId="11" borderId="0" xfId="0" applyFont="1" applyFill="1" applyAlignment="1">
      <alignment horizontal="center" vertical="center"/>
    </xf>
    <xf numFmtId="181" fontId="25" fillId="0" borderId="38" xfId="0" applyNumberFormat="1" applyFont="1" applyBorder="1" applyAlignment="1">
      <alignment horizontal="center" vertical="center"/>
    </xf>
    <xf numFmtId="181" fontId="25" fillId="0" borderId="49" xfId="0" applyNumberFormat="1" applyFont="1" applyBorder="1" applyAlignment="1">
      <alignment horizontal="center" vertical="center"/>
    </xf>
    <xf numFmtId="183" fontId="25" fillId="0" borderId="38" xfId="0" applyNumberFormat="1" applyFont="1" applyBorder="1" applyAlignment="1">
      <alignment horizontal="center" vertical="center"/>
    </xf>
    <xf numFmtId="183" fontId="25" fillId="0" borderId="49" xfId="0" applyNumberFormat="1" applyFont="1" applyBorder="1" applyAlignment="1">
      <alignment horizontal="center" vertical="center"/>
    </xf>
    <xf numFmtId="184" fontId="25" fillId="0" borderId="38" xfId="0" applyNumberFormat="1" applyFont="1" applyBorder="1" applyAlignment="1">
      <alignment horizontal="center" vertical="center"/>
    </xf>
    <xf numFmtId="184" fontId="25" fillId="0" borderId="49" xfId="0" applyNumberFormat="1" applyFont="1" applyBorder="1" applyAlignment="1">
      <alignment horizontal="center" vertical="center"/>
    </xf>
    <xf numFmtId="0" fontId="25" fillId="11" borderId="0" xfId="0" applyFont="1" applyFill="1" applyAlignment="1">
      <alignment horizontal="left" vertical="center"/>
    </xf>
    <xf numFmtId="175" fontId="25" fillId="0" borderId="0" xfId="0" applyNumberFormat="1" applyFont="1" applyAlignment="1">
      <alignment horizontal="left" vertical="center"/>
    </xf>
    <xf numFmtId="0" fontId="34" fillId="0" borderId="3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25" fillId="0" borderId="16" xfId="0" applyFont="1" applyBorder="1">
      <alignment vertical="center"/>
    </xf>
    <xf numFmtId="0" fontId="25" fillId="3" borderId="38" xfId="0" applyFont="1" applyFill="1" applyBorder="1" applyAlignment="1">
      <alignment horizontal="left" vertical="center"/>
    </xf>
    <xf numFmtId="0" fontId="25" fillId="3" borderId="30" xfId="0" applyFont="1" applyFill="1" applyBorder="1" applyAlignment="1">
      <alignment horizontal="left" vertical="center"/>
    </xf>
    <xf numFmtId="0" fontId="25" fillId="3" borderId="49" xfId="0" applyFont="1" applyFill="1" applyBorder="1" applyAlignment="1">
      <alignment horizontal="left" vertical="center"/>
    </xf>
    <xf numFmtId="0" fontId="33" fillId="0" borderId="48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0" borderId="60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6" fontId="2" fillId="0" borderId="16" xfId="0" applyNumberFormat="1" applyFont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3" fillId="11" borderId="0" xfId="0" applyFont="1" applyFill="1" applyAlignment="1" applyProtection="1">
      <alignment horizontal="left" vertical="center"/>
      <protection locked="0"/>
    </xf>
    <xf numFmtId="166" fontId="2" fillId="0" borderId="38" xfId="0" applyNumberFormat="1" applyFont="1" applyBorder="1" applyAlignment="1">
      <alignment horizontal="center" vertical="center"/>
    </xf>
    <xf numFmtId="166" fontId="2" fillId="0" borderId="30" xfId="0" applyNumberFormat="1" applyFont="1" applyBorder="1" applyAlignment="1">
      <alignment horizontal="center" vertical="center"/>
    </xf>
    <xf numFmtId="166" fontId="2" fillId="0" borderId="49" xfId="0" applyNumberFormat="1" applyFont="1" applyBorder="1" applyAlignment="1">
      <alignment horizontal="center" vertical="center"/>
    </xf>
    <xf numFmtId="0" fontId="42" fillId="0" borderId="54" xfId="0" applyFont="1" applyBorder="1" applyAlignment="1">
      <alignment horizontal="center" vertical="center"/>
    </xf>
    <xf numFmtId="182" fontId="33" fillId="0" borderId="91" xfId="0" applyNumberFormat="1" applyFont="1" applyBorder="1" applyAlignment="1">
      <alignment horizontal="center" vertical="center"/>
    </xf>
    <xf numFmtId="182" fontId="33" fillId="0" borderId="68" xfId="0" applyNumberFormat="1" applyFont="1" applyBorder="1" applyAlignment="1">
      <alignment horizontal="center" vertical="center"/>
    </xf>
    <xf numFmtId="183" fontId="33" fillId="0" borderId="55" xfId="0" applyNumberFormat="1" applyFont="1" applyBorder="1" applyAlignment="1">
      <alignment horizontal="center" vertical="center"/>
    </xf>
    <xf numFmtId="183" fontId="33" fillId="0" borderId="62" xfId="0" applyNumberFormat="1" applyFont="1" applyBorder="1" applyAlignment="1">
      <alignment horizontal="center" vertical="center"/>
    </xf>
    <xf numFmtId="184" fontId="33" fillId="0" borderId="58" xfId="0" applyNumberFormat="1" applyFont="1" applyBorder="1" applyAlignment="1">
      <alignment horizontal="center" vertical="center"/>
    </xf>
    <xf numFmtId="184" fontId="33" fillId="0" borderId="63" xfId="0" applyNumberFormat="1" applyFont="1" applyBorder="1" applyAlignment="1">
      <alignment horizontal="center" vertical="center"/>
    </xf>
    <xf numFmtId="0" fontId="33" fillId="11" borderId="0" xfId="0" applyFont="1" applyFill="1" applyAlignment="1">
      <alignment horizontal="left" vertical="center"/>
    </xf>
    <xf numFmtId="175" fontId="33" fillId="11" borderId="0" xfId="0" applyNumberFormat="1" applyFont="1" applyFill="1" applyAlignment="1">
      <alignment horizontal="left" vertical="center"/>
    </xf>
    <xf numFmtId="191" fontId="33" fillId="0" borderId="66" xfId="0" applyNumberFormat="1" applyFont="1" applyBorder="1" applyAlignment="1">
      <alignment horizontal="center" vertical="center"/>
    </xf>
    <xf numFmtId="187" fontId="33" fillId="0" borderId="54" xfId="0" applyNumberFormat="1" applyFont="1" applyBorder="1" applyAlignment="1">
      <alignment horizontal="center" vertical="center"/>
    </xf>
    <xf numFmtId="0" fontId="33" fillId="0" borderId="57" xfId="0" applyFont="1" applyBorder="1" applyAlignment="1">
      <alignment horizontal="center" vertical="center"/>
    </xf>
    <xf numFmtId="166" fontId="32" fillId="0" borderId="0" xfId="0" applyNumberFormat="1" applyFont="1" applyAlignment="1" applyProtection="1">
      <alignment horizontal="left" vertical="center"/>
      <protection locked="0"/>
    </xf>
    <xf numFmtId="1" fontId="32" fillId="0" borderId="3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166" fontId="32" fillId="0" borderId="3" xfId="0" applyNumberFormat="1" applyFont="1" applyBorder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85" fontId="9" fillId="0" borderId="0" xfId="4" applyNumberFormat="1" applyFont="1" applyAlignment="1">
      <alignment horizontal="left" vertical="top" wrapText="1"/>
    </xf>
    <xf numFmtId="0" fontId="9" fillId="0" borderId="0" xfId="4" applyFont="1" applyAlignment="1">
      <alignment horizontal="left" vertical="center" wrapText="1"/>
    </xf>
    <xf numFmtId="0" fontId="8" fillId="0" borderId="0" xfId="4" applyFont="1" applyAlignment="1">
      <alignment horizontal="left" vertical="center" wrapText="1"/>
    </xf>
    <xf numFmtId="0" fontId="9" fillId="0" borderId="0" xfId="4" applyFont="1" applyAlignment="1">
      <alignment horizontal="left" vertical="top" wrapText="1"/>
    </xf>
    <xf numFmtId="0" fontId="9" fillId="5" borderId="0" xfId="4" applyFont="1" applyFill="1" applyAlignment="1">
      <alignment horizontal="justify" vertical="center" wrapText="1"/>
    </xf>
    <xf numFmtId="185" fontId="9" fillId="0" borderId="0" xfId="4" applyNumberFormat="1" applyFont="1" applyAlignment="1">
      <alignment horizontal="left" vertical="center" wrapText="1"/>
    </xf>
    <xf numFmtId="0" fontId="98" fillId="0" borderId="0" xfId="4" applyFont="1" applyAlignment="1" applyProtection="1">
      <alignment horizontal="left" vertical="center" wrapText="1"/>
      <protection locked="0"/>
    </xf>
    <xf numFmtId="0" fontId="9" fillId="0" borderId="0" xfId="4" applyFont="1" applyAlignment="1" applyProtection="1">
      <alignment horizontal="left" vertical="top" wrapText="1"/>
      <protection locked="0"/>
    </xf>
    <xf numFmtId="0" fontId="9" fillId="0" borderId="0" xfId="4" applyFont="1" applyAlignment="1" applyProtection="1">
      <alignment horizontal="justify" vertical="top" wrapText="1"/>
      <protection locked="0"/>
    </xf>
    <xf numFmtId="192" fontId="96" fillId="0" borderId="0" xfId="4" quotePrefix="1" applyNumberFormat="1" applyFont="1" applyAlignment="1" applyProtection="1">
      <alignment horizontal="left" vertical="center"/>
      <protection locked="0"/>
    </xf>
    <xf numFmtId="192" fontId="96" fillId="0" borderId="0" xfId="4" applyNumberFormat="1" applyFont="1" applyAlignment="1" applyProtection="1">
      <alignment horizontal="left" vertical="center"/>
      <protection locked="0"/>
    </xf>
    <xf numFmtId="0" fontId="92" fillId="0" borderId="0" xfId="4" applyFont="1" applyAlignment="1">
      <alignment horizontal="center"/>
    </xf>
    <xf numFmtId="0" fontId="9" fillId="0" borderId="38" xfId="4" applyFont="1" applyBorder="1" applyAlignment="1">
      <alignment horizontal="left" vertical="top" wrapText="1"/>
    </xf>
    <xf numFmtId="0" fontId="9" fillId="0" borderId="30" xfId="4" applyFont="1" applyBorder="1" applyAlignment="1">
      <alignment horizontal="left" vertical="top" wrapText="1"/>
    </xf>
    <xf numFmtId="0" fontId="96" fillId="0" borderId="0" xfId="4" applyFont="1" applyAlignment="1" applyProtection="1">
      <alignment horizontal="left"/>
      <protection locked="0"/>
    </xf>
    <xf numFmtId="0" fontId="98" fillId="0" borderId="0" xfId="4" quotePrefix="1" applyFont="1" applyAlignment="1" applyProtection="1">
      <alignment horizontal="left" vertical="center" wrapText="1"/>
      <protection locked="0"/>
    </xf>
    <xf numFmtId="11" fontId="96" fillId="0" borderId="0" xfId="4" quotePrefix="1" applyNumberFormat="1" applyFont="1" applyAlignment="1" applyProtection="1">
      <alignment horizontal="left"/>
      <protection locked="0"/>
    </xf>
    <xf numFmtId="0" fontId="96" fillId="0" borderId="0" xfId="4" quotePrefix="1" applyFont="1" applyAlignment="1" applyProtection="1">
      <alignment horizontal="left"/>
      <protection locked="0"/>
    </xf>
    <xf numFmtId="0" fontId="94" fillId="0" borderId="0" xfId="4" applyFont="1" applyAlignment="1" applyProtection="1">
      <alignment horizontal="center" vertical="center"/>
      <protection locked="0"/>
    </xf>
    <xf numFmtId="185" fontId="96" fillId="0" borderId="0" xfId="4" quotePrefix="1" applyNumberFormat="1" applyFont="1" applyAlignment="1" applyProtection="1">
      <alignment horizontal="center" vertical="center"/>
      <protection locked="0"/>
    </xf>
    <xf numFmtId="185" fontId="96" fillId="0" borderId="0" xfId="4" applyNumberFormat="1" applyFont="1" applyAlignment="1" applyProtection="1">
      <alignment horizontal="center" vertical="center"/>
      <protection locked="0"/>
    </xf>
    <xf numFmtId="0" fontId="9" fillId="0" borderId="0" xfId="4" applyFont="1" applyAlignment="1">
      <alignment horizontal="center"/>
    </xf>
    <xf numFmtId="0" fontId="97" fillId="0" borderId="0" xfId="4" applyFont="1" applyAlignment="1">
      <alignment horizontal="right" vertical="center"/>
    </xf>
    <xf numFmtId="0" fontId="93" fillId="0" borderId="0" xfId="4" applyFont="1" applyAlignment="1">
      <alignment horizontal="center"/>
    </xf>
    <xf numFmtId="2" fontId="69" fillId="21" borderId="0" xfId="0" applyNumberFormat="1" applyFont="1" applyFill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left" vertical="top" wrapText="1"/>
    </xf>
    <xf numFmtId="2" fontId="45" fillId="0" borderId="3" xfId="0" applyNumberFormat="1" applyFont="1" applyBorder="1" applyAlignment="1">
      <alignment horizontal="left" vertical="top" wrapText="1"/>
    </xf>
    <xf numFmtId="2" fontId="45" fillId="0" borderId="3" xfId="0" applyNumberFormat="1" applyFont="1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 wrapText="1"/>
    </xf>
    <xf numFmtId="2" fontId="70" fillId="21" borderId="0" xfId="0" applyNumberFormat="1" applyFont="1" applyFill="1" applyAlignment="1">
      <alignment horizontal="center" vertical="center"/>
    </xf>
    <xf numFmtId="2" fontId="71" fillId="24" borderId="0" xfId="0" applyNumberFormat="1" applyFont="1" applyFill="1" applyAlignment="1">
      <alignment horizontal="center" vertical="center"/>
    </xf>
    <xf numFmtId="2" fontId="0" fillId="19" borderId="0" xfId="0" applyNumberFormat="1" applyFill="1" applyAlignment="1">
      <alignment horizontal="center" vertical="center"/>
    </xf>
    <xf numFmtId="2" fontId="14" fillId="26" borderId="12" xfId="0" applyNumberFormat="1" applyFont="1" applyFill="1" applyBorder="1" applyAlignment="1">
      <alignment horizontal="center" vertical="center"/>
    </xf>
    <xf numFmtId="2" fontId="14" fillId="26" borderId="14" xfId="0" applyNumberFormat="1" applyFont="1" applyFill="1" applyBorder="1" applyAlignment="1">
      <alignment horizontal="center" vertical="center"/>
    </xf>
    <xf numFmtId="2" fontId="5" fillId="26" borderId="3" xfId="0" applyNumberFormat="1" applyFont="1" applyFill="1" applyBorder="1" applyAlignment="1">
      <alignment horizontal="center" vertical="center"/>
    </xf>
    <xf numFmtId="2" fontId="4" fillId="26" borderId="3" xfId="4" applyNumberFormat="1" applyFont="1" applyFill="1" applyBorder="1" applyAlignment="1">
      <alignment horizontal="center" vertical="center"/>
    </xf>
    <xf numFmtId="2" fontId="19" fillId="26" borderId="3" xfId="4" applyNumberFormat="1" applyFont="1" applyFill="1" applyBorder="1" applyAlignment="1">
      <alignment horizontal="center" vertical="center"/>
    </xf>
    <xf numFmtId="1" fontId="0" fillId="28" borderId="3" xfId="0" applyNumberFormat="1" applyFill="1" applyBorder="1" applyAlignment="1">
      <alignment horizontal="center" vertical="center"/>
    </xf>
    <xf numFmtId="2" fontId="12" fillId="26" borderId="3" xfId="4" applyNumberFormat="1" applyFont="1" applyFill="1" applyBorder="1" applyAlignment="1">
      <alignment horizontal="center" vertical="center"/>
    </xf>
    <xf numFmtId="2" fontId="18" fillId="2" borderId="4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8" borderId="1" xfId="0" applyNumberFormat="1" applyFill="1" applyBorder="1" applyAlignment="1">
      <alignment horizontal="center" vertical="center"/>
    </xf>
    <xf numFmtId="1" fontId="0" fillId="28" borderId="4" xfId="0" applyNumberFormat="1" applyFill="1" applyBorder="1" applyAlignment="1">
      <alignment horizontal="center" vertical="center"/>
    </xf>
    <xf numFmtId="1" fontId="0" fillId="28" borderId="6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5" fillId="26" borderId="38" xfId="0" applyNumberFormat="1" applyFont="1" applyFill="1" applyBorder="1" applyAlignment="1">
      <alignment horizontal="center" vertical="center"/>
    </xf>
    <xf numFmtId="2" fontId="5" fillId="26" borderId="30" xfId="0" applyNumberFormat="1" applyFont="1" applyFill="1" applyBorder="1" applyAlignment="1">
      <alignment horizontal="center" vertical="center"/>
    </xf>
    <xf numFmtId="2" fontId="5" fillId="26" borderId="49" xfId="0" applyNumberFormat="1" applyFont="1" applyFill="1" applyBorder="1" applyAlignment="1">
      <alignment horizontal="center" vertical="center"/>
    </xf>
    <xf numFmtId="1" fontId="12" fillId="26" borderId="3" xfId="4" applyNumberFormat="1" applyFont="1" applyFill="1" applyBorder="1" applyAlignment="1">
      <alignment horizontal="center" vertical="center"/>
    </xf>
    <xf numFmtId="2" fontId="15" fillId="26" borderId="3" xfId="0" applyNumberFormat="1" applyFont="1" applyFill="1" applyBorder="1" applyAlignment="1">
      <alignment horizontal="center" vertical="center"/>
    </xf>
    <xf numFmtId="2" fontId="15" fillId="26" borderId="3" xfId="0" applyNumberFormat="1" applyFont="1" applyFill="1" applyBorder="1" applyAlignment="1">
      <alignment horizontal="center" vertical="center" wrapText="1"/>
    </xf>
    <xf numFmtId="2" fontId="15" fillId="26" borderId="13" xfId="0" applyNumberFormat="1" applyFont="1" applyFill="1" applyBorder="1" applyAlignment="1">
      <alignment horizontal="center" vertical="center"/>
    </xf>
    <xf numFmtId="2" fontId="15" fillId="26" borderId="13" xfId="0" applyNumberFormat="1" applyFont="1" applyFill="1" applyBorder="1" applyAlignment="1">
      <alignment horizontal="center" vertical="center" wrapText="1"/>
    </xf>
    <xf numFmtId="2" fontId="12" fillId="26" borderId="13" xfId="4" applyNumberFormat="1" applyFont="1" applyFill="1" applyBorder="1" applyAlignment="1">
      <alignment horizontal="center" vertical="center"/>
    </xf>
    <xf numFmtId="2" fontId="12" fillId="26" borderId="14" xfId="4" applyNumberFormat="1" applyFont="1" applyFill="1" applyBorder="1" applyAlignment="1">
      <alignment horizontal="center" vertical="center"/>
    </xf>
    <xf numFmtId="2" fontId="12" fillId="5" borderId="12" xfId="0" applyNumberFormat="1" applyFont="1" applyFill="1" applyBorder="1" applyAlignment="1">
      <alignment horizontal="center" vertical="center"/>
    </xf>
    <xf numFmtId="2" fontId="12" fillId="5" borderId="14" xfId="0" applyNumberFormat="1" applyFont="1" applyFill="1" applyBorder="1" applyAlignment="1">
      <alignment horizontal="center" vertical="center"/>
    </xf>
    <xf numFmtId="2" fontId="20" fillId="26" borderId="3" xfId="0" applyNumberFormat="1" applyFont="1" applyFill="1" applyBorder="1" applyAlignment="1">
      <alignment horizontal="center" vertical="center"/>
    </xf>
    <xf numFmtId="2" fontId="20" fillId="26" borderId="81" xfId="0" applyNumberFormat="1" applyFont="1" applyFill="1" applyBorder="1" applyAlignment="1">
      <alignment horizontal="center" vertical="center"/>
    </xf>
    <xf numFmtId="2" fontId="20" fillId="26" borderId="50" xfId="0" applyNumberFormat="1" applyFont="1" applyFill="1" applyBorder="1" applyAlignment="1">
      <alignment horizontal="center" vertical="center"/>
    </xf>
    <xf numFmtId="2" fontId="20" fillId="26" borderId="65" xfId="0" applyNumberFormat="1" applyFont="1" applyFill="1" applyBorder="1" applyAlignment="1">
      <alignment horizontal="center" vertical="center"/>
    </xf>
    <xf numFmtId="2" fontId="20" fillId="26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/>
    </xf>
    <xf numFmtId="2" fontId="10" fillId="26" borderId="3" xfId="0" applyNumberFormat="1" applyFont="1" applyFill="1" applyBorder="1" applyAlignment="1">
      <alignment horizontal="center" vertical="center"/>
    </xf>
    <xf numFmtId="2" fontId="10" fillId="26" borderId="13" xfId="0" applyNumberFormat="1" applyFont="1" applyFill="1" applyBorder="1" applyAlignment="1">
      <alignment horizontal="center" vertical="center"/>
    </xf>
    <xf numFmtId="2" fontId="10" fillId="26" borderId="25" xfId="0" applyNumberFormat="1" applyFont="1" applyFill="1" applyBorder="1" applyAlignment="1">
      <alignment horizontal="center" vertical="center"/>
    </xf>
    <xf numFmtId="2" fontId="10" fillId="26" borderId="16" xfId="0" applyNumberFormat="1" applyFont="1" applyFill="1" applyBorder="1" applyAlignment="1">
      <alignment horizontal="center" vertical="center"/>
    </xf>
    <xf numFmtId="2" fontId="10" fillId="26" borderId="33" xfId="0" applyNumberFormat="1" applyFont="1" applyFill="1" applyBorder="1" applyAlignment="1">
      <alignment horizontal="center" vertical="center"/>
    </xf>
    <xf numFmtId="2" fontId="10" fillId="26" borderId="35" xfId="0" applyNumberFormat="1" applyFont="1" applyFill="1" applyBorder="1" applyAlignment="1">
      <alignment horizontal="center" vertical="center"/>
    </xf>
    <xf numFmtId="2" fontId="10" fillId="26" borderId="19" xfId="0" applyNumberFormat="1" applyFont="1" applyFill="1" applyBorder="1" applyAlignment="1">
      <alignment horizontal="center" vertical="center"/>
    </xf>
    <xf numFmtId="2" fontId="12" fillId="3" borderId="3" xfId="4" applyNumberFormat="1" applyFont="1" applyFill="1" applyBorder="1" applyAlignment="1">
      <alignment horizontal="center" vertical="center" wrapText="1"/>
    </xf>
    <xf numFmtId="2" fontId="12" fillId="3" borderId="13" xfId="4" applyNumberFormat="1" applyFont="1" applyFill="1" applyBorder="1" applyAlignment="1">
      <alignment horizontal="left" vertical="center" wrapText="1"/>
    </xf>
    <xf numFmtId="2" fontId="12" fillId="3" borderId="14" xfId="4" applyNumberFormat="1" applyFont="1" applyFill="1" applyBorder="1" applyAlignment="1">
      <alignment horizontal="left" vertical="center" wrapText="1"/>
    </xf>
    <xf numFmtId="2" fontId="20" fillId="3" borderId="3" xfId="0" applyNumberFormat="1" applyFont="1" applyFill="1" applyBorder="1" applyAlignment="1">
      <alignment horizontal="center" vertical="center"/>
    </xf>
    <xf numFmtId="2" fontId="15" fillId="4" borderId="3" xfId="0" applyNumberFormat="1" applyFont="1" applyFill="1" applyBorder="1" applyAlignment="1">
      <alignment horizontal="center" vertical="center"/>
    </xf>
    <xf numFmtId="2" fontId="15" fillId="3" borderId="12" xfId="4" applyNumberFormat="1" applyFont="1" applyFill="1" applyBorder="1" applyAlignment="1">
      <alignment horizontal="center" vertical="center"/>
    </xf>
    <xf numFmtId="2" fontId="15" fillId="3" borderId="13" xfId="4" applyNumberFormat="1" applyFont="1" applyFill="1" applyBorder="1" applyAlignment="1">
      <alignment horizontal="center" vertical="center"/>
    </xf>
    <xf numFmtId="2" fontId="15" fillId="3" borderId="14" xfId="4" applyNumberFormat="1" applyFont="1" applyFill="1" applyBorder="1" applyAlignment="1">
      <alignment horizontal="center" vertical="center"/>
    </xf>
    <xf numFmtId="1" fontId="15" fillId="26" borderId="3" xfId="0" applyNumberFormat="1" applyFont="1" applyFill="1" applyBorder="1" applyAlignment="1">
      <alignment horizontal="center" vertical="center"/>
    </xf>
    <xf numFmtId="2" fontId="12" fillId="3" borderId="18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5" fillId="3" borderId="23" xfId="4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/>
    </xf>
    <xf numFmtId="2" fontId="10" fillId="3" borderId="18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" fillId="2" borderId="83" xfId="0" applyNumberFormat="1" applyFont="1" applyFill="1" applyBorder="1" applyAlignment="1">
      <alignment horizontal="center" vertical="center"/>
    </xf>
    <xf numFmtId="2" fontId="1" fillId="2" borderId="85" xfId="0" applyNumberFormat="1" applyFont="1" applyFill="1" applyBorder="1" applyAlignment="1">
      <alignment horizontal="center" vertical="center"/>
    </xf>
    <xf numFmtId="2" fontId="72" fillId="3" borderId="3" xfId="0" applyNumberFormat="1" applyFont="1" applyFill="1" applyBorder="1" applyAlignment="1">
      <alignment horizontal="center" vertical="center" wrapText="1"/>
    </xf>
    <xf numFmtId="2" fontId="3" fillId="28" borderId="3" xfId="0" applyNumberFormat="1" applyFont="1" applyFill="1" applyBorder="1" applyAlignment="1">
      <alignment horizontal="center" vertical="center"/>
    </xf>
    <xf numFmtId="2" fontId="72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2" fontId="4" fillId="0" borderId="3" xfId="4" applyNumberFormat="1" applyFont="1" applyBorder="1" applyAlignment="1">
      <alignment horizontal="center"/>
    </xf>
    <xf numFmtId="2" fontId="4" fillId="0" borderId="3" xfId="4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 wrapText="1"/>
    </xf>
    <xf numFmtId="2" fontId="7" fillId="28" borderId="3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 wrapText="1"/>
    </xf>
    <xf numFmtId="2" fontId="45" fillId="18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7" fillId="18" borderId="3" xfId="0" applyNumberFormat="1" applyFont="1" applyFill="1" applyBorder="1" applyAlignment="1">
      <alignment horizontal="center" vertical="center"/>
    </xf>
    <xf numFmtId="2" fontId="3" fillId="18" borderId="3" xfId="0" applyNumberFormat="1" applyFont="1" applyFill="1" applyBorder="1" applyAlignment="1">
      <alignment horizontal="center" vertical="center" wrapText="1"/>
    </xf>
    <xf numFmtId="2" fontId="9" fillId="18" borderId="3" xfId="4" applyNumberFormat="1" applyFont="1" applyFill="1" applyBorder="1" applyAlignment="1">
      <alignment horizontal="center"/>
    </xf>
    <xf numFmtId="2" fontId="9" fillId="18" borderId="38" xfId="4" applyNumberFormat="1" applyFont="1" applyFill="1" applyBorder="1" applyAlignment="1">
      <alignment horizontal="center"/>
    </xf>
    <xf numFmtId="2" fontId="9" fillId="18" borderId="30" xfId="4" applyNumberFormat="1" applyFont="1" applyFill="1" applyBorder="1" applyAlignment="1">
      <alignment horizontal="center"/>
    </xf>
    <xf numFmtId="2" fontId="9" fillId="18" borderId="49" xfId="4" applyNumberFormat="1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 vertical="center"/>
    </xf>
    <xf numFmtId="2" fontId="9" fillId="18" borderId="3" xfId="4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 wrapText="1"/>
    </xf>
    <xf numFmtId="2" fontId="45" fillId="18" borderId="3" xfId="0" applyNumberFormat="1" applyFont="1" applyFill="1" applyBorder="1" applyAlignment="1">
      <alignment horizontal="center" vertical="center" wrapText="1"/>
    </xf>
    <xf numFmtId="2" fontId="11" fillId="3" borderId="3" xfId="0" applyNumberFormat="1" applyFont="1" applyFill="1" applyBorder="1" applyAlignment="1">
      <alignment horizontal="center" vertical="center" wrapText="1"/>
    </xf>
    <xf numFmtId="2" fontId="14" fillId="3" borderId="12" xfId="0" applyNumberFormat="1" applyFont="1" applyFill="1" applyBorder="1" applyAlignment="1">
      <alignment horizontal="center" vertical="center" wrapText="1"/>
    </xf>
    <xf numFmtId="2" fontId="14" fillId="3" borderId="18" xfId="0" applyNumberFormat="1" applyFont="1" applyFill="1" applyBorder="1" applyAlignment="1">
      <alignment horizontal="center" vertical="center" wrapText="1"/>
    </xf>
    <xf numFmtId="2" fontId="14" fillId="3" borderId="15" xfId="0" applyNumberFormat="1" applyFont="1" applyFill="1" applyBorder="1" applyAlignment="1">
      <alignment horizontal="center" vertical="center" wrapText="1"/>
    </xf>
    <xf numFmtId="2" fontId="14" fillId="3" borderId="19" xfId="0" applyNumberFormat="1" applyFont="1" applyFill="1" applyBorder="1" applyAlignment="1">
      <alignment horizontal="center" vertical="center" wrapText="1"/>
    </xf>
    <xf numFmtId="2" fontId="14" fillId="3" borderId="33" xfId="0" applyNumberFormat="1" applyFont="1" applyFill="1" applyBorder="1" applyAlignment="1">
      <alignment horizontal="center" vertical="center" wrapText="1"/>
    </xf>
    <xf numFmtId="2" fontId="14" fillId="3" borderId="35" xfId="0" applyNumberFormat="1" applyFont="1" applyFill="1" applyBorder="1" applyAlignment="1">
      <alignment horizontal="center" vertical="center" wrapText="1"/>
    </xf>
    <xf numFmtId="2" fontId="7" fillId="3" borderId="20" xfId="0" applyNumberFormat="1" applyFont="1" applyFill="1" applyBorder="1" applyAlignment="1">
      <alignment horizontal="center" vertical="center" wrapText="1"/>
    </xf>
    <xf numFmtId="2" fontId="7" fillId="3" borderId="34" xfId="0" applyNumberFormat="1" applyFont="1" applyFill="1" applyBorder="1" applyAlignment="1">
      <alignment horizontal="center" vertical="center" wrapText="1"/>
    </xf>
    <xf numFmtId="2" fontId="4" fillId="3" borderId="3" xfId="4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/>
    </xf>
    <xf numFmtId="1" fontId="32" fillId="0" borderId="38" xfId="0" applyNumberFormat="1" applyFont="1" applyBorder="1" applyAlignment="1">
      <alignment horizontal="center" vertical="center"/>
    </xf>
    <xf numFmtId="1" fontId="32" fillId="0" borderId="30" xfId="0" applyNumberFormat="1" applyFont="1" applyBorder="1" applyAlignment="1">
      <alignment horizontal="center" vertical="center"/>
    </xf>
    <xf numFmtId="1" fontId="32" fillId="0" borderId="49" xfId="0" applyNumberFormat="1" applyFont="1" applyBorder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 wrapText="1"/>
    </xf>
    <xf numFmtId="164" fontId="45" fillId="4" borderId="38" xfId="4" applyNumberFormat="1" applyFill="1" applyBorder="1" applyAlignment="1">
      <alignment horizontal="center" vertical="center"/>
    </xf>
    <xf numFmtId="164" fontId="45" fillId="4" borderId="30" xfId="4" applyNumberFormat="1" applyFill="1" applyBorder="1" applyAlignment="1">
      <alignment horizontal="center" vertical="center"/>
    </xf>
    <xf numFmtId="164" fontId="45" fillId="4" borderId="49" xfId="4" applyNumberFormat="1" applyFill="1" applyBorder="1" applyAlignment="1">
      <alignment horizontal="center" vertical="center"/>
    </xf>
    <xf numFmtId="2" fontId="16" fillId="0" borderId="27" xfId="0" applyNumberFormat="1" applyFont="1" applyBorder="1" applyAlignment="1">
      <alignment horizontal="center"/>
    </xf>
    <xf numFmtId="2" fontId="16" fillId="0" borderId="28" xfId="0" applyNumberFormat="1" applyFont="1" applyBorder="1" applyAlignment="1">
      <alignment horizontal="center"/>
    </xf>
    <xf numFmtId="2" fontId="16" fillId="0" borderId="39" xfId="0" applyNumberFormat="1" applyFont="1" applyBorder="1" applyAlignment="1">
      <alignment horizontal="center"/>
    </xf>
    <xf numFmtId="2" fontId="18" fillId="3" borderId="27" xfId="4" applyNumberFormat="1" applyFont="1" applyFill="1" applyBorder="1" applyAlignment="1">
      <alignment horizontal="center" vertical="center"/>
    </xf>
    <xf numFmtId="2" fontId="18" fillId="3" borderId="28" xfId="4" applyNumberFormat="1" applyFont="1" applyFill="1" applyBorder="1" applyAlignment="1">
      <alignment horizontal="center" vertical="center"/>
    </xf>
    <xf numFmtId="2" fontId="18" fillId="3" borderId="39" xfId="4" applyNumberFormat="1" applyFont="1" applyFill="1" applyBorder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</cellXfs>
  <cellStyles count="6">
    <cellStyle name="Good" xfId="3" builtinId="26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FD0AF7F6-A5FE-482E-94DB-A580789A0AFE}"/>
    <cellStyle name="Normal_Daftar kelistrikan (ecg)" xfId="5" xr:uid="{D6D0BBFF-440E-442B-B933-81C53A6E39B9}"/>
  </cellStyles>
  <dxfs count="0"/>
  <tableStyles count="0" defaultTableStyle="TableStyleMedium2" defaultPivotStyle="PivotStyleLight16"/>
  <colors>
    <mruColors>
      <color rgb="FFCC99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35</xdr:row>
      <xdr:rowOff>266179</xdr:rowOff>
    </xdr:from>
    <xdr:to>
      <xdr:col>6</xdr:col>
      <xdr:colOff>409423</xdr:colOff>
      <xdr:row>35</xdr:row>
      <xdr:rowOff>266179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57600" y="7385050"/>
          <a:ext cx="408940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16847</xdr:colOff>
      <xdr:row>38</xdr:row>
      <xdr:rowOff>75783</xdr:rowOff>
    </xdr:from>
    <xdr:to>
      <xdr:col>5</xdr:col>
      <xdr:colOff>182842</xdr:colOff>
      <xdr:row>45</xdr:row>
      <xdr:rowOff>0</xdr:rowOff>
    </xdr:to>
    <xdr:grpSp>
      <xdr:nvGrp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28574" y="8475101"/>
          <a:ext cx="3560359" cy="1702217"/>
          <a:chOff x="17066" y="9347414"/>
          <a:chExt cx="3192985" cy="1678983"/>
        </a:xfrm>
      </xdr:grpSpPr>
      <xdr:pic>
        <xdr:nvPicPr>
          <xdr:cNvPr id="4" name="Picture 2" descr=" 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rcRect t="11912" b="12545"/>
          <a:stretch>
            <a:fillRect/>
          </a:stretch>
        </xdr:blipFill>
        <xdr:spPr>
          <a:xfrm>
            <a:off x="17066" y="9347414"/>
            <a:ext cx="3192985" cy="1678983"/>
          </a:xfrm>
          <a:prstGeom prst="rect">
            <a:avLst/>
          </a:prstGeom>
          <a:noFill/>
          <a:ln w="9525" cap="flat" cmpd="sng">
            <a:solidFill>
              <a:srgbClr val="FFFFFF"/>
            </a:solidFill>
            <a:prstDash val="solid"/>
            <a:miter/>
          </a:ln>
          <a:effectLst/>
        </xdr:spPr>
      </xdr:pic>
      <xdr:sp macro="" textlink="">
        <xdr:nvSpPr>
          <xdr:cNvPr id="5" name="ellipse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142341" y="9768015"/>
            <a:ext cx="138792" cy="212133"/>
          </a:xfrm>
          <a:prstGeom prst="ellipse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15" name="_x0000_s9244" descr="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16" name="_x0000_s9245" descr="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17" name="_x0000_s9246" descr="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18" name="_x0000_s9247" descr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516255</xdr:colOff>
      <xdr:row>37</xdr:row>
      <xdr:rowOff>241935</xdr:rowOff>
    </xdr:from>
    <xdr:to>
      <xdr:col>6</xdr:col>
      <xdr:colOff>414020</xdr:colOff>
      <xdr:row>37</xdr:row>
      <xdr:rowOff>241935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97605" y="8530590"/>
          <a:ext cx="583565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237311</xdr:colOff>
      <xdr:row>51</xdr:row>
      <xdr:rowOff>139600</xdr:rowOff>
    </xdr:from>
    <xdr:to>
      <xdr:col>4</xdr:col>
      <xdr:colOff>416593</xdr:colOff>
      <xdr:row>53</xdr:row>
      <xdr:rowOff>215384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6855" y="12252960"/>
          <a:ext cx="2713355" cy="58674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81227</xdr:colOff>
      <xdr:row>41</xdr:row>
      <xdr:rowOff>113674</xdr:rowOff>
    </xdr:from>
    <xdr:to>
      <xdr:col>7</xdr:col>
      <xdr:colOff>166350</xdr:colOff>
      <xdr:row>53</xdr:row>
      <xdr:rowOff>190455</xdr:rowOff>
    </xdr:to>
    <xdr:grpSp>
      <xdr:nvGrpSpPr>
        <xdr:cNvPr id="4" name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349118" y="9648596"/>
          <a:ext cx="5264341" cy="3172406"/>
          <a:chOff x="81643" y="10315569"/>
          <a:chExt cx="5169014" cy="2828931"/>
        </a:xfrm>
      </xdr:grpSpPr>
      <xdr:grpSp>
        <xdr:nvGrpSpPr>
          <xdr:cNvPr id="5" name=" 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6" name=" 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9" name="rect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0" name="rect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2</xdr:col>
      <xdr:colOff>730251</xdr:colOff>
      <xdr:row>7</xdr:row>
      <xdr:rowOff>179918</xdr:rowOff>
    </xdr:from>
    <xdr:to>
      <xdr:col>3</xdr:col>
      <xdr:colOff>1</xdr:colOff>
      <xdr:row>8</xdr:row>
      <xdr:rowOff>63502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758950" y="1703705"/>
          <a:ext cx="127000" cy="28384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solidFill>
                <a:schemeClr val="tx1"/>
              </a:solidFill>
              <a:latin typeface="Calibri" panose="020F0502020204030204" pitchFamily="34" charset="0"/>
            </a:rPr>
            <a:t>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639487</xdr:colOff>
      <xdr:row>29</xdr:row>
      <xdr:rowOff>63289</xdr:rowOff>
    </xdr:from>
    <xdr:to>
      <xdr:col>4</xdr:col>
      <xdr:colOff>465351</xdr:colOff>
      <xdr:row>30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620645" y="5918835"/>
          <a:ext cx="806450" cy="1371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264235</xdr:colOff>
      <xdr:row>36</xdr:row>
      <xdr:rowOff>101575</xdr:rowOff>
    </xdr:from>
    <xdr:to>
      <xdr:col>4</xdr:col>
      <xdr:colOff>523430</xdr:colOff>
      <xdr:row>37</xdr:row>
      <xdr:rowOff>25300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45360" y="7357110"/>
          <a:ext cx="1240155" cy="12382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805180</xdr:colOff>
      <xdr:row>31</xdr:row>
      <xdr:rowOff>199243</xdr:rowOff>
    </xdr:from>
    <xdr:to>
      <xdr:col>3</xdr:col>
      <xdr:colOff>805180</xdr:colOff>
      <xdr:row>32</xdr:row>
      <xdr:rowOff>126578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786380" y="6454775"/>
          <a:ext cx="0" cy="1276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551644</xdr:colOff>
      <xdr:row>29</xdr:row>
      <xdr:rowOff>63289</xdr:rowOff>
    </xdr:from>
    <xdr:to>
      <xdr:col>5</xdr:col>
      <xdr:colOff>249979</xdr:colOff>
      <xdr:row>37</xdr:row>
      <xdr:rowOff>151804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737908" y="5799223"/>
          <a:ext cx="2461631" cy="1651592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3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32</xdr:row>
      <xdr:rowOff>149802</xdr:rowOff>
    </xdr:from>
    <xdr:to>
      <xdr:col>6</xdr:col>
      <xdr:colOff>152400</xdr:colOff>
      <xdr:row>42</xdr:row>
      <xdr:rowOff>3463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993775" y="5667952"/>
          <a:ext cx="2797175" cy="1733261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4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32</xdr:row>
      <xdr:rowOff>149802</xdr:rowOff>
    </xdr:from>
    <xdr:to>
      <xdr:col>6</xdr:col>
      <xdr:colOff>152400</xdr:colOff>
      <xdr:row>42</xdr:row>
      <xdr:rowOff>3463</xdr:rowOff>
    </xdr:to>
    <xdr:grpSp>
      <xdr:nvGrpSpPr>
        <xdr:cNvPr id="2" name=" ">
          <a:extLst>
            <a:ext uri="{FF2B5EF4-FFF2-40B4-BE49-F238E27FC236}">
              <a16:creationId xmlns:a16="http://schemas.microsoft.com/office/drawing/2014/main" id="{8E813128-5101-4B4F-AB64-0DFB777F4293}"/>
            </a:ext>
          </a:extLst>
        </xdr:cNvPr>
        <xdr:cNvGrpSpPr/>
      </xdr:nvGrpSpPr>
      <xdr:grpSpPr>
        <a:xfrm>
          <a:off x="998660" y="5649879"/>
          <a:ext cx="2797663" cy="1729353"/>
          <a:chOff x="81643" y="10315569"/>
          <a:chExt cx="5169014" cy="2828931"/>
        </a:xfrm>
      </xdr:grpSpPr>
      <xdr:grpSp>
        <xdr:nvGrpSpPr>
          <xdr:cNvPr id="3" name=" ">
            <a:extLst>
              <a:ext uri="{FF2B5EF4-FFF2-40B4-BE49-F238E27FC236}">
                <a16:creationId xmlns:a16="http://schemas.microsoft.com/office/drawing/2014/main" id="{76DD7A00-7AB2-F1AB-E274-BA54C781EC0E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5" name=" ">
              <a:extLst>
                <a:ext uri="{FF2B5EF4-FFF2-40B4-BE49-F238E27FC236}">
                  <a16:creationId xmlns:a16="http://schemas.microsoft.com/office/drawing/2014/main" id="{BB31920C-579E-65F7-45C1-62F16DC2755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88B44A5F-11AC-16AD-87DB-1A3B4E6107C6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F6F2C9AD-9E99-FC70-C8AA-FA8C167AA36B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6" name="rect">
              <a:extLst>
                <a:ext uri="{FF2B5EF4-FFF2-40B4-BE49-F238E27FC236}">
                  <a16:creationId xmlns:a16="http://schemas.microsoft.com/office/drawing/2014/main" id="{8A249F57-C548-2167-84E7-5F900429454A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4" name="rect">
            <a:extLst>
              <a:ext uri="{FF2B5EF4-FFF2-40B4-BE49-F238E27FC236}">
                <a16:creationId xmlns:a16="http://schemas.microsoft.com/office/drawing/2014/main" id="{1F7C067A-4977-593E-FAC1-09AF24C98834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  <sheetName val="DB ES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IX139"/>
  <sheetViews>
    <sheetView showGridLines="0" view="pageBreakPreview" topLeftCell="A69" zoomScale="110" zoomScaleNormal="117" zoomScaleSheetLayoutView="110" workbookViewId="0">
      <selection activeCell="H60" sqref="H60"/>
    </sheetView>
  </sheetViews>
  <sheetFormatPr defaultColWidth="9" defaultRowHeight="15.5"/>
  <cols>
    <col min="1" max="1" width="4.453125" style="18" customWidth="1"/>
    <col min="2" max="2" width="10.54296875" style="191" customWidth="1"/>
    <col min="3" max="3" width="16.54296875" style="191" customWidth="1"/>
    <col min="4" max="13" width="10.7265625" style="191" customWidth="1"/>
    <col min="14" max="14" width="9.1796875" style="191" customWidth="1"/>
    <col min="15" max="15" width="0.26953125" style="191" customWidth="1"/>
    <col min="16" max="18" width="9.1796875" style="191" customWidth="1"/>
    <col min="19" max="19" width="19.54296875" style="191" customWidth="1"/>
    <col min="20" max="20" width="14.1796875" style="191" customWidth="1"/>
    <col min="21" max="257" width="9.1796875" style="191" customWidth="1"/>
    <col min="258" max="16384" width="9" style="18"/>
  </cols>
  <sheetData>
    <row r="1" spans="1:15" ht="19.5" customHeight="1">
      <c r="A1" s="962" t="s">
        <v>0</v>
      </c>
      <c r="B1" s="962"/>
      <c r="C1" s="962"/>
      <c r="D1" s="962"/>
      <c r="E1" s="962"/>
      <c r="F1" s="962"/>
      <c r="G1" s="962"/>
      <c r="H1" s="962"/>
      <c r="I1" s="962"/>
      <c r="J1" s="962"/>
      <c r="K1" s="962"/>
      <c r="L1" s="962"/>
      <c r="M1" s="962"/>
      <c r="N1" s="962"/>
      <c r="O1" s="303"/>
    </row>
    <row r="2" spans="1:15" ht="18.75" customHeight="1">
      <c r="A2" s="963" t="s">
        <v>1</v>
      </c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19"/>
    </row>
    <row r="3" spans="1:15" ht="18.75" customHeight="1">
      <c r="B3" s="45"/>
      <c r="C3" s="45"/>
      <c r="D3" s="45"/>
      <c r="E3" s="45"/>
      <c r="F3" s="45"/>
      <c r="G3" s="45"/>
      <c r="H3" s="45"/>
      <c r="I3" s="45"/>
      <c r="J3" s="45"/>
    </row>
    <row r="4" spans="1:15" ht="15.75" customHeight="1">
      <c r="B4" s="192" t="s">
        <v>2</v>
      </c>
      <c r="D4" s="193" t="s">
        <v>3</v>
      </c>
      <c r="E4" s="194"/>
      <c r="F4" s="194"/>
      <c r="G4" s="195"/>
      <c r="H4" s="196"/>
      <c r="I4" s="194"/>
    </row>
    <row r="5" spans="1:15" ht="15.75" customHeight="1">
      <c r="B5" s="19" t="s">
        <v>4</v>
      </c>
      <c r="D5" s="20" t="s">
        <v>3</v>
      </c>
      <c r="E5" s="197"/>
      <c r="F5" s="197"/>
      <c r="G5" s="198"/>
      <c r="H5" s="199"/>
      <c r="I5" s="197"/>
    </row>
    <row r="6" spans="1:15" ht="15.75" customHeight="1">
      <c r="B6" s="19" t="s">
        <v>5</v>
      </c>
      <c r="D6" s="20" t="s">
        <v>3</v>
      </c>
      <c r="E6" s="197"/>
      <c r="F6" s="197"/>
      <c r="G6" s="200"/>
      <c r="H6" s="201"/>
      <c r="I6" s="197"/>
    </row>
    <row r="7" spans="1:15" ht="15.75" customHeight="1">
      <c r="B7" s="19" t="s">
        <v>6</v>
      </c>
      <c r="D7" s="20" t="s">
        <v>3</v>
      </c>
      <c r="E7" s="197"/>
      <c r="F7" s="198"/>
      <c r="G7" s="198"/>
      <c r="H7" s="199"/>
      <c r="I7" s="197"/>
    </row>
    <row r="8" spans="1:15" ht="15.75" customHeight="1">
      <c r="B8" s="192" t="s">
        <v>7</v>
      </c>
      <c r="D8" s="20" t="s">
        <v>3</v>
      </c>
      <c r="E8" s="197"/>
      <c r="F8" s="198"/>
      <c r="G8" s="198"/>
      <c r="H8" s="199"/>
      <c r="I8" s="197"/>
    </row>
    <row r="9" spans="1:15" ht="15.75" customHeight="1">
      <c r="B9" s="192" t="s">
        <v>8</v>
      </c>
      <c r="D9" s="20" t="s">
        <v>3</v>
      </c>
      <c r="E9" s="197"/>
      <c r="F9" s="198"/>
      <c r="G9" s="198"/>
      <c r="H9" s="199"/>
      <c r="I9" s="197"/>
    </row>
    <row r="10" spans="1:15" ht="15.75" customHeight="1">
      <c r="B10" s="192" t="s">
        <v>9</v>
      </c>
      <c r="D10" s="20" t="s">
        <v>3</v>
      </c>
      <c r="E10" s="197"/>
      <c r="F10" s="198"/>
      <c r="G10" s="198"/>
      <c r="H10" s="199"/>
      <c r="I10" s="197"/>
    </row>
    <row r="11" spans="1:15" ht="15.75" customHeight="1">
      <c r="B11" s="19" t="s">
        <v>10</v>
      </c>
      <c r="D11" s="20" t="s">
        <v>3</v>
      </c>
      <c r="E11" s="197"/>
      <c r="F11" s="198"/>
      <c r="G11" s="198"/>
      <c r="H11" s="199"/>
      <c r="I11" s="197"/>
    </row>
    <row r="12" spans="1:15" ht="14.25" customHeight="1" thickBot="1">
      <c r="B12" s="192"/>
      <c r="C12" s="192"/>
      <c r="D12" s="193"/>
      <c r="E12" s="192"/>
      <c r="F12" s="192"/>
      <c r="G12" s="192"/>
      <c r="H12" s="192"/>
      <c r="I12" s="192"/>
      <c r="J12" s="202"/>
    </row>
    <row r="13" spans="1:15" ht="15.75" customHeight="1" thickBot="1">
      <c r="A13" s="304" t="s">
        <v>11</v>
      </c>
      <c r="B13" s="203" t="s">
        <v>12</v>
      </c>
      <c r="C13" s="203"/>
      <c r="D13" s="204"/>
      <c r="E13" s="314" t="s">
        <v>13</v>
      </c>
      <c r="F13" s="301" t="s">
        <v>14</v>
      </c>
      <c r="G13" s="192"/>
      <c r="H13" s="192"/>
      <c r="I13" s="192"/>
      <c r="J13" s="18"/>
    </row>
    <row r="14" spans="1:15" ht="18" customHeight="1">
      <c r="B14" s="22" t="s">
        <v>15</v>
      </c>
      <c r="C14" s="18"/>
      <c r="D14" s="204"/>
      <c r="E14" s="315"/>
      <c r="F14" s="312"/>
      <c r="G14" s="310" t="s">
        <v>16</v>
      </c>
      <c r="J14" s="18"/>
    </row>
    <row r="15" spans="1:15" ht="16.5" customHeight="1" thickBot="1">
      <c r="B15" s="205" t="s">
        <v>17</v>
      </c>
      <c r="C15" s="18"/>
      <c r="D15" s="204"/>
      <c r="E15" s="316"/>
      <c r="F15" s="313"/>
      <c r="G15" s="311" t="s">
        <v>18</v>
      </c>
      <c r="J15" s="18"/>
    </row>
    <row r="16" spans="1:15" ht="16.5" customHeight="1" thickBot="1">
      <c r="B16" s="205" t="s">
        <v>19</v>
      </c>
      <c r="C16" s="18"/>
      <c r="D16" s="204"/>
      <c r="E16" s="997"/>
      <c r="F16" s="998"/>
      <c r="G16" s="311" t="s">
        <v>20</v>
      </c>
    </row>
    <row r="17" spans="1:15" ht="7.5" customHeight="1">
      <c r="B17" s="207"/>
      <c r="C17" s="207"/>
      <c r="D17" s="207"/>
      <c r="E17" s="192"/>
      <c r="J17" s="208"/>
    </row>
    <row r="18" spans="1:15" ht="19.5" customHeight="1">
      <c r="A18" s="304" t="s">
        <v>21</v>
      </c>
      <c r="B18" s="23" t="s">
        <v>22</v>
      </c>
      <c r="G18" s="208"/>
      <c r="I18" s="202"/>
      <c r="K18" s="306" t="s">
        <v>23</v>
      </c>
    </row>
    <row r="19" spans="1:15" ht="21" customHeight="1">
      <c r="B19" s="191" t="s">
        <v>24</v>
      </c>
      <c r="C19" s="18"/>
      <c r="D19" s="191" t="s">
        <v>25</v>
      </c>
      <c r="F19" s="977" t="s">
        <v>26</v>
      </c>
      <c r="G19" s="977"/>
      <c r="H19" s="977"/>
      <c r="I19" s="977"/>
      <c r="J19" s="977"/>
      <c r="K19" s="307">
        <v>0.05</v>
      </c>
    </row>
    <row r="20" spans="1:15" ht="15.75" customHeight="1">
      <c r="B20" s="191" t="s">
        <v>27</v>
      </c>
      <c r="C20" s="18"/>
      <c r="D20" s="191" t="s">
        <v>25</v>
      </c>
      <c r="F20" s="977"/>
      <c r="G20" s="977"/>
      <c r="H20" s="977"/>
      <c r="I20" s="977"/>
      <c r="J20" s="977"/>
      <c r="K20" s="307">
        <v>0.05</v>
      </c>
    </row>
    <row r="21" spans="1:15" ht="11.25" customHeight="1">
      <c r="C21" s="18"/>
      <c r="F21" s="308"/>
      <c r="G21" s="308"/>
      <c r="H21" s="308"/>
      <c r="I21" s="308"/>
      <c r="J21" s="308"/>
      <c r="K21" s="307"/>
    </row>
    <row r="22" spans="1:15" ht="18.75" customHeight="1" thickBot="1">
      <c r="A22" s="304" t="s">
        <v>28</v>
      </c>
      <c r="B22" s="23" t="s">
        <v>29</v>
      </c>
      <c r="E22" s="192"/>
      <c r="J22" s="208"/>
    </row>
    <row r="23" spans="1:15" ht="38.25" customHeight="1" thickBot="1">
      <c r="B23" s="325" t="s">
        <v>30</v>
      </c>
      <c r="C23" s="999" t="s">
        <v>31</v>
      </c>
      <c r="D23" s="1000"/>
      <c r="E23" s="1000"/>
      <c r="F23" s="1000"/>
      <c r="G23" s="1000"/>
      <c r="H23" s="1000"/>
      <c r="I23" s="1001"/>
      <c r="J23" s="999" t="s">
        <v>32</v>
      </c>
      <c r="K23" s="1001"/>
      <c r="L23" s="1002" t="s">
        <v>33</v>
      </c>
      <c r="M23" s="1001"/>
      <c r="N23" s="309" t="s">
        <v>23</v>
      </c>
    </row>
    <row r="24" spans="1:15" ht="15.75" customHeight="1">
      <c r="B24" s="324">
        <v>1</v>
      </c>
      <c r="C24" s="984" t="s">
        <v>34</v>
      </c>
      <c r="D24" s="985"/>
      <c r="E24" s="985"/>
      <c r="F24" s="985"/>
      <c r="G24" s="985"/>
      <c r="H24" s="985"/>
      <c r="I24" s="986"/>
      <c r="J24" s="975" t="s">
        <v>35</v>
      </c>
      <c r="K24" s="976"/>
      <c r="L24" s="969" t="s">
        <v>36</v>
      </c>
      <c r="M24" s="970"/>
      <c r="N24" s="307">
        <v>0.1</v>
      </c>
    </row>
    <row r="25" spans="1:15" ht="15.75" customHeight="1">
      <c r="B25" s="319">
        <v>2</v>
      </c>
      <c r="C25" s="981" t="s">
        <v>37</v>
      </c>
      <c r="D25" s="982"/>
      <c r="E25" s="982"/>
      <c r="F25" s="982"/>
      <c r="G25" s="982"/>
      <c r="H25" s="982"/>
      <c r="I25" s="983"/>
      <c r="J25" s="973" t="s">
        <v>38</v>
      </c>
      <c r="K25" s="974"/>
      <c r="L25" s="967" t="s">
        <v>603</v>
      </c>
      <c r="M25" s="968"/>
      <c r="N25" s="307">
        <v>0.1</v>
      </c>
    </row>
    <row r="26" spans="1:15" ht="15.75" hidden="1" customHeight="1">
      <c r="B26" s="319">
        <v>4</v>
      </c>
      <c r="C26" s="321" t="s">
        <v>39</v>
      </c>
      <c r="D26" s="302"/>
      <c r="E26" s="302"/>
      <c r="F26" s="302"/>
      <c r="G26" s="229"/>
      <c r="H26" s="302"/>
      <c r="I26" s="317"/>
      <c r="J26" s="322"/>
      <c r="K26" s="323" t="s">
        <v>40</v>
      </c>
      <c r="L26" s="318"/>
      <c r="M26" s="317"/>
      <c r="N26" s="307">
        <v>0.13300000000000001</v>
      </c>
      <c r="O26" s="191" t="s">
        <v>41</v>
      </c>
    </row>
    <row r="27" spans="1:15" ht="15.75" customHeight="1" thickBot="1">
      <c r="B27" s="320">
        <v>3</v>
      </c>
      <c r="C27" s="978" t="s">
        <v>42</v>
      </c>
      <c r="D27" s="979"/>
      <c r="E27" s="979"/>
      <c r="F27" s="979"/>
      <c r="G27" s="979"/>
      <c r="H27" s="979"/>
      <c r="I27" s="980"/>
      <c r="J27" s="971" t="s">
        <v>43</v>
      </c>
      <c r="K27" s="972"/>
      <c r="L27" s="965" t="s">
        <v>44</v>
      </c>
      <c r="M27" s="966"/>
      <c r="N27" s="307">
        <v>0.2</v>
      </c>
    </row>
    <row r="28" spans="1:15" ht="15.75" hidden="1" customHeight="1">
      <c r="B28" s="213">
        <v>7</v>
      </c>
      <c r="C28" s="48"/>
      <c r="D28" s="194"/>
      <c r="E28" s="194"/>
      <c r="F28" s="194"/>
      <c r="G28" s="214"/>
      <c r="H28" s="215"/>
      <c r="I28" s="216"/>
      <c r="J28" s="217"/>
      <c r="K28" s="964"/>
      <c r="L28" s="964"/>
    </row>
    <row r="29" spans="1:15" ht="20.149999999999999" hidden="1" customHeight="1">
      <c r="B29" s="218">
        <v>8</v>
      </c>
      <c r="C29" s="51"/>
      <c r="D29" s="209"/>
      <c r="E29" s="209"/>
      <c r="F29" s="209"/>
      <c r="G29" s="210"/>
      <c r="H29" s="211"/>
      <c r="I29" s="212"/>
      <c r="J29" s="219"/>
      <c r="K29" s="1003"/>
      <c r="L29" s="1003"/>
    </row>
    <row r="30" spans="1:15" ht="15" customHeight="1">
      <c r="B30" s="326"/>
      <c r="C30" s="18"/>
      <c r="G30" s="221"/>
      <c r="J30" s="327"/>
      <c r="K30" s="328"/>
      <c r="L30" s="328"/>
    </row>
    <row r="31" spans="1:15" ht="20.149999999999999" customHeight="1">
      <c r="A31" s="304" t="s">
        <v>45</v>
      </c>
      <c r="B31" s="23" t="s">
        <v>46</v>
      </c>
      <c r="K31" s="220"/>
      <c r="L31" s="220"/>
    </row>
    <row r="32" spans="1:15" ht="20.149999999999999" customHeight="1" thickBot="1">
      <c r="B32" s="191" t="s">
        <v>47</v>
      </c>
      <c r="K32" s="220"/>
      <c r="L32" s="220"/>
    </row>
    <row r="33" spans="2:13" ht="38.25" customHeight="1" thickBot="1">
      <c r="B33" s="222" t="s">
        <v>48</v>
      </c>
      <c r="C33" s="223" t="s">
        <v>49</v>
      </c>
      <c r="D33" s="223" t="s">
        <v>50</v>
      </c>
      <c r="E33" s="331" t="s">
        <v>51</v>
      </c>
      <c r="F33" s="18"/>
      <c r="G33" s="16"/>
      <c r="H33" s="16"/>
      <c r="K33" s="15"/>
      <c r="L33" s="1008"/>
      <c r="M33" s="1008"/>
    </row>
    <row r="34" spans="2:13" ht="30" customHeight="1" thickBot="1">
      <c r="B34" s="329"/>
      <c r="C34" s="330"/>
      <c r="D34" s="57"/>
      <c r="E34" s="58"/>
      <c r="F34" s="15"/>
      <c r="G34" s="221"/>
      <c r="H34" s="221"/>
      <c r="K34" s="220"/>
      <c r="L34" s="220"/>
    </row>
    <row r="35" spans="2:13" ht="20.149999999999999" customHeight="1" thickBot="1">
      <c r="B35" s="191" t="s">
        <v>52</v>
      </c>
      <c r="K35" s="220"/>
      <c r="L35" s="220"/>
    </row>
    <row r="36" spans="2:13" ht="36.75" customHeight="1">
      <c r="B36" s="222" t="s">
        <v>53</v>
      </c>
      <c r="C36" s="223" t="s">
        <v>54</v>
      </c>
      <c r="D36" s="1004" t="s">
        <v>55</v>
      </c>
      <c r="E36" s="1004"/>
      <c r="F36" s="1005" t="s">
        <v>56</v>
      </c>
      <c r="G36" s="1006"/>
      <c r="H36" s="1004" t="s">
        <v>57</v>
      </c>
      <c r="I36" s="1004"/>
      <c r="J36" s="1007"/>
    </row>
    <row r="37" spans="2:13" ht="23.25" customHeight="1">
      <c r="B37" s="224">
        <v>1.5</v>
      </c>
      <c r="C37" s="225">
        <v>3</v>
      </c>
      <c r="D37" s="1006"/>
      <c r="E37" s="1006"/>
      <c r="F37" s="1006"/>
      <c r="G37" s="1006"/>
      <c r="H37" s="1004"/>
      <c r="I37" s="1004"/>
      <c r="J37" s="1007"/>
      <c r="K37" s="226"/>
      <c r="L37" s="226"/>
    </row>
    <row r="38" spans="2:13" ht="20.149999999999999" customHeight="1">
      <c r="B38" s="191" t="s">
        <v>58</v>
      </c>
      <c r="K38" s="227"/>
      <c r="L38" s="227"/>
    </row>
    <row r="39" spans="2:13" ht="20.149999999999999" customHeight="1">
      <c r="K39" s="227"/>
      <c r="L39" s="227"/>
    </row>
    <row r="40" spans="2:13" ht="20.149999999999999" customHeight="1">
      <c r="K40" s="227"/>
      <c r="L40" s="227"/>
    </row>
    <row r="41" spans="2:13" ht="20.149999999999999" customHeight="1">
      <c r="K41" s="227"/>
      <c r="L41" s="227"/>
    </row>
    <row r="42" spans="2:13" ht="20.149999999999999" customHeight="1"/>
    <row r="43" spans="2:13" ht="20.149999999999999" customHeight="1"/>
    <row r="44" spans="2:13" ht="20.149999999999999" customHeight="1"/>
    <row r="45" spans="2:13" ht="20.149999999999999" customHeight="1"/>
    <row r="46" spans="2:13" ht="20.149999999999999" customHeight="1">
      <c r="H46" s="15"/>
      <c r="I46" s="15"/>
      <c r="J46" s="15"/>
    </row>
    <row r="47" spans="2:13" ht="20.149999999999999" customHeight="1">
      <c r="H47" s="18"/>
      <c r="I47" s="18"/>
      <c r="J47" s="18"/>
    </row>
    <row r="48" spans="2:13" ht="20.149999999999999" customHeight="1">
      <c r="H48" s="18"/>
      <c r="I48" s="18"/>
      <c r="J48" s="18"/>
    </row>
    <row r="49" spans="8:10" ht="20.149999999999999" customHeight="1">
      <c r="H49" s="18"/>
      <c r="I49" s="18"/>
      <c r="J49" s="18"/>
    </row>
    <row r="50" spans="8:10" ht="20.149999999999999" customHeight="1"/>
    <row r="51" spans="8:10" ht="20.149999999999999" customHeight="1"/>
    <row r="52" spans="8:10" ht="20.149999999999999" customHeight="1"/>
    <row r="53" spans="8:10" ht="20.149999999999999" customHeight="1"/>
    <row r="54" spans="8:10" ht="20.149999999999999" customHeight="1"/>
    <row r="55" spans="8:10" ht="20.149999999999999" customHeight="1"/>
    <row r="56" spans="8:10" ht="20.149999999999999" customHeight="1"/>
    <row r="57" spans="8:10" ht="20.149999999999999" customHeight="1"/>
    <row r="58" spans="8:10" ht="20.149999999999999" customHeight="1"/>
    <row r="59" spans="8:10" ht="20.149999999999999" customHeight="1"/>
    <row r="60" spans="8:10" ht="20.149999999999999" customHeight="1"/>
    <row r="61" spans="8:10" ht="20.149999999999999" customHeight="1"/>
    <row r="62" spans="8:10" ht="20.149999999999999" customHeight="1"/>
    <row r="63" spans="8:10" ht="20.149999999999999" customHeight="1"/>
    <row r="64" spans="8:10" ht="20.149999999999999" hidden="1" customHeight="1"/>
    <row r="65" spans="1:20" ht="20.149999999999999" customHeight="1">
      <c r="B65" s="191" t="s">
        <v>59</v>
      </c>
      <c r="E65" s="228"/>
      <c r="F65" s="228"/>
      <c r="G65" s="228"/>
      <c r="H65" s="228"/>
      <c r="I65" s="228"/>
      <c r="J65" s="228"/>
      <c r="K65" s="228"/>
    </row>
    <row r="66" spans="1:20" ht="20.149999999999999" customHeight="1" thickBot="1">
      <c r="B66" s="191" t="s">
        <v>608</v>
      </c>
      <c r="E66" s="228"/>
      <c r="F66" s="228"/>
      <c r="G66" s="228"/>
      <c r="H66" s="228"/>
      <c r="I66" s="228"/>
      <c r="J66" s="228"/>
      <c r="K66" s="228"/>
    </row>
    <row r="67" spans="1:20" ht="20.149999999999999" customHeight="1" thickBot="1">
      <c r="B67" s="946" t="s">
        <v>60</v>
      </c>
      <c r="C67" s="946" t="s">
        <v>61</v>
      </c>
      <c r="D67" s="951" t="s">
        <v>62</v>
      </c>
      <c r="E67" s="952"/>
      <c r="F67" s="952"/>
      <c r="G67" s="952"/>
      <c r="H67" s="952"/>
      <c r="I67" s="952"/>
      <c r="J67" s="952"/>
      <c r="K67" s="952"/>
      <c r="L67" s="952"/>
      <c r="M67" s="953"/>
      <c r="N67" s="987" t="s">
        <v>63</v>
      </c>
      <c r="O67" s="988"/>
    </row>
    <row r="68" spans="1:20" ht="39" customHeight="1" thickBot="1">
      <c r="B68" s="947"/>
      <c r="C68" s="947"/>
      <c r="D68" s="358" t="s">
        <v>64</v>
      </c>
      <c r="E68" s="359" t="s">
        <v>65</v>
      </c>
      <c r="F68" s="360" t="s">
        <v>66</v>
      </c>
      <c r="G68" s="359" t="s">
        <v>67</v>
      </c>
      <c r="H68" s="358" t="s">
        <v>68</v>
      </c>
      <c r="I68" s="359" t="s">
        <v>69</v>
      </c>
      <c r="J68" s="358" t="s">
        <v>70</v>
      </c>
      <c r="K68" s="359" t="s">
        <v>71</v>
      </c>
      <c r="L68" s="361" t="s">
        <v>72</v>
      </c>
      <c r="M68" s="712" t="s">
        <v>73</v>
      </c>
      <c r="N68" s="989"/>
      <c r="O68" s="990"/>
      <c r="P68" s="18"/>
      <c r="Q68" s="18"/>
      <c r="R68" s="18"/>
    </row>
    <row r="69" spans="1:20" ht="27" customHeight="1">
      <c r="B69" s="948"/>
      <c r="C69" s="362" t="s">
        <v>74</v>
      </c>
      <c r="D69" s="339"/>
      <c r="E69" s="340"/>
      <c r="F69" s="336"/>
      <c r="G69" s="340"/>
      <c r="H69" s="347"/>
      <c r="I69" s="334"/>
      <c r="J69" s="350"/>
      <c r="K69" s="334"/>
      <c r="L69" s="345"/>
      <c r="M69" s="713"/>
      <c r="N69" s="991" t="s">
        <v>75</v>
      </c>
      <c r="O69" s="992"/>
      <c r="P69" s="18"/>
      <c r="Q69" s="18"/>
      <c r="R69" s="18"/>
    </row>
    <row r="70" spans="1:20" ht="27" customHeight="1">
      <c r="B70" s="949"/>
      <c r="C70" s="363" t="s">
        <v>76</v>
      </c>
      <c r="D70" s="341"/>
      <c r="E70" s="342"/>
      <c r="F70" s="337"/>
      <c r="G70" s="342"/>
      <c r="H70" s="348"/>
      <c r="I70" s="335"/>
      <c r="J70" s="322"/>
      <c r="K70" s="335"/>
      <c r="L70" s="305"/>
      <c r="M70" s="714"/>
      <c r="N70" s="993"/>
      <c r="O70" s="994"/>
      <c r="P70" s="18"/>
      <c r="Q70" s="18"/>
      <c r="R70" s="18"/>
    </row>
    <row r="71" spans="1:20" ht="27" customHeight="1">
      <c r="B71" s="949"/>
      <c r="C71" s="363" t="s">
        <v>77</v>
      </c>
      <c r="D71" s="341"/>
      <c r="E71" s="342"/>
      <c r="F71" s="337"/>
      <c r="G71" s="342"/>
      <c r="H71" s="348"/>
      <c r="I71" s="335"/>
      <c r="J71" s="322"/>
      <c r="K71" s="335"/>
      <c r="L71" s="305"/>
      <c r="M71" s="714"/>
      <c r="N71" s="993"/>
      <c r="O71" s="994"/>
      <c r="P71" s="18"/>
      <c r="Q71" s="18"/>
      <c r="R71" s="18"/>
      <c r="S71" s="207"/>
      <c r="T71" s="207"/>
    </row>
    <row r="72" spans="1:20" ht="27" customHeight="1">
      <c r="B72" s="949"/>
      <c r="C72" s="363" t="s">
        <v>78</v>
      </c>
      <c r="D72" s="341"/>
      <c r="E72" s="342"/>
      <c r="F72" s="337"/>
      <c r="G72" s="342"/>
      <c r="H72" s="348"/>
      <c r="I72" s="335"/>
      <c r="J72" s="322"/>
      <c r="K72" s="335"/>
      <c r="L72" s="305"/>
      <c r="M72" s="714"/>
      <c r="N72" s="993"/>
      <c r="O72" s="994"/>
      <c r="R72" s="207"/>
      <c r="S72" s="207"/>
      <c r="T72" s="207"/>
    </row>
    <row r="73" spans="1:20" ht="27" customHeight="1">
      <c r="B73" s="949"/>
      <c r="C73" s="363" t="s">
        <v>79</v>
      </c>
      <c r="D73" s="341"/>
      <c r="E73" s="342"/>
      <c r="F73" s="337"/>
      <c r="G73" s="342"/>
      <c r="H73" s="348"/>
      <c r="I73" s="335"/>
      <c r="J73" s="322"/>
      <c r="K73" s="335"/>
      <c r="L73" s="305"/>
      <c r="M73" s="714"/>
      <c r="N73" s="993"/>
      <c r="O73" s="994"/>
    </row>
    <row r="74" spans="1:20" ht="27" customHeight="1">
      <c r="B74" s="949"/>
      <c r="C74" s="363" t="s">
        <v>80</v>
      </c>
      <c r="D74" s="341"/>
      <c r="E74" s="342"/>
      <c r="F74" s="337"/>
      <c r="G74" s="342"/>
      <c r="H74" s="348"/>
      <c r="I74" s="335"/>
      <c r="J74" s="322"/>
      <c r="K74" s="335"/>
      <c r="L74" s="305"/>
      <c r="M74" s="714"/>
      <c r="N74" s="993"/>
      <c r="O74" s="994"/>
    </row>
    <row r="75" spans="1:20" ht="27" customHeight="1">
      <c r="B75" s="949"/>
      <c r="C75" s="363" t="s">
        <v>81</v>
      </c>
      <c r="D75" s="341"/>
      <c r="E75" s="342"/>
      <c r="F75" s="337"/>
      <c r="G75" s="342"/>
      <c r="H75" s="348"/>
      <c r="I75" s="335"/>
      <c r="J75" s="322"/>
      <c r="K75" s="335"/>
      <c r="L75" s="305"/>
      <c r="M75" s="714"/>
      <c r="N75" s="993"/>
      <c r="O75" s="994"/>
      <c r="S75" s="372"/>
      <c r="T75" s="373"/>
    </row>
    <row r="76" spans="1:20" ht="27" customHeight="1" thickBot="1">
      <c r="B76" s="950"/>
      <c r="C76" s="364" t="s">
        <v>82</v>
      </c>
      <c r="D76" s="343"/>
      <c r="E76" s="344"/>
      <c r="F76" s="338"/>
      <c r="G76" s="344"/>
      <c r="H76" s="349"/>
      <c r="I76" s="206"/>
      <c r="J76" s="351"/>
      <c r="K76" s="206"/>
      <c r="L76" s="346"/>
      <c r="M76" s="715"/>
      <c r="N76" s="995"/>
      <c r="O76" s="996"/>
      <c r="S76" s="372"/>
      <c r="T76" s="373"/>
    </row>
    <row r="77" spans="1:20" ht="25" customHeight="1">
      <c r="B77" s="365" t="s">
        <v>83</v>
      </c>
      <c r="C77" s="356"/>
      <c r="D77" s="959"/>
      <c r="E77" s="960"/>
      <c r="F77" s="961"/>
      <c r="G77" s="960"/>
      <c r="H77" s="227"/>
      <c r="I77" s="957"/>
      <c r="J77" s="957"/>
      <c r="K77" s="957"/>
      <c r="L77" s="957"/>
      <c r="M77" s="957"/>
      <c r="S77" s="372"/>
      <c r="T77" s="373"/>
    </row>
    <row r="78" spans="1:20" ht="25" customHeight="1" thickBot="1">
      <c r="B78" s="366" t="s">
        <v>84</v>
      </c>
      <c r="C78" s="357"/>
      <c r="D78" s="954"/>
      <c r="E78" s="955"/>
      <c r="F78" s="956"/>
      <c r="G78" s="955"/>
      <c r="H78" s="227"/>
      <c r="I78" s="957"/>
      <c r="J78" s="957"/>
      <c r="K78" s="957"/>
      <c r="L78" s="957"/>
      <c r="M78" s="957"/>
      <c r="S78" s="372"/>
      <c r="T78" s="373"/>
    </row>
    <row r="79" spans="1:20">
      <c r="S79" s="372"/>
      <c r="T79" s="373"/>
    </row>
    <row r="80" spans="1:20">
      <c r="A80" s="304" t="s">
        <v>85</v>
      </c>
      <c r="B80" s="958" t="s">
        <v>86</v>
      </c>
      <c r="C80" s="958"/>
      <c r="S80" s="372"/>
      <c r="T80" s="373"/>
    </row>
    <row r="81" spans="1:20">
      <c r="B81" s="205" t="s">
        <v>87</v>
      </c>
      <c r="S81" s="372"/>
      <c r="T81" s="373"/>
    </row>
    <row r="82" spans="1:20"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S82" s="372"/>
      <c r="T82" s="373"/>
    </row>
    <row r="83" spans="1:20"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S83" s="372"/>
      <c r="T83" s="373"/>
    </row>
    <row r="84" spans="1:20"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S84" s="372"/>
      <c r="T84" s="373"/>
    </row>
    <row r="85" spans="1:20">
      <c r="B85" s="194"/>
      <c r="C85" s="194"/>
      <c r="D85" s="194"/>
      <c r="E85" s="194"/>
      <c r="F85" s="194"/>
      <c r="G85" s="194"/>
      <c r="H85" s="194"/>
      <c r="I85" s="194"/>
      <c r="J85" s="194"/>
      <c r="K85" s="194"/>
    </row>
    <row r="86" spans="1:20">
      <c r="B86" s="205"/>
    </row>
    <row r="87" spans="1:20" ht="16" thickBot="1">
      <c r="A87" s="304" t="s">
        <v>88</v>
      </c>
      <c r="B87" s="203" t="s">
        <v>89</v>
      </c>
    </row>
    <row r="88" spans="1:20" ht="16" thickBot="1">
      <c r="B88" s="235"/>
      <c r="C88" s="192" t="s">
        <v>90</v>
      </c>
      <c r="P88" s="354"/>
    </row>
    <row r="89" spans="1:20" ht="16" hidden="1" thickBot="1">
      <c r="B89" s="235"/>
      <c r="C89" s="38" t="s">
        <v>91</v>
      </c>
      <c r="P89" s="354"/>
    </row>
    <row r="90" spans="1:20" ht="16" hidden="1" thickBot="1">
      <c r="B90" s="235"/>
      <c r="C90" s="38" t="s">
        <v>92</v>
      </c>
      <c r="P90" s="355"/>
    </row>
    <row r="91" spans="1:20" ht="16" thickBot="1">
      <c r="B91" s="235"/>
      <c r="C91" s="38" t="s">
        <v>93</v>
      </c>
      <c r="P91" s="355"/>
    </row>
    <row r="92" spans="1:20" ht="16" thickBot="1">
      <c r="B92" s="235"/>
      <c r="C92" s="38" t="s">
        <v>599</v>
      </c>
      <c r="P92" s="355"/>
    </row>
    <row r="93" spans="1:20" ht="16" thickBot="1">
      <c r="B93" s="235"/>
      <c r="C93" s="38" t="s">
        <v>598</v>
      </c>
      <c r="P93" s="355"/>
    </row>
    <row r="94" spans="1:20" ht="16" thickBot="1">
      <c r="B94" s="235"/>
      <c r="C94" s="38" t="s">
        <v>601</v>
      </c>
      <c r="P94" s="355"/>
    </row>
    <row r="95" spans="1:20" ht="16" thickBot="1">
      <c r="B95" s="235"/>
      <c r="C95" s="38" t="s">
        <v>602</v>
      </c>
      <c r="P95" s="355"/>
    </row>
    <row r="96" spans="1:20" ht="16" thickBot="1">
      <c r="B96" s="235"/>
      <c r="C96" s="38" t="s">
        <v>94</v>
      </c>
      <c r="P96" s="355"/>
    </row>
    <row r="97" spans="1:258" ht="16" thickBot="1">
      <c r="B97" s="235"/>
      <c r="C97" s="38" t="s">
        <v>600</v>
      </c>
      <c r="P97" s="355"/>
    </row>
    <row r="98" spans="1:258" ht="16" thickBot="1">
      <c r="B98" s="235"/>
      <c r="C98" s="38" t="s">
        <v>95</v>
      </c>
    </row>
    <row r="99" spans="1:258" ht="16" thickBot="1">
      <c r="B99" s="235"/>
      <c r="C99" s="38" t="s">
        <v>96</v>
      </c>
      <c r="D99" s="18"/>
      <c r="Q99" s="230"/>
      <c r="S99" s="18"/>
      <c r="T99" s="18"/>
      <c r="IX99" s="191"/>
    </row>
    <row r="100" spans="1:258" ht="16" thickBot="1">
      <c r="B100" s="235"/>
      <c r="C100" s="38" t="s">
        <v>97</v>
      </c>
      <c r="D100" s="18"/>
      <c r="Q100" s="230"/>
      <c r="S100" s="18"/>
      <c r="T100" s="18"/>
      <c r="IX100" s="191"/>
    </row>
    <row r="101" spans="1:258" ht="16" thickBot="1">
      <c r="B101" s="235"/>
      <c r="C101" s="191" t="s">
        <v>98</v>
      </c>
      <c r="S101" s="367"/>
      <c r="T101" s="367"/>
    </row>
    <row r="102" spans="1:258" ht="16" thickBot="1">
      <c r="B102" s="235"/>
      <c r="C102" s="236" t="s">
        <v>99</v>
      </c>
      <c r="S102" s="367"/>
    </row>
    <row r="103" spans="1:258" ht="16" thickBot="1">
      <c r="B103" s="235"/>
      <c r="C103" s="191" t="s">
        <v>100</v>
      </c>
      <c r="S103" s="367"/>
    </row>
    <row r="104" spans="1:258" ht="16" thickBot="1">
      <c r="B104" s="235"/>
      <c r="C104" s="191" t="s">
        <v>101</v>
      </c>
      <c r="S104" s="367"/>
    </row>
    <row r="105" spans="1:258">
      <c r="S105" s="367"/>
    </row>
    <row r="106" spans="1:258">
      <c r="A106" s="304" t="s">
        <v>102</v>
      </c>
      <c r="B106" s="39" t="s">
        <v>103</v>
      </c>
      <c r="C106" s="221"/>
      <c r="S106" s="367"/>
    </row>
    <row r="107" spans="1:258">
      <c r="B107" s="192" t="s">
        <v>104</v>
      </c>
      <c r="C107" s="221"/>
      <c r="M107" s="352" t="s">
        <v>26</v>
      </c>
      <c r="S107" s="367"/>
    </row>
    <row r="108" spans="1:258" ht="15.75" customHeight="1">
      <c r="B108" s="38"/>
      <c r="C108" s="221"/>
    </row>
    <row r="109" spans="1:258">
      <c r="A109" s="304" t="s">
        <v>105</v>
      </c>
      <c r="B109" s="231" t="s">
        <v>106</v>
      </c>
      <c r="C109" s="232"/>
    </row>
    <row r="110" spans="1:258">
      <c r="B110" s="194"/>
      <c r="C110" s="194"/>
      <c r="D110" s="194"/>
    </row>
    <row r="112" spans="1:258">
      <c r="B112" s="221"/>
      <c r="C112" s="221"/>
    </row>
    <row r="113" spans="2:13">
      <c r="B113" s="221"/>
      <c r="C113" s="221"/>
    </row>
    <row r="114" spans="2:13">
      <c r="B114" s="38"/>
      <c r="C114" s="221"/>
    </row>
    <row r="115" spans="2:13">
      <c r="B115" s="38"/>
      <c r="C115" s="221"/>
    </row>
    <row r="116" spans="2:13">
      <c r="B116" s="38"/>
      <c r="C116" s="221"/>
    </row>
    <row r="117" spans="2:13">
      <c r="B117" s="38"/>
      <c r="C117" s="221"/>
    </row>
    <row r="118" spans="2:13" ht="16" thickBot="1">
      <c r="B118" s="38"/>
      <c r="C118" s="221"/>
    </row>
    <row r="119" spans="2:13">
      <c r="B119" s="38"/>
      <c r="C119" s="221"/>
      <c r="M119" s="942"/>
    </row>
    <row r="120" spans="2:13">
      <c r="B120" s="38"/>
      <c r="C120" s="221"/>
      <c r="M120" s="943"/>
    </row>
    <row r="121" spans="2:13">
      <c r="B121" s="38"/>
      <c r="C121" s="221"/>
      <c r="M121" s="943"/>
    </row>
    <row r="122" spans="2:13" ht="16" thickBot="1">
      <c r="B122" s="38"/>
      <c r="C122" s="221"/>
      <c r="M122" s="944"/>
    </row>
    <row r="123" spans="2:13">
      <c r="B123" s="232"/>
      <c r="C123" s="232"/>
    </row>
    <row r="124" spans="2:13">
      <c r="B124" s="232"/>
      <c r="C124" s="232"/>
    </row>
    <row r="126" spans="2:13">
      <c r="E126" s="233"/>
    </row>
    <row r="128" spans="2:13">
      <c r="D128" s="233"/>
    </row>
    <row r="129" spans="2:13">
      <c r="D129" s="233"/>
    </row>
    <row r="130" spans="2:13">
      <c r="D130" s="233"/>
    </row>
    <row r="132" spans="2:13" hidden="1"/>
    <row r="133" spans="2:13" hidden="1"/>
    <row r="134" spans="2:13" hidden="1"/>
    <row r="135" spans="2:13" hidden="1">
      <c r="B135" s="18"/>
      <c r="C135" s="18"/>
      <c r="D135" s="18"/>
    </row>
    <row r="136" spans="2:13" ht="15" customHeight="1">
      <c r="B136" s="18"/>
      <c r="C136" s="18"/>
      <c r="D136" s="18"/>
      <c r="L136" s="18"/>
    </row>
    <row r="137" spans="2:13">
      <c r="B137" s="333"/>
      <c r="C137" s="333"/>
      <c r="D137" s="18"/>
      <c r="L137" s="18"/>
    </row>
    <row r="138" spans="2:13">
      <c r="D138" s="309" t="s">
        <v>23</v>
      </c>
    </row>
    <row r="139" spans="2:13">
      <c r="B139" s="945" t="s">
        <v>107</v>
      </c>
      <c r="C139" s="945"/>
      <c r="D139" s="332">
        <v>0.5</v>
      </c>
      <c r="M139" s="18"/>
    </row>
  </sheetData>
  <mergeCells count="40">
    <mergeCell ref="N67:O68"/>
    <mergeCell ref="N69:O76"/>
    <mergeCell ref="E16:F16"/>
    <mergeCell ref="C23:I23"/>
    <mergeCell ref="J23:K23"/>
    <mergeCell ref="L23:M23"/>
    <mergeCell ref="K29:L29"/>
    <mergeCell ref="D36:E36"/>
    <mergeCell ref="F36:G36"/>
    <mergeCell ref="H36:J36"/>
    <mergeCell ref="L33:M33"/>
    <mergeCell ref="D37:E37"/>
    <mergeCell ref="F37:G37"/>
    <mergeCell ref="H37:J37"/>
    <mergeCell ref="A1:N1"/>
    <mergeCell ref="A2:N2"/>
    <mergeCell ref="K28:L28"/>
    <mergeCell ref="L27:M27"/>
    <mergeCell ref="L25:M25"/>
    <mergeCell ref="L24:M24"/>
    <mergeCell ref="J27:K27"/>
    <mergeCell ref="J25:K25"/>
    <mergeCell ref="J24:K24"/>
    <mergeCell ref="F19:J20"/>
    <mergeCell ref="C27:I27"/>
    <mergeCell ref="C25:I25"/>
    <mergeCell ref="C24:I24"/>
    <mergeCell ref="M119:M122"/>
    <mergeCell ref="B139:C139"/>
    <mergeCell ref="B67:B68"/>
    <mergeCell ref="B69:B76"/>
    <mergeCell ref="C67:C68"/>
    <mergeCell ref="D67:M67"/>
    <mergeCell ref="D78:E78"/>
    <mergeCell ref="F78:G78"/>
    <mergeCell ref="I78:M78"/>
    <mergeCell ref="B80:C80"/>
    <mergeCell ref="D77:E77"/>
    <mergeCell ref="F77:G77"/>
    <mergeCell ref="I77:M77"/>
  </mergeCells>
  <printOptions horizontalCentered="1"/>
  <pageMargins left="0.511811023622047" right="0.23622047244094499" top="0.511811023622047" bottom="0.23622047244094499" header="0.23622047244094499" footer="0.23622047244094499"/>
  <pageSetup paperSize="9" scale="64" orientation="portrait" r:id="rId1"/>
  <headerFooter>
    <oddHeader>&amp;R&amp;"-,Regular"&amp;8SH.LK -  028-18 / Rev : 1</oddHeader>
  </headerFooter>
  <rowBreaks count="1" manualBreakCount="1">
    <brk id="64" max="14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0B82-08A6-4031-BF34-FE64E75D785D}">
  <sheetPr codeName="Sheet8"/>
  <dimension ref="A1:AL410"/>
  <sheetViews>
    <sheetView topLeftCell="A387" workbookViewId="0">
      <selection activeCell="A410" sqref="A410:L410"/>
    </sheetView>
  </sheetViews>
  <sheetFormatPr defaultColWidth="8.7265625" defaultRowHeight="12.5"/>
  <cols>
    <col min="1" max="1" width="9.453125" style="375" bestFit="1" customWidth="1"/>
    <col min="2" max="2" width="8.7265625" style="375"/>
    <col min="3" max="3" width="9.26953125" style="375" bestFit="1" customWidth="1"/>
    <col min="4" max="4" width="8.7265625" style="375"/>
    <col min="5" max="5" width="9.453125" style="375" bestFit="1" customWidth="1"/>
    <col min="6" max="7" width="8.7265625" style="375"/>
    <col min="8" max="8" width="9.453125" style="375" bestFit="1" customWidth="1"/>
    <col min="9" max="17" width="8.7265625" style="375"/>
    <col min="18" max="18" width="10" style="375" bestFit="1" customWidth="1"/>
    <col min="19" max="19" width="8.7265625" style="375"/>
    <col min="20" max="20" width="10" style="375" bestFit="1" customWidth="1"/>
    <col min="21" max="21" width="8.81640625" style="375" customWidth="1"/>
    <col min="22" max="16384" width="8.7265625" style="375"/>
  </cols>
  <sheetData>
    <row r="1" spans="1:24" ht="18" thickBot="1">
      <c r="A1" s="1214" t="s">
        <v>432</v>
      </c>
      <c r="B1" s="1215"/>
      <c r="C1" s="1215"/>
      <c r="D1" s="1215"/>
      <c r="E1" s="1215"/>
      <c r="F1" s="1215"/>
      <c r="G1" s="1215"/>
      <c r="H1" s="1215"/>
      <c r="I1" s="1215"/>
      <c r="J1" s="1215"/>
      <c r="K1" s="1215"/>
      <c r="L1" s="1215"/>
      <c r="M1" s="1215"/>
      <c r="N1" s="1215"/>
      <c r="O1" s="1215"/>
      <c r="P1" s="1215"/>
      <c r="Q1" s="1215"/>
      <c r="R1" s="1215"/>
      <c r="S1" s="1215"/>
      <c r="T1" s="1215"/>
      <c r="U1" s="1215"/>
    </row>
    <row r="2" spans="1:24">
      <c r="A2" s="1212">
        <v>1</v>
      </c>
      <c r="B2" s="1213" t="s">
        <v>433</v>
      </c>
      <c r="C2" s="1213"/>
      <c r="D2" s="1213"/>
      <c r="E2" s="1213"/>
      <c r="F2" s="1213"/>
      <c r="G2" s="1213"/>
      <c r="I2" s="1213" t="str">
        <f>B2</f>
        <v>KOREKSI KIMO THERMOHYGROMETER 15062873</v>
      </c>
      <c r="J2" s="1213"/>
      <c r="K2" s="1213"/>
      <c r="L2" s="1213"/>
      <c r="M2" s="1213"/>
      <c r="N2" s="1213"/>
      <c r="P2" s="1213" t="str">
        <f>I2</f>
        <v>KOREKSI KIMO THERMOHYGROMETER 15062873</v>
      </c>
      <c r="Q2" s="1213"/>
      <c r="R2" s="1213"/>
      <c r="S2" s="1213"/>
      <c r="T2" s="1213"/>
      <c r="U2" s="1213"/>
      <c r="W2" s="1207" t="s">
        <v>397</v>
      </c>
      <c r="X2" s="1208"/>
    </row>
    <row r="3" spans="1:24" ht="13">
      <c r="A3" s="1212"/>
      <c r="B3" s="1209" t="s">
        <v>434</v>
      </c>
      <c r="C3" s="1209"/>
      <c r="D3" s="1209" t="s">
        <v>435</v>
      </c>
      <c r="E3" s="1209"/>
      <c r="F3" s="1209"/>
      <c r="G3" s="1209" t="s">
        <v>386</v>
      </c>
      <c r="I3" s="1209" t="s">
        <v>436</v>
      </c>
      <c r="J3" s="1209"/>
      <c r="K3" s="1209" t="s">
        <v>435</v>
      </c>
      <c r="L3" s="1209"/>
      <c r="M3" s="1209"/>
      <c r="N3" s="1209" t="s">
        <v>386</v>
      </c>
      <c r="P3" s="1209" t="s">
        <v>437</v>
      </c>
      <c r="Q3" s="1209"/>
      <c r="R3" s="1209" t="s">
        <v>435</v>
      </c>
      <c r="S3" s="1209"/>
      <c r="T3" s="1209"/>
      <c r="U3" s="1209" t="s">
        <v>386</v>
      </c>
      <c r="W3" s="473" t="s">
        <v>434</v>
      </c>
      <c r="X3" s="474">
        <v>0.5</v>
      </c>
    </row>
    <row r="4" spans="1:24" ht="14.5">
      <c r="A4" s="1212"/>
      <c r="B4" s="1210" t="s">
        <v>438</v>
      </c>
      <c r="C4" s="1210"/>
      <c r="D4" s="475">
        <v>2023</v>
      </c>
      <c r="E4" s="475">
        <v>2021</v>
      </c>
      <c r="F4" s="475">
        <v>2020</v>
      </c>
      <c r="G4" s="1209"/>
      <c r="I4" s="1211" t="s">
        <v>18</v>
      </c>
      <c r="J4" s="1210"/>
      <c r="K4" s="475">
        <f>D4</f>
        <v>2023</v>
      </c>
      <c r="L4" s="475">
        <f>E4</f>
        <v>2021</v>
      </c>
      <c r="M4" s="475">
        <f>F4</f>
        <v>2020</v>
      </c>
      <c r="N4" s="1209"/>
      <c r="P4" s="1211" t="s">
        <v>439</v>
      </c>
      <c r="Q4" s="1210"/>
      <c r="R4" s="475">
        <f>K4</f>
        <v>2023</v>
      </c>
      <c r="S4" s="475">
        <f>L4</f>
        <v>2021</v>
      </c>
      <c r="T4" s="475">
        <v>2016</v>
      </c>
      <c r="U4" s="1209"/>
      <c r="W4" s="473" t="s">
        <v>18</v>
      </c>
      <c r="X4" s="474">
        <v>2.6</v>
      </c>
    </row>
    <row r="5" spans="1:24" ht="13.5" thickBot="1">
      <c r="A5" s="1212"/>
      <c r="B5" s="422">
        <v>1</v>
      </c>
      <c r="C5" s="476">
        <v>15</v>
      </c>
      <c r="D5" s="477">
        <v>0.3</v>
      </c>
      <c r="E5" s="477">
        <v>0.1</v>
      </c>
      <c r="F5" s="477">
        <v>-0.5</v>
      </c>
      <c r="G5" s="478">
        <f>0.5*(MAX(D5:F5)-MIN(D5:F5))</f>
        <v>0.4</v>
      </c>
      <c r="I5" s="422">
        <v>1</v>
      </c>
      <c r="J5" s="476">
        <v>35</v>
      </c>
      <c r="K5" s="477">
        <v>-5</v>
      </c>
      <c r="L5" s="477">
        <v>-14.4</v>
      </c>
      <c r="M5" s="477">
        <v>-6</v>
      </c>
      <c r="N5" s="478">
        <f>0.5*(MAX(K5:M5)-MIN(K5:M5))</f>
        <v>4.7</v>
      </c>
      <c r="P5" s="422">
        <v>1</v>
      </c>
      <c r="Q5" s="476">
        <v>750</v>
      </c>
      <c r="R5" s="479" t="s">
        <v>156</v>
      </c>
      <c r="S5" s="479" t="s">
        <v>156</v>
      </c>
      <c r="T5" s="476">
        <v>9.9999999999999995E-7</v>
      </c>
      <c r="U5" s="478">
        <f>0.5*(MAX(R5:T5)-MIN(R5:T5))</f>
        <v>0</v>
      </c>
      <c r="W5" s="480" t="s">
        <v>439</v>
      </c>
      <c r="X5" s="481">
        <v>0</v>
      </c>
    </row>
    <row r="6" spans="1:24" ht="13">
      <c r="A6" s="1212"/>
      <c r="B6" s="422">
        <v>2</v>
      </c>
      <c r="C6" s="476">
        <v>20</v>
      </c>
      <c r="D6" s="477">
        <v>0</v>
      </c>
      <c r="E6" s="477">
        <v>0.1</v>
      </c>
      <c r="F6" s="477">
        <v>-0.2</v>
      </c>
      <c r="G6" s="478">
        <f t="shared" ref="G6:G11" si="0">0.5*(MAX(D6:F6)-MIN(D6:F6))</f>
        <v>0.15000000000000002</v>
      </c>
      <c r="I6" s="422">
        <v>2</v>
      </c>
      <c r="J6" s="476">
        <v>40</v>
      </c>
      <c r="K6" s="477">
        <v>-5.9</v>
      </c>
      <c r="L6" s="477">
        <v>-11.5</v>
      </c>
      <c r="M6" s="477">
        <v>-5.8</v>
      </c>
      <c r="N6" s="478">
        <f t="shared" ref="N6:N11" si="1">0.5*(MAX(K6:M6)-MIN(K6:M6))</f>
        <v>2.85</v>
      </c>
      <c r="P6" s="422">
        <v>2</v>
      </c>
      <c r="Q6" s="476">
        <v>800</v>
      </c>
      <c r="R6" s="479" t="s">
        <v>156</v>
      </c>
      <c r="S6" s="479" t="s">
        <v>156</v>
      </c>
      <c r="T6" s="476">
        <v>9.9999999999999995E-7</v>
      </c>
      <c r="U6" s="478">
        <f t="shared" ref="U6:U11" si="2">0.5*(MAX(R6:T6)-MIN(R6:T6))</f>
        <v>0</v>
      </c>
    </row>
    <row r="7" spans="1:24" ht="13">
      <c r="A7" s="1212"/>
      <c r="B7" s="422">
        <v>3</v>
      </c>
      <c r="C7" s="476">
        <v>25</v>
      </c>
      <c r="D7" s="477">
        <v>-0.1</v>
      </c>
      <c r="E7" s="477">
        <v>0.1</v>
      </c>
      <c r="F7" s="477">
        <v>9.9999999999999995E-7</v>
      </c>
      <c r="G7" s="478">
        <f t="shared" si="0"/>
        <v>0.1</v>
      </c>
      <c r="I7" s="422">
        <v>3</v>
      </c>
      <c r="J7" s="476">
        <v>50</v>
      </c>
      <c r="K7" s="477">
        <v>-6.6</v>
      </c>
      <c r="L7" s="477">
        <v>-9.1</v>
      </c>
      <c r="M7" s="477">
        <v>-5.3</v>
      </c>
      <c r="N7" s="478">
        <f t="shared" si="1"/>
        <v>1.9</v>
      </c>
      <c r="P7" s="422">
        <v>3</v>
      </c>
      <c r="Q7" s="476">
        <v>850</v>
      </c>
      <c r="R7" s="479" t="s">
        <v>156</v>
      </c>
      <c r="S7" s="479" t="s">
        <v>156</v>
      </c>
      <c r="T7" s="476">
        <v>9.9999999999999995E-7</v>
      </c>
      <c r="U7" s="478">
        <f t="shared" si="2"/>
        <v>0</v>
      </c>
    </row>
    <row r="8" spans="1:24" ht="13">
      <c r="A8" s="1212"/>
      <c r="B8" s="422">
        <v>4</v>
      </c>
      <c r="C8" s="482">
        <v>30</v>
      </c>
      <c r="D8" s="483">
        <v>-0.1</v>
      </c>
      <c r="E8" s="483">
        <v>0</v>
      </c>
      <c r="F8" s="483">
        <v>9.9999999999999995E-7</v>
      </c>
      <c r="G8" s="478">
        <f t="shared" si="0"/>
        <v>5.0000500000000003E-2</v>
      </c>
      <c r="I8" s="422">
        <v>4</v>
      </c>
      <c r="J8" s="482">
        <v>60</v>
      </c>
      <c r="K8" s="483">
        <v>-6</v>
      </c>
      <c r="L8" s="483">
        <v>-6.9</v>
      </c>
      <c r="M8" s="483">
        <v>-4.4000000000000004</v>
      </c>
      <c r="N8" s="478">
        <f t="shared" si="1"/>
        <v>1.25</v>
      </c>
      <c r="P8" s="422">
        <v>4</v>
      </c>
      <c r="Q8" s="482">
        <v>900</v>
      </c>
      <c r="R8" s="483" t="s">
        <v>156</v>
      </c>
      <c r="S8" s="479" t="s">
        <v>156</v>
      </c>
      <c r="T8" s="476">
        <v>9.9999999999999995E-7</v>
      </c>
      <c r="U8" s="478">
        <f t="shared" si="2"/>
        <v>0</v>
      </c>
    </row>
    <row r="9" spans="1:24" ht="13">
      <c r="A9" s="1212"/>
      <c r="B9" s="422">
        <v>5</v>
      </c>
      <c r="C9" s="482">
        <v>35</v>
      </c>
      <c r="D9" s="483">
        <v>0</v>
      </c>
      <c r="E9" s="483">
        <v>-0.2</v>
      </c>
      <c r="F9" s="483">
        <v>-0.1</v>
      </c>
      <c r="G9" s="478">
        <f t="shared" si="0"/>
        <v>0.1</v>
      </c>
      <c r="I9" s="422">
        <v>5</v>
      </c>
      <c r="J9" s="482">
        <v>70</v>
      </c>
      <c r="K9" s="483">
        <v>-4</v>
      </c>
      <c r="L9" s="483">
        <v>-5.0999999999999996</v>
      </c>
      <c r="M9" s="483">
        <v>-3.2</v>
      </c>
      <c r="N9" s="478">
        <f t="shared" si="1"/>
        <v>0.94999999999999973</v>
      </c>
      <c r="P9" s="422">
        <v>5</v>
      </c>
      <c r="Q9" s="482">
        <v>1000</v>
      </c>
      <c r="R9" s="483" t="s">
        <v>156</v>
      </c>
      <c r="S9" s="479" t="s">
        <v>156</v>
      </c>
      <c r="T9" s="476">
        <v>9.9999999999999995E-7</v>
      </c>
      <c r="U9" s="478">
        <f t="shared" si="2"/>
        <v>0</v>
      </c>
    </row>
    <row r="10" spans="1:24" ht="13">
      <c r="A10" s="1212"/>
      <c r="B10" s="422">
        <v>6</v>
      </c>
      <c r="C10" s="482">
        <v>37</v>
      </c>
      <c r="D10" s="483">
        <v>0.1</v>
      </c>
      <c r="E10" s="483">
        <v>-0.3</v>
      </c>
      <c r="F10" s="483">
        <v>-0.2</v>
      </c>
      <c r="G10" s="478">
        <f t="shared" si="0"/>
        <v>0.2</v>
      </c>
      <c r="I10" s="422">
        <v>6</v>
      </c>
      <c r="J10" s="482">
        <v>80</v>
      </c>
      <c r="K10" s="483">
        <v>-0.7</v>
      </c>
      <c r="L10" s="483">
        <v>-3.7</v>
      </c>
      <c r="M10" s="483">
        <v>-1.6</v>
      </c>
      <c r="N10" s="478">
        <f t="shared" si="1"/>
        <v>1.5</v>
      </c>
      <c r="P10" s="422">
        <v>6</v>
      </c>
      <c r="Q10" s="482">
        <v>1005</v>
      </c>
      <c r="R10" s="483" t="s">
        <v>156</v>
      </c>
      <c r="S10" s="479" t="s">
        <v>156</v>
      </c>
      <c r="T10" s="476">
        <v>9.9999999999999995E-7</v>
      </c>
      <c r="U10" s="478">
        <f t="shared" si="2"/>
        <v>0</v>
      </c>
    </row>
    <row r="11" spans="1:24" ht="13.5" thickBot="1">
      <c r="A11" s="1212"/>
      <c r="B11" s="422">
        <v>7</v>
      </c>
      <c r="C11" s="482">
        <v>40</v>
      </c>
      <c r="D11" s="483">
        <v>0.3</v>
      </c>
      <c r="E11" s="483">
        <v>-0.4</v>
      </c>
      <c r="F11" s="483">
        <v>-0.3</v>
      </c>
      <c r="G11" s="478">
        <f t="shared" si="0"/>
        <v>0.35</v>
      </c>
      <c r="I11" s="422">
        <v>7</v>
      </c>
      <c r="J11" s="482">
        <v>90</v>
      </c>
      <c r="K11" s="483">
        <v>4</v>
      </c>
      <c r="L11" s="483">
        <v>-2.7</v>
      </c>
      <c r="M11" s="483">
        <v>0.3</v>
      </c>
      <c r="N11" s="478">
        <f t="shared" si="1"/>
        <v>3.35</v>
      </c>
      <c r="P11" s="422">
        <v>7</v>
      </c>
      <c r="Q11" s="482">
        <v>1020</v>
      </c>
      <c r="R11" s="483" t="s">
        <v>156</v>
      </c>
      <c r="S11" s="479" t="s">
        <v>156</v>
      </c>
      <c r="T11" s="476">
        <v>9.9999999999999995E-7</v>
      </c>
      <c r="U11" s="478">
        <f t="shared" si="2"/>
        <v>0</v>
      </c>
    </row>
    <row r="12" spans="1:24" ht="13.5" thickBot="1">
      <c r="A12" s="484"/>
      <c r="B12" s="485"/>
      <c r="O12" s="486"/>
      <c r="P12" s="487"/>
    </row>
    <row r="13" spans="1:24">
      <c r="A13" s="1212">
        <v>2</v>
      </c>
      <c r="B13" s="1213" t="s">
        <v>440</v>
      </c>
      <c r="C13" s="1213"/>
      <c r="D13" s="1213"/>
      <c r="E13" s="1213"/>
      <c r="F13" s="1213"/>
      <c r="G13" s="1213"/>
      <c r="I13" s="1213" t="str">
        <f>B13</f>
        <v>KOREKSI KIMO THERMOHYGROMETER 15062874</v>
      </c>
      <c r="J13" s="1213"/>
      <c r="K13" s="1213"/>
      <c r="L13" s="1213"/>
      <c r="M13" s="1213"/>
      <c r="N13" s="1213"/>
      <c r="P13" s="1213" t="str">
        <f>I13</f>
        <v>KOREKSI KIMO THERMOHYGROMETER 15062874</v>
      </c>
      <c r="Q13" s="1213"/>
      <c r="R13" s="1213"/>
      <c r="S13" s="1213"/>
      <c r="T13" s="1213"/>
      <c r="U13" s="1213"/>
      <c r="W13" s="1207" t="s">
        <v>397</v>
      </c>
      <c r="X13" s="1208"/>
    </row>
    <row r="14" spans="1:24" ht="13">
      <c r="A14" s="1212"/>
      <c r="B14" s="1209" t="s">
        <v>434</v>
      </c>
      <c r="C14" s="1209"/>
      <c r="D14" s="1209" t="s">
        <v>435</v>
      </c>
      <c r="E14" s="1209"/>
      <c r="F14" s="1209"/>
      <c r="G14" s="1209" t="s">
        <v>386</v>
      </c>
      <c r="I14" s="1209" t="s">
        <v>436</v>
      </c>
      <c r="J14" s="1209"/>
      <c r="K14" s="1209" t="s">
        <v>435</v>
      </c>
      <c r="L14" s="1209"/>
      <c r="M14" s="1209"/>
      <c r="N14" s="1209" t="s">
        <v>386</v>
      </c>
      <c r="P14" s="1209" t="s">
        <v>437</v>
      </c>
      <c r="Q14" s="1209"/>
      <c r="R14" s="1209" t="s">
        <v>435</v>
      </c>
      <c r="S14" s="1209"/>
      <c r="T14" s="1209"/>
      <c r="U14" s="1209" t="s">
        <v>386</v>
      </c>
      <c r="W14" s="473" t="s">
        <v>434</v>
      </c>
      <c r="X14" s="474">
        <v>0.5</v>
      </c>
    </row>
    <row r="15" spans="1:24" ht="14.5">
      <c r="A15" s="1212"/>
      <c r="B15" s="1210" t="s">
        <v>438</v>
      </c>
      <c r="C15" s="1210"/>
      <c r="D15" s="475">
        <v>2023</v>
      </c>
      <c r="E15" s="475">
        <v>2021</v>
      </c>
      <c r="F15" s="475">
        <v>2018</v>
      </c>
      <c r="G15" s="1209"/>
      <c r="I15" s="1211" t="s">
        <v>18</v>
      </c>
      <c r="J15" s="1210"/>
      <c r="K15" s="475">
        <f>D15</f>
        <v>2023</v>
      </c>
      <c r="L15" s="475">
        <f>E15</f>
        <v>2021</v>
      </c>
      <c r="M15" s="475">
        <f>F15</f>
        <v>2018</v>
      </c>
      <c r="N15" s="1209"/>
      <c r="P15" s="1211" t="s">
        <v>439</v>
      </c>
      <c r="Q15" s="1210"/>
      <c r="R15" s="475">
        <f>K15</f>
        <v>2023</v>
      </c>
      <c r="S15" s="475">
        <f>L15</f>
        <v>2021</v>
      </c>
      <c r="T15" s="475">
        <f>M15</f>
        <v>2018</v>
      </c>
      <c r="U15" s="1209"/>
      <c r="W15" s="473" t="s">
        <v>18</v>
      </c>
      <c r="X15" s="474">
        <v>3.3</v>
      </c>
    </row>
    <row r="16" spans="1:24" ht="13.5" thickBot="1">
      <c r="A16" s="1212"/>
      <c r="B16" s="422">
        <v>1</v>
      </c>
      <c r="C16" s="476">
        <v>15</v>
      </c>
      <c r="D16" s="477">
        <v>0.2</v>
      </c>
      <c r="E16" s="477">
        <v>0.4</v>
      </c>
      <c r="F16" s="477">
        <v>9.9999999999999995E-7</v>
      </c>
      <c r="G16" s="478">
        <f>0.5*(MAX(D16:F16)-MIN(D16:F16))</f>
        <v>0.19999950000000002</v>
      </c>
      <c r="I16" s="422">
        <v>1</v>
      </c>
      <c r="J16" s="476">
        <v>35</v>
      </c>
      <c r="K16" s="477">
        <v>-12.6</v>
      </c>
      <c r="L16" s="477">
        <v>-6.9</v>
      </c>
      <c r="M16" s="477">
        <v>-1.6</v>
      </c>
      <c r="N16" s="478">
        <f>0.5*(MAX(K16:M16)-MIN(K16:M16))</f>
        <v>5.5</v>
      </c>
      <c r="P16" s="422">
        <v>1</v>
      </c>
      <c r="Q16" s="476">
        <v>750</v>
      </c>
      <c r="R16" s="479" t="s">
        <v>156</v>
      </c>
      <c r="S16" s="479" t="s">
        <v>156</v>
      </c>
      <c r="T16" s="476" t="s">
        <v>156</v>
      </c>
      <c r="U16" s="478">
        <f>0.5*(MAX(R16:T16)-MIN(R16:T16))</f>
        <v>0</v>
      </c>
      <c r="W16" s="480" t="s">
        <v>439</v>
      </c>
      <c r="X16" s="481">
        <v>0</v>
      </c>
    </row>
    <row r="17" spans="1:24" ht="13">
      <c r="A17" s="1212"/>
      <c r="B17" s="422">
        <v>2</v>
      </c>
      <c r="C17" s="476">
        <v>20</v>
      </c>
      <c r="D17" s="477">
        <v>0.2</v>
      </c>
      <c r="E17" s="477">
        <v>0.7</v>
      </c>
      <c r="F17" s="477">
        <v>-0.1</v>
      </c>
      <c r="G17" s="478">
        <f t="shared" ref="G17:G22" si="3">0.5*(MAX(D17:F17)-MIN(D17:F17))</f>
        <v>0.39999999999999997</v>
      </c>
      <c r="I17" s="422">
        <v>2</v>
      </c>
      <c r="J17" s="476">
        <v>40</v>
      </c>
      <c r="K17" s="477">
        <v>-10.3</v>
      </c>
      <c r="L17" s="477">
        <v>-6.2</v>
      </c>
      <c r="M17" s="477">
        <v>-1.6</v>
      </c>
      <c r="N17" s="478">
        <f t="shared" ref="N17:N22" si="4">0.5*(MAX(K17:M17)-MIN(K17:M17))</f>
        <v>4.3500000000000005</v>
      </c>
      <c r="P17" s="422">
        <v>2</v>
      </c>
      <c r="Q17" s="476">
        <v>800</v>
      </c>
      <c r="R17" s="479" t="s">
        <v>156</v>
      </c>
      <c r="S17" s="479" t="s">
        <v>156</v>
      </c>
      <c r="T17" s="476" t="s">
        <v>156</v>
      </c>
      <c r="U17" s="478">
        <f t="shared" ref="U17:U22" si="5">0.5*(MAX(R17:T17)-MIN(R17:T17))</f>
        <v>0</v>
      </c>
    </row>
    <row r="18" spans="1:24" ht="13">
      <c r="A18" s="1212"/>
      <c r="B18" s="422">
        <v>3</v>
      </c>
      <c r="C18" s="476">
        <v>25</v>
      </c>
      <c r="D18" s="477">
        <v>0.3</v>
      </c>
      <c r="E18" s="477">
        <v>0.5</v>
      </c>
      <c r="F18" s="477">
        <v>-0.2</v>
      </c>
      <c r="G18" s="478">
        <f t="shared" si="3"/>
        <v>0.35</v>
      </c>
      <c r="I18" s="422">
        <v>3</v>
      </c>
      <c r="J18" s="476">
        <v>50</v>
      </c>
      <c r="K18" s="477">
        <v>-8</v>
      </c>
      <c r="L18" s="477">
        <v>-5.3</v>
      </c>
      <c r="M18" s="477">
        <v>-1.5</v>
      </c>
      <c r="N18" s="478">
        <f t="shared" si="4"/>
        <v>3.25</v>
      </c>
      <c r="P18" s="422">
        <v>3</v>
      </c>
      <c r="Q18" s="476">
        <v>850</v>
      </c>
      <c r="R18" s="479" t="s">
        <v>156</v>
      </c>
      <c r="S18" s="479" t="s">
        <v>156</v>
      </c>
      <c r="T18" s="476" t="s">
        <v>156</v>
      </c>
      <c r="U18" s="478">
        <f t="shared" si="5"/>
        <v>0</v>
      </c>
    </row>
    <row r="19" spans="1:24" ht="13">
      <c r="A19" s="1212"/>
      <c r="B19" s="422">
        <v>4</v>
      </c>
      <c r="C19" s="482">
        <v>30</v>
      </c>
      <c r="D19" s="483">
        <v>0.4</v>
      </c>
      <c r="E19" s="483">
        <v>0.2</v>
      </c>
      <c r="F19" s="483">
        <v>-0.3</v>
      </c>
      <c r="G19" s="478">
        <f t="shared" si="3"/>
        <v>0.35</v>
      </c>
      <c r="I19" s="422">
        <v>4</v>
      </c>
      <c r="J19" s="482">
        <v>60</v>
      </c>
      <c r="K19" s="483">
        <v>-5.7</v>
      </c>
      <c r="L19" s="483">
        <v>-4</v>
      </c>
      <c r="M19" s="483">
        <v>-1.3</v>
      </c>
      <c r="N19" s="478">
        <f t="shared" si="4"/>
        <v>2.2000000000000002</v>
      </c>
      <c r="P19" s="422">
        <v>4</v>
      </c>
      <c r="Q19" s="482">
        <v>900</v>
      </c>
      <c r="R19" s="483" t="s">
        <v>156</v>
      </c>
      <c r="S19" s="483" t="s">
        <v>156</v>
      </c>
      <c r="T19" s="476" t="s">
        <v>156</v>
      </c>
      <c r="U19" s="478">
        <f t="shared" si="5"/>
        <v>0</v>
      </c>
    </row>
    <row r="20" spans="1:24" ht="13">
      <c r="A20" s="1212"/>
      <c r="B20" s="422">
        <v>5</v>
      </c>
      <c r="C20" s="482">
        <v>35</v>
      </c>
      <c r="D20" s="483">
        <v>0.5</v>
      </c>
      <c r="E20" s="483">
        <v>-0.1</v>
      </c>
      <c r="F20" s="483">
        <v>-0.3</v>
      </c>
      <c r="G20" s="478">
        <f t="shared" si="3"/>
        <v>0.4</v>
      </c>
      <c r="I20" s="422">
        <v>5</v>
      </c>
      <c r="J20" s="482">
        <v>70</v>
      </c>
      <c r="K20" s="483">
        <v>-3.4</v>
      </c>
      <c r="L20" s="483">
        <v>-2.4</v>
      </c>
      <c r="M20" s="483">
        <v>-1.1000000000000001</v>
      </c>
      <c r="N20" s="478">
        <f t="shared" si="4"/>
        <v>1.1499999999999999</v>
      </c>
      <c r="P20" s="422">
        <v>5</v>
      </c>
      <c r="Q20" s="482">
        <v>1000</v>
      </c>
      <c r="R20" s="483" t="s">
        <v>156</v>
      </c>
      <c r="S20" s="483" t="s">
        <v>156</v>
      </c>
      <c r="T20" s="476" t="s">
        <v>156</v>
      </c>
      <c r="U20" s="478">
        <f t="shared" si="5"/>
        <v>0</v>
      </c>
    </row>
    <row r="21" spans="1:24" ht="13">
      <c r="A21" s="1212"/>
      <c r="B21" s="422">
        <v>6</v>
      </c>
      <c r="C21" s="482">
        <v>37</v>
      </c>
      <c r="D21" s="483">
        <v>0.6</v>
      </c>
      <c r="E21" s="483">
        <v>-0.2</v>
      </c>
      <c r="F21" s="483">
        <v>-0.3</v>
      </c>
      <c r="G21" s="478">
        <f t="shared" si="3"/>
        <v>0.44999999999999996</v>
      </c>
      <c r="I21" s="422">
        <v>6</v>
      </c>
      <c r="J21" s="482">
        <v>80</v>
      </c>
      <c r="K21" s="483">
        <v>-1.1000000000000001</v>
      </c>
      <c r="L21" s="483">
        <v>-0.5</v>
      </c>
      <c r="M21" s="483">
        <v>-0.7</v>
      </c>
      <c r="N21" s="478">
        <f t="shared" si="4"/>
        <v>0.30000000000000004</v>
      </c>
      <c r="P21" s="422">
        <v>6</v>
      </c>
      <c r="Q21" s="482">
        <v>1005</v>
      </c>
      <c r="R21" s="483" t="s">
        <v>156</v>
      </c>
      <c r="S21" s="483" t="s">
        <v>156</v>
      </c>
      <c r="T21" s="476" t="s">
        <v>156</v>
      </c>
      <c r="U21" s="478">
        <f t="shared" si="5"/>
        <v>0</v>
      </c>
    </row>
    <row r="22" spans="1:24" ht="13.5" thickBot="1">
      <c r="A22" s="1212"/>
      <c r="B22" s="422">
        <v>7</v>
      </c>
      <c r="C22" s="482">
        <v>40</v>
      </c>
      <c r="D22" s="483">
        <v>0.6</v>
      </c>
      <c r="E22" s="483">
        <v>-0.1</v>
      </c>
      <c r="F22" s="483">
        <v>-0.3</v>
      </c>
      <c r="G22" s="478">
        <f t="shared" si="3"/>
        <v>0.44999999999999996</v>
      </c>
      <c r="I22" s="422">
        <v>7</v>
      </c>
      <c r="J22" s="482">
        <v>90</v>
      </c>
      <c r="K22" s="483">
        <v>1.2</v>
      </c>
      <c r="L22" s="483">
        <v>1.7</v>
      </c>
      <c r="M22" s="483">
        <v>-0.3</v>
      </c>
      <c r="N22" s="478">
        <f t="shared" si="4"/>
        <v>1</v>
      </c>
      <c r="P22" s="422">
        <v>7</v>
      </c>
      <c r="Q22" s="482">
        <v>1020</v>
      </c>
      <c r="R22" s="483" t="s">
        <v>156</v>
      </c>
      <c r="S22" s="483" t="s">
        <v>156</v>
      </c>
      <c r="T22" s="476" t="s">
        <v>156</v>
      </c>
      <c r="U22" s="478">
        <f t="shared" si="5"/>
        <v>0</v>
      </c>
    </row>
    <row r="23" spans="1:24" ht="13.5" thickBot="1">
      <c r="A23" s="484"/>
      <c r="B23" s="485"/>
      <c r="O23" s="486"/>
      <c r="P23" s="487"/>
    </row>
    <row r="24" spans="1:24">
      <c r="A24" s="1219">
        <v>3</v>
      </c>
      <c r="B24" s="1213" t="s">
        <v>441</v>
      </c>
      <c r="C24" s="1213"/>
      <c r="D24" s="1213"/>
      <c r="E24" s="1213"/>
      <c r="F24" s="1213"/>
      <c r="G24" s="1213"/>
      <c r="I24" s="1213" t="str">
        <f>B24</f>
        <v>KOREKSI KIMO THERMOHYGROMETER 14082463</v>
      </c>
      <c r="J24" s="1213"/>
      <c r="K24" s="1213"/>
      <c r="L24" s="1213"/>
      <c r="M24" s="1213"/>
      <c r="N24" s="1213"/>
      <c r="P24" s="1213" t="str">
        <f>I24</f>
        <v>KOREKSI KIMO THERMOHYGROMETER 14082463</v>
      </c>
      <c r="Q24" s="1213"/>
      <c r="R24" s="1213"/>
      <c r="S24" s="1213"/>
      <c r="T24" s="1213"/>
      <c r="U24" s="1213"/>
      <c r="W24" s="1207" t="s">
        <v>397</v>
      </c>
      <c r="X24" s="1208"/>
    </row>
    <row r="25" spans="1:24" ht="13">
      <c r="A25" s="1220"/>
      <c r="B25" s="1209" t="s">
        <v>434</v>
      </c>
      <c r="C25" s="1209"/>
      <c r="D25" s="1209" t="s">
        <v>435</v>
      </c>
      <c r="E25" s="1209"/>
      <c r="F25" s="1209"/>
      <c r="G25" s="1209" t="s">
        <v>386</v>
      </c>
      <c r="I25" s="1209" t="s">
        <v>436</v>
      </c>
      <c r="J25" s="1209"/>
      <c r="K25" s="1209" t="s">
        <v>435</v>
      </c>
      <c r="L25" s="1209"/>
      <c r="M25" s="1209"/>
      <c r="N25" s="1209" t="s">
        <v>386</v>
      </c>
      <c r="P25" s="1209" t="s">
        <v>437</v>
      </c>
      <c r="Q25" s="1209"/>
      <c r="R25" s="1209" t="s">
        <v>435</v>
      </c>
      <c r="S25" s="1209"/>
      <c r="T25" s="1209"/>
      <c r="U25" s="1209" t="s">
        <v>386</v>
      </c>
      <c r="W25" s="473" t="s">
        <v>434</v>
      </c>
      <c r="X25" s="474">
        <v>0.5</v>
      </c>
    </row>
    <row r="26" spans="1:24" ht="14.5">
      <c r="A26" s="1220"/>
      <c r="B26" s="1210" t="s">
        <v>438</v>
      </c>
      <c r="C26" s="1210"/>
      <c r="D26" s="475">
        <v>2023</v>
      </c>
      <c r="E26" s="475">
        <v>2021</v>
      </c>
      <c r="F26" s="475">
        <v>2018</v>
      </c>
      <c r="G26" s="1209"/>
      <c r="I26" s="1211" t="s">
        <v>18</v>
      </c>
      <c r="J26" s="1210"/>
      <c r="K26" s="475">
        <f>D26</f>
        <v>2023</v>
      </c>
      <c r="L26" s="475">
        <f>E26</f>
        <v>2021</v>
      </c>
      <c r="M26" s="475">
        <f>F26</f>
        <v>2018</v>
      </c>
      <c r="N26" s="1209"/>
      <c r="P26" s="1211" t="s">
        <v>439</v>
      </c>
      <c r="Q26" s="1210"/>
      <c r="R26" s="475">
        <f>K26</f>
        <v>2023</v>
      </c>
      <c r="S26" s="475">
        <f>L26</f>
        <v>2021</v>
      </c>
      <c r="T26" s="475">
        <f>M26</f>
        <v>2018</v>
      </c>
      <c r="U26" s="1209"/>
      <c r="W26" s="473" t="s">
        <v>18</v>
      </c>
      <c r="X26" s="474">
        <v>2.4</v>
      </c>
    </row>
    <row r="27" spans="1:24" ht="13.5" thickBot="1">
      <c r="A27" s="1220"/>
      <c r="B27" s="422">
        <v>1</v>
      </c>
      <c r="C27" s="476">
        <v>15</v>
      </c>
      <c r="D27" s="477">
        <v>0.2</v>
      </c>
      <c r="E27" s="477">
        <v>0.4</v>
      </c>
      <c r="F27" s="477">
        <v>9.9999999999999995E-7</v>
      </c>
      <c r="G27" s="478">
        <f>0.5*(MAX(D27:F27)-MIN(D27:F27))</f>
        <v>0.19999950000000002</v>
      </c>
      <c r="I27" s="422">
        <v>1</v>
      </c>
      <c r="J27" s="476">
        <v>35</v>
      </c>
      <c r="K27" s="477">
        <v>-11.5</v>
      </c>
      <c r="L27" s="477">
        <v>-7.3</v>
      </c>
      <c r="M27" s="477">
        <v>-5.7</v>
      </c>
      <c r="N27" s="478">
        <f>0.5*(MAX(K27:M27)-MIN(K27:M27))</f>
        <v>2.9</v>
      </c>
      <c r="P27" s="422">
        <v>1</v>
      </c>
      <c r="Q27" s="476">
        <v>750</v>
      </c>
      <c r="R27" s="479" t="s">
        <v>156</v>
      </c>
      <c r="S27" s="479" t="s">
        <v>156</v>
      </c>
      <c r="T27" s="476" t="s">
        <v>156</v>
      </c>
      <c r="U27" s="478">
        <f>0.5*(MAX(R27:T27)-MIN(R27:S27))</f>
        <v>0</v>
      </c>
      <c r="W27" s="480" t="s">
        <v>439</v>
      </c>
      <c r="X27" s="481">
        <v>0</v>
      </c>
    </row>
    <row r="28" spans="1:24" ht="13">
      <c r="A28" s="1220"/>
      <c r="B28" s="422">
        <v>2</v>
      </c>
      <c r="C28" s="476">
        <v>20</v>
      </c>
      <c r="D28" s="477">
        <v>0.2</v>
      </c>
      <c r="E28" s="477">
        <v>1</v>
      </c>
      <c r="F28" s="477">
        <v>9.9999999999999995E-7</v>
      </c>
      <c r="G28" s="478">
        <f t="shared" ref="G28:G33" si="6">0.5*(MAX(D28:F28)-MIN(D28:F28))</f>
        <v>0.49999949999999999</v>
      </c>
      <c r="I28" s="422">
        <v>2</v>
      </c>
      <c r="J28" s="476">
        <v>40</v>
      </c>
      <c r="K28" s="477">
        <v>-9.6999999999999993</v>
      </c>
      <c r="L28" s="477">
        <v>-5.9</v>
      </c>
      <c r="M28" s="477">
        <v>-5.3</v>
      </c>
      <c r="N28" s="478">
        <f t="shared" ref="N28:N33" si="7">0.5*(MAX(K28:M28)-MIN(K28:M28))</f>
        <v>2.1999999999999997</v>
      </c>
      <c r="P28" s="422">
        <v>2</v>
      </c>
      <c r="Q28" s="476">
        <v>800</v>
      </c>
      <c r="R28" s="479" t="s">
        <v>156</v>
      </c>
      <c r="S28" s="479" t="s">
        <v>156</v>
      </c>
      <c r="T28" s="476" t="s">
        <v>156</v>
      </c>
      <c r="U28" s="478">
        <f t="shared" ref="U28:U33" si="8">0.5*(MAX(R28:T28)-MIN(R28:S28))</f>
        <v>0</v>
      </c>
    </row>
    <row r="29" spans="1:24" ht="13">
      <c r="A29" s="1220"/>
      <c r="B29" s="422">
        <v>3</v>
      </c>
      <c r="C29" s="476">
        <v>25</v>
      </c>
      <c r="D29" s="477">
        <v>0.3</v>
      </c>
      <c r="E29" s="477">
        <v>0.7</v>
      </c>
      <c r="F29" s="477">
        <v>-0.1</v>
      </c>
      <c r="G29" s="478">
        <f t="shared" si="6"/>
        <v>0.39999999999999997</v>
      </c>
      <c r="I29" s="422">
        <v>3</v>
      </c>
      <c r="J29" s="476">
        <v>50</v>
      </c>
      <c r="K29" s="477">
        <v>-7.9</v>
      </c>
      <c r="L29" s="477">
        <v>-4.5</v>
      </c>
      <c r="M29" s="477">
        <v>-4.9000000000000004</v>
      </c>
      <c r="N29" s="478">
        <f t="shared" si="7"/>
        <v>1.7000000000000002</v>
      </c>
      <c r="P29" s="422">
        <v>3</v>
      </c>
      <c r="Q29" s="476">
        <v>850</v>
      </c>
      <c r="R29" s="479" t="s">
        <v>156</v>
      </c>
      <c r="S29" s="479" t="s">
        <v>156</v>
      </c>
      <c r="T29" s="476" t="s">
        <v>156</v>
      </c>
      <c r="U29" s="478">
        <f t="shared" si="8"/>
        <v>0</v>
      </c>
    </row>
    <row r="30" spans="1:24" ht="13">
      <c r="A30" s="1220"/>
      <c r="B30" s="422">
        <v>4</v>
      </c>
      <c r="C30" s="482">
        <v>30</v>
      </c>
      <c r="D30" s="483">
        <v>0.3</v>
      </c>
      <c r="E30" s="483">
        <v>9.9999999999999995E-7</v>
      </c>
      <c r="F30" s="483">
        <v>-0.3</v>
      </c>
      <c r="G30" s="478">
        <f t="shared" si="6"/>
        <v>0.3</v>
      </c>
      <c r="I30" s="422">
        <v>4</v>
      </c>
      <c r="J30" s="482">
        <v>60</v>
      </c>
      <c r="K30" s="483">
        <v>-6.2</v>
      </c>
      <c r="L30" s="483">
        <v>-3.2</v>
      </c>
      <c r="M30" s="483">
        <v>-4.3</v>
      </c>
      <c r="N30" s="478">
        <f t="shared" si="7"/>
        <v>1.5</v>
      </c>
      <c r="P30" s="422">
        <v>4</v>
      </c>
      <c r="Q30" s="482">
        <v>900</v>
      </c>
      <c r="R30" s="483" t="s">
        <v>156</v>
      </c>
      <c r="S30" s="483" t="s">
        <v>156</v>
      </c>
      <c r="T30" s="476" t="s">
        <v>156</v>
      </c>
      <c r="U30" s="478">
        <f t="shared" si="8"/>
        <v>0</v>
      </c>
    </row>
    <row r="31" spans="1:24" ht="13">
      <c r="A31" s="1220"/>
      <c r="B31" s="422">
        <v>5</v>
      </c>
      <c r="C31" s="482">
        <v>35</v>
      </c>
      <c r="D31" s="483">
        <v>0.3</v>
      </c>
      <c r="E31" s="483">
        <v>-0.3</v>
      </c>
      <c r="F31" s="483">
        <v>-0.5</v>
      </c>
      <c r="G31" s="478">
        <f t="shared" si="6"/>
        <v>0.4</v>
      </c>
      <c r="I31" s="422">
        <v>5</v>
      </c>
      <c r="J31" s="482">
        <v>70</v>
      </c>
      <c r="K31" s="483">
        <v>-4.4000000000000004</v>
      </c>
      <c r="L31" s="483">
        <v>-2</v>
      </c>
      <c r="M31" s="483">
        <v>-3.6</v>
      </c>
      <c r="N31" s="478">
        <f t="shared" si="7"/>
        <v>1.2000000000000002</v>
      </c>
      <c r="P31" s="422">
        <v>5</v>
      </c>
      <c r="Q31" s="482">
        <v>1000</v>
      </c>
      <c r="R31" s="483" t="s">
        <v>156</v>
      </c>
      <c r="S31" s="483" t="s">
        <v>156</v>
      </c>
      <c r="T31" s="476" t="s">
        <v>156</v>
      </c>
      <c r="U31" s="478">
        <f t="shared" si="8"/>
        <v>0</v>
      </c>
    </row>
    <row r="32" spans="1:24" ht="13">
      <c r="A32" s="1220"/>
      <c r="B32" s="422">
        <v>6</v>
      </c>
      <c r="C32" s="482">
        <v>37</v>
      </c>
      <c r="D32" s="483">
        <v>0.3</v>
      </c>
      <c r="E32" s="483">
        <v>-0.2</v>
      </c>
      <c r="F32" s="483">
        <v>-0.6</v>
      </c>
      <c r="G32" s="478">
        <f t="shared" si="6"/>
        <v>0.44999999999999996</v>
      </c>
      <c r="I32" s="422">
        <v>6</v>
      </c>
      <c r="J32" s="482">
        <v>80</v>
      </c>
      <c r="K32" s="483">
        <v>-2.7</v>
      </c>
      <c r="L32" s="483">
        <v>-0.8</v>
      </c>
      <c r="M32" s="483">
        <v>-2.9</v>
      </c>
      <c r="N32" s="478">
        <f t="shared" si="7"/>
        <v>1.0499999999999998</v>
      </c>
      <c r="P32" s="422">
        <v>6</v>
      </c>
      <c r="Q32" s="482">
        <v>1005</v>
      </c>
      <c r="R32" s="483" t="s">
        <v>156</v>
      </c>
      <c r="S32" s="483" t="s">
        <v>156</v>
      </c>
      <c r="T32" s="476" t="s">
        <v>156</v>
      </c>
      <c r="U32" s="478">
        <f t="shared" si="8"/>
        <v>0</v>
      </c>
    </row>
    <row r="33" spans="1:24" ht="13.5" thickBot="1">
      <c r="A33" s="1221"/>
      <c r="B33" s="422">
        <v>7</v>
      </c>
      <c r="C33" s="482">
        <v>40</v>
      </c>
      <c r="D33" s="483">
        <v>0.3</v>
      </c>
      <c r="E33" s="483">
        <v>0.2</v>
      </c>
      <c r="F33" s="483">
        <v>-0.7</v>
      </c>
      <c r="G33" s="478">
        <f t="shared" si="6"/>
        <v>0.5</v>
      </c>
      <c r="I33" s="422">
        <v>7</v>
      </c>
      <c r="J33" s="482">
        <v>90</v>
      </c>
      <c r="K33" s="483">
        <v>-0.9</v>
      </c>
      <c r="L33" s="483">
        <v>0.3</v>
      </c>
      <c r="M33" s="483">
        <v>-2</v>
      </c>
      <c r="N33" s="478">
        <f t="shared" si="7"/>
        <v>1.1499999999999999</v>
      </c>
      <c r="P33" s="422">
        <v>7</v>
      </c>
      <c r="Q33" s="482">
        <v>1020</v>
      </c>
      <c r="R33" s="483" t="s">
        <v>156</v>
      </c>
      <c r="S33" s="483" t="s">
        <v>156</v>
      </c>
      <c r="T33" s="476" t="s">
        <v>156</v>
      </c>
      <c r="U33" s="478">
        <f t="shared" si="8"/>
        <v>0</v>
      </c>
    </row>
    <row r="34" spans="1:24" ht="13.5" thickBot="1">
      <c r="A34" s="484"/>
      <c r="B34" s="485"/>
      <c r="H34" s="457"/>
      <c r="O34" s="486"/>
      <c r="P34" s="487"/>
    </row>
    <row r="35" spans="1:24">
      <c r="A35" s="1216">
        <v>4</v>
      </c>
      <c r="B35" s="1213" t="s">
        <v>442</v>
      </c>
      <c r="C35" s="1213"/>
      <c r="D35" s="1213"/>
      <c r="E35" s="1213"/>
      <c r="F35" s="1213"/>
      <c r="G35" s="1213"/>
      <c r="I35" s="1213" t="str">
        <f>B35</f>
        <v>KOREKSI KIMO THERMOHYGROMETER 15062872</v>
      </c>
      <c r="J35" s="1213"/>
      <c r="K35" s="1213"/>
      <c r="L35" s="1213"/>
      <c r="M35" s="1213"/>
      <c r="N35" s="1213"/>
      <c r="P35" s="1213" t="str">
        <f>I35</f>
        <v>KOREKSI KIMO THERMOHYGROMETER 15062872</v>
      </c>
      <c r="Q35" s="1213"/>
      <c r="R35" s="1213"/>
      <c r="S35" s="1213"/>
      <c r="T35" s="1213"/>
      <c r="U35" s="1213"/>
      <c r="W35" s="1207" t="s">
        <v>397</v>
      </c>
      <c r="X35" s="1208"/>
    </row>
    <row r="36" spans="1:24" ht="13">
      <c r="A36" s="1217"/>
      <c r="B36" s="1209" t="s">
        <v>434</v>
      </c>
      <c r="C36" s="1209"/>
      <c r="D36" s="1209" t="s">
        <v>435</v>
      </c>
      <c r="E36" s="1209"/>
      <c r="F36" s="1209"/>
      <c r="G36" s="1209" t="s">
        <v>386</v>
      </c>
      <c r="I36" s="1209" t="s">
        <v>436</v>
      </c>
      <c r="J36" s="1209"/>
      <c r="K36" s="1209" t="s">
        <v>435</v>
      </c>
      <c r="L36" s="1209"/>
      <c r="M36" s="1209"/>
      <c r="N36" s="1209" t="s">
        <v>386</v>
      </c>
      <c r="P36" s="1209" t="s">
        <v>437</v>
      </c>
      <c r="Q36" s="1209"/>
      <c r="R36" s="1209" t="s">
        <v>435</v>
      </c>
      <c r="S36" s="1209"/>
      <c r="T36" s="1209"/>
      <c r="U36" s="1209" t="s">
        <v>386</v>
      </c>
      <c r="W36" s="473" t="s">
        <v>434</v>
      </c>
      <c r="X36" s="474">
        <v>0.3</v>
      </c>
    </row>
    <row r="37" spans="1:24" ht="14.5">
      <c r="A37" s="1217"/>
      <c r="B37" s="1210" t="s">
        <v>438</v>
      </c>
      <c r="C37" s="1210"/>
      <c r="D37" s="475">
        <v>2019</v>
      </c>
      <c r="E37" s="475">
        <v>2017</v>
      </c>
      <c r="F37" s="475">
        <v>2016</v>
      </c>
      <c r="G37" s="1209"/>
      <c r="I37" s="1211" t="s">
        <v>18</v>
      </c>
      <c r="J37" s="1210"/>
      <c r="K37" s="475">
        <f>D37</f>
        <v>2019</v>
      </c>
      <c r="L37" s="475">
        <f>E37</f>
        <v>2017</v>
      </c>
      <c r="M37" s="475">
        <v>2016</v>
      </c>
      <c r="N37" s="1209"/>
      <c r="P37" s="1211" t="s">
        <v>439</v>
      </c>
      <c r="Q37" s="1210"/>
      <c r="R37" s="475">
        <f>K37</f>
        <v>2019</v>
      </c>
      <c r="S37" s="475">
        <f>L37</f>
        <v>2017</v>
      </c>
      <c r="T37" s="475">
        <v>2016</v>
      </c>
      <c r="U37" s="1209"/>
      <c r="W37" s="473" t="s">
        <v>18</v>
      </c>
      <c r="X37" s="474">
        <v>1.3</v>
      </c>
    </row>
    <row r="38" spans="1:24" ht="13.5" thickBot="1">
      <c r="A38" s="1217"/>
      <c r="B38" s="422">
        <v>1</v>
      </c>
      <c r="C38" s="476">
        <v>15</v>
      </c>
      <c r="D38" s="477">
        <v>-0.2</v>
      </c>
      <c r="E38" s="477">
        <v>-0.1</v>
      </c>
      <c r="F38" s="488"/>
      <c r="G38" s="478">
        <f>0.5*(MAX(D38:F38)-MIN(D38:F38))</f>
        <v>0.05</v>
      </c>
      <c r="I38" s="422">
        <v>1</v>
      </c>
      <c r="J38" s="476">
        <v>35</v>
      </c>
      <c r="K38" s="477">
        <v>-4.5</v>
      </c>
      <c r="L38" s="477">
        <v>-1.7</v>
      </c>
      <c r="M38" s="488"/>
      <c r="N38" s="478">
        <f>0.5*(MAX(K38:M38)-MIN(K38:M38))</f>
        <v>1.4</v>
      </c>
      <c r="P38" s="422">
        <v>1</v>
      </c>
      <c r="Q38" s="476">
        <v>750</v>
      </c>
      <c r="R38" s="479" t="s">
        <v>156</v>
      </c>
      <c r="S38" s="479" t="s">
        <v>156</v>
      </c>
      <c r="T38" s="476">
        <v>9.9999999999999995E-7</v>
      </c>
      <c r="U38" s="478">
        <f>0.5*(MAX(R38:T38)-MIN(R38:T38))</f>
        <v>0</v>
      </c>
      <c r="W38" s="480" t="s">
        <v>439</v>
      </c>
      <c r="X38" s="481">
        <v>0</v>
      </c>
    </row>
    <row r="39" spans="1:24" ht="13">
      <c r="A39" s="1217"/>
      <c r="B39" s="422">
        <v>2</v>
      </c>
      <c r="C39" s="476">
        <v>20</v>
      </c>
      <c r="D39" s="477">
        <v>-0.1</v>
      </c>
      <c r="E39" s="477">
        <v>-0.3</v>
      </c>
      <c r="F39" s="488"/>
      <c r="G39" s="478">
        <f t="shared" ref="G39:G44" si="9">0.5*(MAX(D39:F39)-MIN(D39:F39))</f>
        <v>9.9999999999999992E-2</v>
      </c>
      <c r="I39" s="422">
        <v>2</v>
      </c>
      <c r="J39" s="476">
        <v>40</v>
      </c>
      <c r="K39" s="477">
        <v>-4.4000000000000004</v>
      </c>
      <c r="L39" s="477">
        <v>-1.5</v>
      </c>
      <c r="M39" s="488"/>
      <c r="N39" s="478">
        <f t="shared" ref="N39:N44" si="10">0.5*(MAX(K39:L39)-MIN(K39:L39))</f>
        <v>1.4500000000000002</v>
      </c>
      <c r="P39" s="422">
        <v>2</v>
      </c>
      <c r="Q39" s="476">
        <v>800</v>
      </c>
      <c r="R39" s="479" t="s">
        <v>156</v>
      </c>
      <c r="S39" s="479" t="s">
        <v>156</v>
      </c>
      <c r="T39" s="476">
        <v>9.9999999999999995E-7</v>
      </c>
      <c r="U39" s="478">
        <f t="shared" ref="U39:U44" si="11">0.5*(MAX(R39:T39)-MIN(R39:T39))</f>
        <v>0</v>
      </c>
    </row>
    <row r="40" spans="1:24" ht="13">
      <c r="A40" s="1217"/>
      <c r="B40" s="422">
        <v>3</v>
      </c>
      <c r="C40" s="476">
        <v>25</v>
      </c>
      <c r="D40" s="477">
        <v>-0.1</v>
      </c>
      <c r="E40" s="477">
        <v>-0.5</v>
      </c>
      <c r="F40" s="488"/>
      <c r="G40" s="478">
        <f t="shared" si="9"/>
        <v>0.2</v>
      </c>
      <c r="I40" s="422">
        <v>3</v>
      </c>
      <c r="J40" s="476">
        <v>50</v>
      </c>
      <c r="K40" s="477">
        <v>-4.3</v>
      </c>
      <c r="L40" s="477">
        <v>-1</v>
      </c>
      <c r="M40" s="488"/>
      <c r="N40" s="478">
        <f t="shared" si="10"/>
        <v>1.65</v>
      </c>
      <c r="P40" s="422">
        <v>3</v>
      </c>
      <c r="Q40" s="476">
        <v>850</v>
      </c>
      <c r="R40" s="479" t="s">
        <v>156</v>
      </c>
      <c r="S40" s="479" t="s">
        <v>156</v>
      </c>
      <c r="T40" s="476">
        <v>9.9999999999999995E-7</v>
      </c>
      <c r="U40" s="478">
        <f t="shared" si="11"/>
        <v>0</v>
      </c>
    </row>
    <row r="41" spans="1:24" ht="13">
      <c r="A41" s="1217"/>
      <c r="B41" s="422">
        <v>4</v>
      </c>
      <c r="C41" s="482">
        <v>30</v>
      </c>
      <c r="D41" s="483">
        <v>-0.1</v>
      </c>
      <c r="E41" s="483">
        <v>-0.6</v>
      </c>
      <c r="F41" s="488"/>
      <c r="G41" s="478">
        <f t="shared" si="9"/>
        <v>0.25</v>
      </c>
      <c r="I41" s="422">
        <v>4</v>
      </c>
      <c r="J41" s="482">
        <v>60</v>
      </c>
      <c r="K41" s="483">
        <v>-4.2</v>
      </c>
      <c r="L41" s="483">
        <v>-0.3</v>
      </c>
      <c r="M41" s="488"/>
      <c r="N41" s="478">
        <f t="shared" si="10"/>
        <v>1.9500000000000002</v>
      </c>
      <c r="P41" s="422">
        <v>4</v>
      </c>
      <c r="Q41" s="482">
        <v>900</v>
      </c>
      <c r="R41" s="483" t="s">
        <v>156</v>
      </c>
      <c r="S41" s="483" t="s">
        <v>156</v>
      </c>
      <c r="T41" s="476">
        <v>9.9999999999999995E-7</v>
      </c>
      <c r="U41" s="478">
        <f t="shared" si="11"/>
        <v>0</v>
      </c>
    </row>
    <row r="42" spans="1:24" ht="13">
      <c r="A42" s="1217"/>
      <c r="B42" s="422">
        <v>5</v>
      </c>
      <c r="C42" s="482">
        <v>35</v>
      </c>
      <c r="D42" s="483">
        <v>-0.3</v>
      </c>
      <c r="E42" s="483">
        <v>-0.6</v>
      </c>
      <c r="F42" s="488"/>
      <c r="G42" s="478">
        <f t="shared" si="9"/>
        <v>0.15</v>
      </c>
      <c r="I42" s="422">
        <v>5</v>
      </c>
      <c r="J42" s="482">
        <v>70</v>
      </c>
      <c r="K42" s="483">
        <v>-4</v>
      </c>
      <c r="L42" s="483">
        <v>0.7</v>
      </c>
      <c r="M42" s="488"/>
      <c r="N42" s="478">
        <f t="shared" si="10"/>
        <v>2.35</v>
      </c>
      <c r="P42" s="422">
        <v>5</v>
      </c>
      <c r="Q42" s="482">
        <v>1000</v>
      </c>
      <c r="R42" s="483" t="s">
        <v>156</v>
      </c>
      <c r="S42" s="483" t="s">
        <v>156</v>
      </c>
      <c r="T42" s="476">
        <v>9.9999999999999995E-7</v>
      </c>
      <c r="U42" s="478">
        <f t="shared" si="11"/>
        <v>0</v>
      </c>
    </row>
    <row r="43" spans="1:24" ht="13">
      <c r="A43" s="1217"/>
      <c r="B43" s="422">
        <v>6</v>
      </c>
      <c r="C43" s="482">
        <v>37</v>
      </c>
      <c r="D43" s="483">
        <v>-0.4</v>
      </c>
      <c r="E43" s="483">
        <v>-0.6</v>
      </c>
      <c r="F43" s="488"/>
      <c r="G43" s="478">
        <f t="shared" si="9"/>
        <v>9.9999999999999978E-2</v>
      </c>
      <c r="I43" s="422">
        <v>6</v>
      </c>
      <c r="J43" s="482">
        <v>80</v>
      </c>
      <c r="K43" s="483">
        <v>-3.8</v>
      </c>
      <c r="L43" s="483">
        <v>1.9</v>
      </c>
      <c r="M43" s="488"/>
      <c r="N43" s="478">
        <f t="shared" si="10"/>
        <v>2.8499999999999996</v>
      </c>
      <c r="P43" s="422">
        <v>6</v>
      </c>
      <c r="Q43" s="482">
        <v>1005</v>
      </c>
      <c r="R43" s="483" t="s">
        <v>156</v>
      </c>
      <c r="S43" s="483" t="s">
        <v>156</v>
      </c>
      <c r="T43" s="476">
        <v>9.9999999999999995E-7</v>
      </c>
      <c r="U43" s="478">
        <f t="shared" si="11"/>
        <v>0</v>
      </c>
    </row>
    <row r="44" spans="1:24" ht="13.5" thickBot="1">
      <c r="A44" s="1218"/>
      <c r="B44" s="422">
        <v>7</v>
      </c>
      <c r="C44" s="482">
        <v>40</v>
      </c>
      <c r="D44" s="483">
        <v>-0.5</v>
      </c>
      <c r="E44" s="483">
        <v>-0.6</v>
      </c>
      <c r="F44" s="488"/>
      <c r="G44" s="478">
        <f t="shared" si="9"/>
        <v>4.9999999999999989E-2</v>
      </c>
      <c r="I44" s="422">
        <v>7</v>
      </c>
      <c r="J44" s="482">
        <v>90</v>
      </c>
      <c r="K44" s="483">
        <v>-3.5</v>
      </c>
      <c r="L44" s="483">
        <v>3.3</v>
      </c>
      <c r="M44" s="488"/>
      <c r="N44" s="478">
        <f t="shared" si="10"/>
        <v>3.4</v>
      </c>
      <c r="P44" s="422">
        <v>7</v>
      </c>
      <c r="Q44" s="482">
        <v>1020</v>
      </c>
      <c r="R44" s="483" t="s">
        <v>156</v>
      </c>
      <c r="S44" s="483" t="s">
        <v>156</v>
      </c>
      <c r="T44" s="476">
        <v>9.9999999999999995E-7</v>
      </c>
      <c r="U44" s="478">
        <f t="shared" si="11"/>
        <v>0</v>
      </c>
    </row>
    <row r="45" spans="1:24" ht="13.5" thickBot="1">
      <c r="A45" s="484"/>
      <c r="B45" s="485"/>
      <c r="O45" s="486"/>
      <c r="P45" s="487"/>
    </row>
    <row r="46" spans="1:24">
      <c r="A46" s="1219">
        <v>5</v>
      </c>
      <c r="B46" s="1213" t="s">
        <v>443</v>
      </c>
      <c r="C46" s="1213"/>
      <c r="D46" s="1213"/>
      <c r="E46" s="1213"/>
      <c r="F46" s="1213"/>
      <c r="G46" s="1213"/>
      <c r="I46" s="1213" t="str">
        <f>B46</f>
        <v>KOREKSI KIMO THERMOHYGROMETER 15062875</v>
      </c>
      <c r="J46" s="1213"/>
      <c r="K46" s="1213"/>
      <c r="L46" s="1213"/>
      <c r="M46" s="1213"/>
      <c r="N46" s="1213"/>
      <c r="P46" s="1213" t="str">
        <f>I46</f>
        <v>KOREKSI KIMO THERMOHYGROMETER 15062875</v>
      </c>
      <c r="Q46" s="1213"/>
      <c r="R46" s="1213"/>
      <c r="S46" s="1213"/>
      <c r="T46" s="1213"/>
      <c r="U46" s="1213"/>
      <c r="W46" s="1207" t="s">
        <v>397</v>
      </c>
      <c r="X46" s="1208"/>
    </row>
    <row r="47" spans="1:24" ht="13">
      <c r="A47" s="1220"/>
      <c r="B47" s="1209" t="s">
        <v>434</v>
      </c>
      <c r="C47" s="1209"/>
      <c r="D47" s="1209" t="s">
        <v>435</v>
      </c>
      <c r="E47" s="1209"/>
      <c r="F47" s="1209"/>
      <c r="G47" s="1209" t="s">
        <v>386</v>
      </c>
      <c r="I47" s="1209" t="s">
        <v>436</v>
      </c>
      <c r="J47" s="1209"/>
      <c r="K47" s="1209" t="s">
        <v>435</v>
      </c>
      <c r="L47" s="1209"/>
      <c r="M47" s="1209"/>
      <c r="N47" s="1209" t="s">
        <v>386</v>
      </c>
      <c r="P47" s="1209" t="s">
        <v>437</v>
      </c>
      <c r="Q47" s="1209"/>
      <c r="R47" s="1209" t="s">
        <v>435</v>
      </c>
      <c r="S47" s="1209"/>
      <c r="T47" s="1209"/>
      <c r="U47" s="1209" t="s">
        <v>386</v>
      </c>
      <c r="W47" s="473" t="s">
        <v>434</v>
      </c>
      <c r="X47" s="474">
        <v>0.3</v>
      </c>
    </row>
    <row r="48" spans="1:24" ht="14.5">
      <c r="A48" s="1220"/>
      <c r="B48" s="1210" t="s">
        <v>438</v>
      </c>
      <c r="C48" s="1210"/>
      <c r="D48" s="475">
        <v>2023</v>
      </c>
      <c r="E48" s="475">
        <v>2021</v>
      </c>
      <c r="F48" s="475">
        <v>2020</v>
      </c>
      <c r="G48" s="1209"/>
      <c r="I48" s="1211" t="s">
        <v>18</v>
      </c>
      <c r="J48" s="1210"/>
      <c r="K48" s="475">
        <f>D48</f>
        <v>2023</v>
      </c>
      <c r="L48" s="475">
        <f>E48</f>
        <v>2021</v>
      </c>
      <c r="M48" s="475">
        <f>F48</f>
        <v>2020</v>
      </c>
      <c r="N48" s="1209"/>
      <c r="P48" s="1211" t="s">
        <v>439</v>
      </c>
      <c r="Q48" s="1210"/>
      <c r="R48" s="475">
        <f>K48</f>
        <v>2023</v>
      </c>
      <c r="S48" s="475">
        <f>L48</f>
        <v>2021</v>
      </c>
      <c r="T48" s="475">
        <f>M48</f>
        <v>2020</v>
      </c>
      <c r="U48" s="1209"/>
      <c r="W48" s="473" t="s">
        <v>18</v>
      </c>
      <c r="X48" s="474">
        <v>2.2999999999999998</v>
      </c>
    </row>
    <row r="49" spans="1:24" ht="13.5" thickBot="1">
      <c r="A49" s="1220"/>
      <c r="B49" s="422">
        <v>1</v>
      </c>
      <c r="C49" s="476">
        <v>15</v>
      </c>
      <c r="D49" s="477">
        <v>0.3</v>
      </c>
      <c r="E49" s="477">
        <v>-0.1</v>
      </c>
      <c r="F49" s="477">
        <v>-0.3</v>
      </c>
      <c r="G49" s="478">
        <f>0.5*(MAX(D49:F49)-MIN(D49:F49))</f>
        <v>0.3</v>
      </c>
      <c r="I49" s="422">
        <v>1</v>
      </c>
      <c r="J49" s="476">
        <v>35</v>
      </c>
      <c r="K49" s="477">
        <v>-10.5</v>
      </c>
      <c r="L49" s="477">
        <v>-9.6999999999999993</v>
      </c>
      <c r="M49" s="477">
        <v>-7.7</v>
      </c>
      <c r="N49" s="478">
        <f>0.5*(MAX(K49:M49)-MIN(K49:M49))</f>
        <v>1.4</v>
      </c>
      <c r="P49" s="422">
        <v>1</v>
      </c>
      <c r="Q49" s="476">
        <v>750</v>
      </c>
      <c r="R49" s="479" t="s">
        <v>156</v>
      </c>
      <c r="S49" s="479" t="s">
        <v>156</v>
      </c>
      <c r="T49" s="476" t="s">
        <v>156</v>
      </c>
      <c r="U49" s="478">
        <f>0.5*(MAX(R49:T49)-MIN(R49:T49))</f>
        <v>0</v>
      </c>
      <c r="W49" s="480" t="s">
        <v>439</v>
      </c>
      <c r="X49" s="481">
        <v>0</v>
      </c>
    </row>
    <row r="50" spans="1:24" ht="13">
      <c r="A50" s="1220"/>
      <c r="B50" s="422">
        <v>2</v>
      </c>
      <c r="C50" s="476">
        <v>20</v>
      </c>
      <c r="D50" s="477">
        <v>0.4</v>
      </c>
      <c r="E50" s="477">
        <v>0.1</v>
      </c>
      <c r="F50" s="477">
        <v>0.1</v>
      </c>
      <c r="G50" s="478">
        <f t="shared" ref="G50:G55" si="12">0.5*(MAX(D50:F50)-MIN(D50:F50))</f>
        <v>0.15000000000000002</v>
      </c>
      <c r="I50" s="422">
        <v>2</v>
      </c>
      <c r="J50" s="476">
        <v>40</v>
      </c>
      <c r="K50" s="477">
        <v>-9.6</v>
      </c>
      <c r="L50" s="477">
        <v>-9.6999999999999993</v>
      </c>
      <c r="M50" s="477">
        <v>-7.2</v>
      </c>
      <c r="N50" s="478">
        <f t="shared" ref="N50:N55" si="13">0.5*(MAX(K50:M50)-MIN(K50:M50))</f>
        <v>1.2499999999999996</v>
      </c>
      <c r="P50" s="422">
        <v>2</v>
      </c>
      <c r="Q50" s="476">
        <v>800</v>
      </c>
      <c r="R50" s="479" t="s">
        <v>156</v>
      </c>
      <c r="S50" s="479" t="s">
        <v>156</v>
      </c>
      <c r="T50" s="476" t="s">
        <v>156</v>
      </c>
      <c r="U50" s="478">
        <f t="shared" ref="U50:U55" si="14">0.5*(MAX(R50:T50)-MIN(R50:T50))</f>
        <v>0</v>
      </c>
    </row>
    <row r="51" spans="1:24" ht="13">
      <c r="A51" s="1220"/>
      <c r="B51" s="422">
        <v>3</v>
      </c>
      <c r="C51" s="476">
        <v>25</v>
      </c>
      <c r="D51" s="477">
        <v>0.4</v>
      </c>
      <c r="E51" s="477">
        <v>0.2</v>
      </c>
      <c r="F51" s="477">
        <v>0.4</v>
      </c>
      <c r="G51" s="478">
        <f t="shared" si="12"/>
        <v>0.1</v>
      </c>
      <c r="I51" s="422">
        <v>3</v>
      </c>
      <c r="J51" s="476">
        <v>50</v>
      </c>
      <c r="K51" s="477">
        <v>-8.8000000000000007</v>
      </c>
      <c r="L51" s="477">
        <v>-9.1</v>
      </c>
      <c r="M51" s="477">
        <v>-6.2</v>
      </c>
      <c r="N51" s="478">
        <f t="shared" si="13"/>
        <v>1.4499999999999997</v>
      </c>
      <c r="P51" s="422">
        <v>3</v>
      </c>
      <c r="Q51" s="476">
        <v>850</v>
      </c>
      <c r="R51" s="479" t="s">
        <v>156</v>
      </c>
      <c r="S51" s="479" t="s">
        <v>156</v>
      </c>
      <c r="T51" s="476" t="s">
        <v>156</v>
      </c>
      <c r="U51" s="478">
        <f t="shared" si="14"/>
        <v>0</v>
      </c>
    </row>
    <row r="52" spans="1:24" ht="13">
      <c r="A52" s="1220"/>
      <c r="B52" s="422">
        <v>4</v>
      </c>
      <c r="C52" s="482">
        <v>30</v>
      </c>
      <c r="D52" s="483">
        <v>0.4</v>
      </c>
      <c r="E52" s="483">
        <v>0.1</v>
      </c>
      <c r="F52" s="483">
        <v>0.6</v>
      </c>
      <c r="G52" s="478">
        <f t="shared" si="12"/>
        <v>0.25</v>
      </c>
      <c r="I52" s="422">
        <v>4</v>
      </c>
      <c r="J52" s="482">
        <v>60</v>
      </c>
      <c r="K52" s="483">
        <v>-8</v>
      </c>
      <c r="L52" s="483">
        <v>-7.9</v>
      </c>
      <c r="M52" s="483">
        <v>-5.2</v>
      </c>
      <c r="N52" s="478">
        <f t="shared" si="13"/>
        <v>1.4</v>
      </c>
      <c r="P52" s="422">
        <v>4</v>
      </c>
      <c r="Q52" s="482">
        <v>900</v>
      </c>
      <c r="R52" s="483" t="s">
        <v>156</v>
      </c>
      <c r="S52" s="483" t="s">
        <v>156</v>
      </c>
      <c r="T52" s="476" t="s">
        <v>156</v>
      </c>
      <c r="U52" s="478">
        <f t="shared" si="14"/>
        <v>0</v>
      </c>
    </row>
    <row r="53" spans="1:24" ht="13">
      <c r="A53" s="1220"/>
      <c r="B53" s="422">
        <v>5</v>
      </c>
      <c r="C53" s="482">
        <v>35</v>
      </c>
      <c r="D53" s="483">
        <v>0.4</v>
      </c>
      <c r="E53" s="483">
        <v>0.1</v>
      </c>
      <c r="F53" s="483">
        <v>0.7</v>
      </c>
      <c r="G53" s="478">
        <f t="shared" si="12"/>
        <v>0.3</v>
      </c>
      <c r="I53" s="422">
        <v>5</v>
      </c>
      <c r="J53" s="482">
        <v>70</v>
      </c>
      <c r="K53" s="483">
        <v>-7.1</v>
      </c>
      <c r="L53" s="483">
        <v>-6.1</v>
      </c>
      <c r="M53" s="483">
        <v>-4.0999999999999996</v>
      </c>
      <c r="N53" s="478">
        <f t="shared" si="13"/>
        <v>1.5</v>
      </c>
      <c r="P53" s="422">
        <v>5</v>
      </c>
      <c r="Q53" s="482">
        <v>1000</v>
      </c>
      <c r="R53" s="483" t="s">
        <v>156</v>
      </c>
      <c r="S53" s="483" t="s">
        <v>156</v>
      </c>
      <c r="T53" s="476" t="s">
        <v>156</v>
      </c>
      <c r="U53" s="478">
        <f t="shared" si="14"/>
        <v>0</v>
      </c>
    </row>
    <row r="54" spans="1:24" ht="13">
      <c r="A54" s="1220"/>
      <c r="B54" s="422">
        <v>6</v>
      </c>
      <c r="C54" s="482">
        <v>37</v>
      </c>
      <c r="D54" s="483">
        <v>0.3</v>
      </c>
      <c r="E54" s="483">
        <v>0.1</v>
      </c>
      <c r="F54" s="483">
        <v>0.7</v>
      </c>
      <c r="G54" s="478">
        <f t="shared" si="12"/>
        <v>0.3</v>
      </c>
      <c r="I54" s="422">
        <v>6</v>
      </c>
      <c r="J54" s="482">
        <v>80</v>
      </c>
      <c r="K54" s="483">
        <v>-6.3</v>
      </c>
      <c r="L54" s="483">
        <v>-3.8</v>
      </c>
      <c r="M54" s="483">
        <v>-3</v>
      </c>
      <c r="N54" s="478">
        <f t="shared" si="13"/>
        <v>1.65</v>
      </c>
      <c r="P54" s="422">
        <v>6</v>
      </c>
      <c r="Q54" s="482">
        <v>1005</v>
      </c>
      <c r="R54" s="483" t="s">
        <v>156</v>
      </c>
      <c r="S54" s="483" t="s">
        <v>156</v>
      </c>
      <c r="T54" s="476" t="s">
        <v>156</v>
      </c>
      <c r="U54" s="478">
        <f t="shared" si="14"/>
        <v>0</v>
      </c>
    </row>
    <row r="55" spans="1:24" ht="13.5" thickBot="1">
      <c r="A55" s="1221"/>
      <c r="B55" s="422">
        <v>7</v>
      </c>
      <c r="C55" s="482">
        <v>40</v>
      </c>
      <c r="D55" s="483">
        <v>0.3</v>
      </c>
      <c r="E55" s="483">
        <v>0.2</v>
      </c>
      <c r="F55" s="483">
        <v>0.7</v>
      </c>
      <c r="G55" s="478">
        <f t="shared" si="12"/>
        <v>0.24999999999999997</v>
      </c>
      <c r="I55" s="422">
        <v>7</v>
      </c>
      <c r="J55" s="482">
        <v>90</v>
      </c>
      <c r="K55" s="483">
        <v>-5.4</v>
      </c>
      <c r="L55" s="483">
        <v>-0.8</v>
      </c>
      <c r="M55" s="483">
        <v>-1.8</v>
      </c>
      <c r="N55" s="478">
        <f t="shared" si="13"/>
        <v>2.3000000000000003</v>
      </c>
      <c r="P55" s="422">
        <v>7</v>
      </c>
      <c r="Q55" s="482">
        <v>1020</v>
      </c>
      <c r="R55" s="483" t="s">
        <v>156</v>
      </c>
      <c r="S55" s="483" t="s">
        <v>156</v>
      </c>
      <c r="T55" s="476" t="s">
        <v>156</v>
      </c>
      <c r="U55" s="478">
        <f t="shared" si="14"/>
        <v>0</v>
      </c>
    </row>
    <row r="56" spans="1:24" ht="13.5" thickBot="1">
      <c r="A56" s="489"/>
      <c r="B56" s="294"/>
      <c r="C56" s="294"/>
      <c r="D56" s="294"/>
      <c r="E56" s="490"/>
      <c r="F56" s="491"/>
      <c r="G56" s="492"/>
      <c r="H56" s="294"/>
      <c r="I56" s="294"/>
      <c r="J56" s="294"/>
      <c r="K56" s="490"/>
      <c r="L56" s="491"/>
      <c r="O56" s="486"/>
      <c r="P56" s="487"/>
    </row>
    <row r="57" spans="1:24">
      <c r="A57" s="1222">
        <v>6</v>
      </c>
      <c r="B57" s="1213" t="s">
        <v>444</v>
      </c>
      <c r="C57" s="1213"/>
      <c r="D57" s="1213"/>
      <c r="E57" s="1213"/>
      <c r="F57" s="1213"/>
      <c r="G57" s="1213"/>
      <c r="I57" s="1213" t="str">
        <f>B57</f>
        <v>KOREKSI GREISINGER 34903046</v>
      </c>
      <c r="J57" s="1213"/>
      <c r="K57" s="1213"/>
      <c r="L57" s="1213"/>
      <c r="M57" s="1213"/>
      <c r="N57" s="1213"/>
      <c r="P57" s="1213" t="str">
        <f>I57</f>
        <v>KOREKSI GREISINGER 34903046</v>
      </c>
      <c r="Q57" s="1213"/>
      <c r="R57" s="1213"/>
      <c r="S57" s="1213"/>
      <c r="T57" s="1213"/>
      <c r="U57" s="1213"/>
      <c r="W57" s="1207" t="s">
        <v>397</v>
      </c>
      <c r="X57" s="1208"/>
    </row>
    <row r="58" spans="1:24" ht="13">
      <c r="A58" s="1222"/>
      <c r="B58" s="1209" t="s">
        <v>434</v>
      </c>
      <c r="C58" s="1209"/>
      <c r="D58" s="1209" t="s">
        <v>435</v>
      </c>
      <c r="E58" s="1209"/>
      <c r="F58" s="1209"/>
      <c r="G58" s="1209" t="s">
        <v>386</v>
      </c>
      <c r="I58" s="1209" t="s">
        <v>436</v>
      </c>
      <c r="J58" s="1209"/>
      <c r="K58" s="1209" t="s">
        <v>435</v>
      </c>
      <c r="L58" s="1209"/>
      <c r="M58" s="1209"/>
      <c r="N58" s="1209" t="s">
        <v>386</v>
      </c>
      <c r="P58" s="1209" t="s">
        <v>437</v>
      </c>
      <c r="Q58" s="1209"/>
      <c r="R58" s="1223" t="s">
        <v>435</v>
      </c>
      <c r="S58" s="1224"/>
      <c r="T58" s="1225"/>
      <c r="U58" s="1209" t="s">
        <v>386</v>
      </c>
      <c r="W58" s="473" t="s">
        <v>434</v>
      </c>
      <c r="X58" s="474">
        <v>0.8</v>
      </c>
    </row>
    <row r="59" spans="1:24" ht="14.5">
      <c r="A59" s="1222"/>
      <c r="B59" s="1210" t="s">
        <v>438</v>
      </c>
      <c r="C59" s="1210"/>
      <c r="D59" s="475">
        <v>2019</v>
      </c>
      <c r="E59" s="475">
        <v>2018</v>
      </c>
      <c r="F59" s="475">
        <v>2016</v>
      </c>
      <c r="G59" s="1209"/>
      <c r="I59" s="1211" t="s">
        <v>18</v>
      </c>
      <c r="J59" s="1210"/>
      <c r="K59" s="475">
        <f>D59</f>
        <v>2019</v>
      </c>
      <c r="L59" s="475">
        <f>E59</f>
        <v>2018</v>
      </c>
      <c r="M59" s="475">
        <v>2016</v>
      </c>
      <c r="N59" s="1209"/>
      <c r="P59" s="1211" t="s">
        <v>439</v>
      </c>
      <c r="Q59" s="1210"/>
      <c r="R59" s="475">
        <f>K59</f>
        <v>2019</v>
      </c>
      <c r="S59" s="475">
        <f>L59</f>
        <v>2018</v>
      </c>
      <c r="T59" s="475">
        <v>2016</v>
      </c>
      <c r="U59" s="1209"/>
      <c r="W59" s="473" t="s">
        <v>18</v>
      </c>
      <c r="X59" s="474">
        <v>2.6</v>
      </c>
    </row>
    <row r="60" spans="1:24" ht="13.5" thickBot="1">
      <c r="A60" s="1222"/>
      <c r="B60" s="422">
        <v>1</v>
      </c>
      <c r="C60" s="476">
        <v>15</v>
      </c>
      <c r="D60" s="476">
        <v>0.4</v>
      </c>
      <c r="E60" s="476">
        <v>0.4</v>
      </c>
      <c r="F60" s="488"/>
      <c r="G60" s="478">
        <f>0.5*(MAX(D60:F60)-MIN(D60:F60))</f>
        <v>0</v>
      </c>
      <c r="I60" s="422">
        <v>1</v>
      </c>
      <c r="J60" s="476">
        <v>30</v>
      </c>
      <c r="K60" s="476">
        <v>-1.5</v>
      </c>
      <c r="L60" s="476">
        <v>1.7</v>
      </c>
      <c r="M60" s="488"/>
      <c r="N60" s="478">
        <f>0.5*(MAX(K60:M60)-MIN(K60:M60))</f>
        <v>1.6</v>
      </c>
      <c r="P60" s="422">
        <v>1</v>
      </c>
      <c r="Q60" s="476">
        <v>750</v>
      </c>
      <c r="R60" s="476">
        <v>0.9</v>
      </c>
      <c r="S60" s="476">
        <v>2.1</v>
      </c>
      <c r="T60" s="476">
        <v>9.9999999999999995E-7</v>
      </c>
      <c r="U60" s="478">
        <f>0.5*(MAX(R60:T60)-MIN(R60:T60))</f>
        <v>1.0499995</v>
      </c>
      <c r="W60" s="480" t="s">
        <v>439</v>
      </c>
      <c r="X60" s="481">
        <v>1.6</v>
      </c>
    </row>
    <row r="61" spans="1:24" ht="13">
      <c r="A61" s="1222"/>
      <c r="B61" s="422">
        <v>2</v>
      </c>
      <c r="C61" s="476">
        <v>20</v>
      </c>
      <c r="D61" s="476">
        <v>0.3</v>
      </c>
      <c r="E61" s="476">
        <v>0.2</v>
      </c>
      <c r="F61" s="488"/>
      <c r="G61" s="478">
        <f t="shared" ref="G61:G66" si="15">0.5*(MAX(D61:F61)-MIN(D61:F61))</f>
        <v>4.9999999999999989E-2</v>
      </c>
      <c r="I61" s="422">
        <v>2</v>
      </c>
      <c r="J61" s="476">
        <v>40</v>
      </c>
      <c r="K61" s="476">
        <v>-3.8</v>
      </c>
      <c r="L61" s="476">
        <v>1.5</v>
      </c>
      <c r="M61" s="488"/>
      <c r="N61" s="478">
        <f t="shared" ref="N61:N66" si="16">0.5*(MAX(K61:M61)-MIN(K61:M61))</f>
        <v>2.65</v>
      </c>
      <c r="P61" s="422">
        <v>2</v>
      </c>
      <c r="Q61" s="476">
        <v>800</v>
      </c>
      <c r="R61" s="476">
        <v>0.9</v>
      </c>
      <c r="S61" s="476">
        <v>1.6</v>
      </c>
      <c r="T61" s="476">
        <v>9.9999999999999995E-7</v>
      </c>
      <c r="U61" s="478">
        <f t="shared" ref="U61:U66" si="17">0.5*(MAX(R61:T61)-MIN(R61:T61))</f>
        <v>0.79999950000000009</v>
      </c>
    </row>
    <row r="62" spans="1:24" ht="13">
      <c r="A62" s="1222"/>
      <c r="B62" s="422">
        <v>3</v>
      </c>
      <c r="C62" s="476">
        <v>25</v>
      </c>
      <c r="D62" s="476">
        <v>0.2</v>
      </c>
      <c r="E62" s="476">
        <v>-0.1</v>
      </c>
      <c r="F62" s="488"/>
      <c r="G62" s="478">
        <f t="shared" si="15"/>
        <v>0.15000000000000002</v>
      </c>
      <c r="I62" s="422">
        <v>3</v>
      </c>
      <c r="J62" s="476">
        <v>50</v>
      </c>
      <c r="K62" s="476">
        <v>-5.4</v>
      </c>
      <c r="L62" s="476">
        <v>1.2</v>
      </c>
      <c r="M62" s="488"/>
      <c r="N62" s="478">
        <f t="shared" si="16"/>
        <v>3.3000000000000003</v>
      </c>
      <c r="P62" s="422">
        <v>3</v>
      </c>
      <c r="Q62" s="476">
        <v>850</v>
      </c>
      <c r="R62" s="476">
        <v>0.9</v>
      </c>
      <c r="S62" s="476">
        <v>1.1000000000000001</v>
      </c>
      <c r="T62" s="476">
        <v>9.9999999999999995E-7</v>
      </c>
      <c r="U62" s="478">
        <f t="shared" si="17"/>
        <v>0.54999950000000009</v>
      </c>
    </row>
    <row r="63" spans="1:24" ht="13">
      <c r="A63" s="1222"/>
      <c r="B63" s="422">
        <v>4</v>
      </c>
      <c r="C63" s="482">
        <v>30</v>
      </c>
      <c r="D63" s="482">
        <v>0.1</v>
      </c>
      <c r="E63" s="482">
        <v>-0.5</v>
      </c>
      <c r="F63" s="488"/>
      <c r="G63" s="478">
        <f t="shared" si="15"/>
        <v>0.3</v>
      </c>
      <c r="I63" s="422">
        <v>4</v>
      </c>
      <c r="J63" s="482">
        <v>60</v>
      </c>
      <c r="K63" s="482">
        <v>-6.4</v>
      </c>
      <c r="L63" s="482">
        <v>1.1000000000000001</v>
      </c>
      <c r="M63" s="488"/>
      <c r="N63" s="478">
        <f t="shared" si="16"/>
        <v>3.75</v>
      </c>
      <c r="P63" s="422">
        <v>4</v>
      </c>
      <c r="Q63" s="482">
        <v>900</v>
      </c>
      <c r="R63" s="482">
        <v>0.9</v>
      </c>
      <c r="S63" s="482">
        <v>0.7</v>
      </c>
      <c r="T63" s="476">
        <v>9.9999999999999995E-7</v>
      </c>
      <c r="U63" s="478">
        <f t="shared" si="17"/>
        <v>0.4499995</v>
      </c>
    </row>
    <row r="64" spans="1:24" ht="13">
      <c r="A64" s="1222"/>
      <c r="B64" s="422">
        <v>5</v>
      </c>
      <c r="C64" s="482">
        <v>35</v>
      </c>
      <c r="D64" s="482">
        <v>0.1</v>
      </c>
      <c r="E64" s="482">
        <v>-0.9</v>
      </c>
      <c r="F64" s="488"/>
      <c r="G64" s="478">
        <f t="shared" si="15"/>
        <v>0.5</v>
      </c>
      <c r="I64" s="422">
        <v>5</v>
      </c>
      <c r="J64" s="482">
        <v>70</v>
      </c>
      <c r="K64" s="482">
        <v>-6.7</v>
      </c>
      <c r="L64" s="482">
        <v>0.9</v>
      </c>
      <c r="M64" s="488"/>
      <c r="N64" s="478">
        <f t="shared" si="16"/>
        <v>3.8000000000000003</v>
      </c>
      <c r="P64" s="422">
        <v>5</v>
      </c>
      <c r="Q64" s="482">
        <v>1000</v>
      </c>
      <c r="R64" s="482">
        <v>0.9</v>
      </c>
      <c r="S64" s="482">
        <v>-0.3</v>
      </c>
      <c r="T64" s="476">
        <v>9.9999999999999995E-7</v>
      </c>
      <c r="U64" s="478">
        <f t="shared" si="17"/>
        <v>0.6</v>
      </c>
    </row>
    <row r="65" spans="1:24" ht="13">
      <c r="A65" s="1222"/>
      <c r="B65" s="422">
        <v>6</v>
      </c>
      <c r="C65" s="482">
        <v>37</v>
      </c>
      <c r="D65" s="482">
        <v>0.1</v>
      </c>
      <c r="E65" s="482">
        <v>-1.1000000000000001</v>
      </c>
      <c r="F65" s="488"/>
      <c r="G65" s="478">
        <f t="shared" si="15"/>
        <v>0.60000000000000009</v>
      </c>
      <c r="I65" s="422">
        <v>6</v>
      </c>
      <c r="J65" s="482">
        <v>80</v>
      </c>
      <c r="K65" s="482">
        <v>-6.3</v>
      </c>
      <c r="L65" s="482">
        <v>0.8</v>
      </c>
      <c r="M65" s="488"/>
      <c r="N65" s="478">
        <f t="shared" si="16"/>
        <v>3.55</v>
      </c>
      <c r="P65" s="422">
        <v>6</v>
      </c>
      <c r="Q65" s="482">
        <v>1005</v>
      </c>
      <c r="R65" s="482">
        <v>0.9</v>
      </c>
      <c r="S65" s="482">
        <v>-0.3</v>
      </c>
      <c r="T65" s="476">
        <v>9.9999999999999995E-7</v>
      </c>
      <c r="U65" s="478">
        <f t="shared" si="17"/>
        <v>0.6</v>
      </c>
    </row>
    <row r="66" spans="1:24" ht="13">
      <c r="A66" s="1222"/>
      <c r="B66" s="422">
        <v>7</v>
      </c>
      <c r="C66" s="482">
        <v>40</v>
      </c>
      <c r="D66" s="482">
        <v>0.1</v>
      </c>
      <c r="E66" s="482">
        <v>-1.4</v>
      </c>
      <c r="F66" s="488"/>
      <c r="G66" s="478">
        <f t="shared" si="15"/>
        <v>0.75</v>
      </c>
      <c r="I66" s="422">
        <v>7</v>
      </c>
      <c r="J66" s="482">
        <v>90</v>
      </c>
      <c r="K66" s="482">
        <v>-5.2</v>
      </c>
      <c r="L66" s="482">
        <v>0.7</v>
      </c>
      <c r="M66" s="488"/>
      <c r="N66" s="478">
        <f t="shared" si="16"/>
        <v>2.95</v>
      </c>
      <c r="P66" s="422">
        <v>7</v>
      </c>
      <c r="Q66" s="482">
        <v>1020</v>
      </c>
      <c r="R66" s="482">
        <v>0.9</v>
      </c>
      <c r="S66" s="482">
        <v>9.9999999999999995E-7</v>
      </c>
      <c r="T66" s="476">
        <v>9.9999999999999995E-7</v>
      </c>
      <c r="U66" s="478">
        <f t="shared" si="17"/>
        <v>0.4499995</v>
      </c>
    </row>
    <row r="67" spans="1:24" ht="13.5" thickBot="1">
      <c r="A67" s="489"/>
      <c r="B67" s="294"/>
      <c r="C67" s="294"/>
      <c r="D67" s="294"/>
      <c r="E67" s="490"/>
      <c r="F67" s="491"/>
      <c r="G67" s="492"/>
      <c r="I67" s="294"/>
      <c r="J67" s="294"/>
      <c r="K67" s="294"/>
      <c r="L67" s="490"/>
      <c r="M67" s="491"/>
      <c r="R67" s="487"/>
    </row>
    <row r="68" spans="1:24">
      <c r="A68" s="1222">
        <v>7</v>
      </c>
      <c r="B68" s="1213" t="s">
        <v>445</v>
      </c>
      <c r="C68" s="1213"/>
      <c r="D68" s="1213"/>
      <c r="E68" s="1213"/>
      <c r="F68" s="1213"/>
      <c r="G68" s="1213"/>
      <c r="I68" s="1213" t="str">
        <f>B68</f>
        <v>KOREKSI GREISINGER 34903053</v>
      </c>
      <c r="J68" s="1213"/>
      <c r="K68" s="1213"/>
      <c r="L68" s="1213"/>
      <c r="M68" s="1213"/>
      <c r="N68" s="1213"/>
      <c r="P68" s="1213" t="str">
        <f>I68</f>
        <v>KOREKSI GREISINGER 34903053</v>
      </c>
      <c r="Q68" s="1213"/>
      <c r="R68" s="1213"/>
      <c r="S68" s="1213"/>
      <c r="T68" s="1213"/>
      <c r="U68" s="1213"/>
      <c r="W68" s="1207" t="s">
        <v>397</v>
      </c>
      <c r="X68" s="1208"/>
    </row>
    <row r="69" spans="1:24" ht="13">
      <c r="A69" s="1222"/>
      <c r="B69" s="1209" t="s">
        <v>434</v>
      </c>
      <c r="C69" s="1209"/>
      <c r="D69" s="1209" t="s">
        <v>435</v>
      </c>
      <c r="E69" s="1209"/>
      <c r="F69" s="1209"/>
      <c r="G69" s="1209" t="s">
        <v>386</v>
      </c>
      <c r="I69" s="1209" t="s">
        <v>436</v>
      </c>
      <c r="J69" s="1209"/>
      <c r="K69" s="1209" t="s">
        <v>435</v>
      </c>
      <c r="L69" s="1209"/>
      <c r="M69" s="1209"/>
      <c r="N69" s="1209" t="s">
        <v>386</v>
      </c>
      <c r="P69" s="1209" t="s">
        <v>437</v>
      </c>
      <c r="Q69" s="1209"/>
      <c r="R69" s="1209" t="s">
        <v>435</v>
      </c>
      <c r="S69" s="1209"/>
      <c r="T69" s="1209"/>
      <c r="U69" s="1209" t="s">
        <v>386</v>
      </c>
      <c r="W69" s="473" t="s">
        <v>434</v>
      </c>
      <c r="X69" s="474">
        <v>0.2</v>
      </c>
    </row>
    <row r="70" spans="1:24" ht="14.5">
      <c r="A70" s="1222"/>
      <c r="B70" s="1210" t="s">
        <v>438</v>
      </c>
      <c r="C70" s="1210"/>
      <c r="D70" s="475">
        <v>2021</v>
      </c>
      <c r="E70" s="475">
        <v>2018</v>
      </c>
      <c r="F70" s="475">
        <v>2016</v>
      </c>
      <c r="G70" s="1209"/>
      <c r="I70" s="1211" t="s">
        <v>18</v>
      </c>
      <c r="J70" s="1210"/>
      <c r="K70" s="475">
        <f>D70</f>
        <v>2021</v>
      </c>
      <c r="L70" s="475">
        <f>E70</f>
        <v>2018</v>
      </c>
      <c r="M70" s="475">
        <v>2016</v>
      </c>
      <c r="N70" s="1209"/>
      <c r="P70" s="1211" t="s">
        <v>439</v>
      </c>
      <c r="Q70" s="1210"/>
      <c r="R70" s="475">
        <f>K70</f>
        <v>2021</v>
      </c>
      <c r="S70" s="475">
        <f>L70</f>
        <v>2018</v>
      </c>
      <c r="T70" s="475">
        <v>2016</v>
      </c>
      <c r="U70" s="1209"/>
      <c r="W70" s="473" t="s">
        <v>18</v>
      </c>
      <c r="X70" s="474">
        <v>2.4</v>
      </c>
    </row>
    <row r="71" spans="1:24" ht="13.5" thickBot="1">
      <c r="A71" s="1222"/>
      <c r="B71" s="422">
        <v>1</v>
      </c>
      <c r="C71" s="476">
        <v>15</v>
      </c>
      <c r="D71" s="476">
        <v>0.1</v>
      </c>
      <c r="E71" s="476">
        <v>0.3</v>
      </c>
      <c r="F71" s="488"/>
      <c r="G71" s="478">
        <f>0.5*(MAX(D71:F71)-MIN(D71:F71))</f>
        <v>9.9999999999999992E-2</v>
      </c>
      <c r="I71" s="422">
        <v>1</v>
      </c>
      <c r="J71" s="476">
        <v>30</v>
      </c>
      <c r="K71" s="476">
        <v>-1.9</v>
      </c>
      <c r="L71" s="476">
        <v>1.8</v>
      </c>
      <c r="M71" s="488"/>
      <c r="N71" s="478">
        <f>0.5*(MAX(K71:M71)-MIN(K71:M71))</f>
        <v>1.85</v>
      </c>
      <c r="P71" s="422">
        <v>1</v>
      </c>
      <c r="Q71" s="476">
        <v>750</v>
      </c>
      <c r="R71" s="476">
        <v>9.9999999999999995E-7</v>
      </c>
      <c r="S71" s="476">
        <v>3.2</v>
      </c>
      <c r="T71" s="476">
        <v>9.9999999999999995E-7</v>
      </c>
      <c r="U71" s="478">
        <f>0.5*(MAX(R71:T71)-MIN(R71:T71))</f>
        <v>1.5999995</v>
      </c>
      <c r="W71" s="480" t="s">
        <v>439</v>
      </c>
      <c r="X71" s="481">
        <v>2.4</v>
      </c>
    </row>
    <row r="72" spans="1:24" ht="13">
      <c r="A72" s="1222"/>
      <c r="B72" s="422">
        <v>2</v>
      </c>
      <c r="C72" s="476">
        <v>20</v>
      </c>
      <c r="D72" s="476">
        <v>9.9999999999999995E-7</v>
      </c>
      <c r="E72" s="476">
        <v>0.1</v>
      </c>
      <c r="F72" s="488"/>
      <c r="G72" s="478">
        <f t="shared" ref="G72:G77" si="18">0.5*(MAX(D72:F72)-MIN(D72:F72))</f>
        <v>4.9999500000000002E-2</v>
      </c>
      <c r="I72" s="422">
        <v>2</v>
      </c>
      <c r="J72" s="476">
        <v>40</v>
      </c>
      <c r="K72" s="476">
        <v>-1.9</v>
      </c>
      <c r="L72" s="476">
        <v>1.2</v>
      </c>
      <c r="M72" s="488"/>
      <c r="N72" s="478">
        <f t="shared" ref="N72:N77" si="19">0.5*(MAX(K72:M72)-MIN(K72:M72))</f>
        <v>1.5499999999999998</v>
      </c>
      <c r="P72" s="422">
        <v>2</v>
      </c>
      <c r="Q72" s="476">
        <v>800</v>
      </c>
      <c r="R72" s="476">
        <v>9.9999999999999995E-7</v>
      </c>
      <c r="S72" s="476">
        <v>2.5</v>
      </c>
      <c r="T72" s="476">
        <v>9.9999999999999995E-7</v>
      </c>
      <c r="U72" s="478">
        <f t="shared" ref="U72:U77" si="20">0.5*(MAX(R72:T72)-MIN(R72:T72))</f>
        <v>1.2499994999999999</v>
      </c>
    </row>
    <row r="73" spans="1:24" ht="13">
      <c r="A73" s="1222"/>
      <c r="B73" s="422">
        <v>3</v>
      </c>
      <c r="C73" s="476">
        <v>25</v>
      </c>
      <c r="D73" s="476">
        <v>9.9999999999999995E-7</v>
      </c>
      <c r="E73" s="476">
        <v>-0.2</v>
      </c>
      <c r="F73" s="488"/>
      <c r="G73" s="478">
        <f t="shared" si="18"/>
        <v>0.10000050000000001</v>
      </c>
      <c r="I73" s="422">
        <v>3</v>
      </c>
      <c r="J73" s="476">
        <v>50</v>
      </c>
      <c r="K73" s="476">
        <v>-1.9</v>
      </c>
      <c r="L73" s="476">
        <v>0.8</v>
      </c>
      <c r="M73" s="488"/>
      <c r="N73" s="478">
        <f t="shared" si="19"/>
        <v>1.35</v>
      </c>
      <c r="P73" s="422">
        <v>3</v>
      </c>
      <c r="Q73" s="476">
        <v>850</v>
      </c>
      <c r="R73" s="476">
        <v>9.9999999999999995E-7</v>
      </c>
      <c r="S73" s="476">
        <v>1.7</v>
      </c>
      <c r="T73" s="476">
        <v>9.9999999999999995E-7</v>
      </c>
      <c r="U73" s="478">
        <f t="shared" si="20"/>
        <v>0.84999950000000002</v>
      </c>
    </row>
    <row r="74" spans="1:24" ht="13">
      <c r="A74" s="1222"/>
      <c r="B74" s="422">
        <v>4</v>
      </c>
      <c r="C74" s="482">
        <v>30</v>
      </c>
      <c r="D74" s="476">
        <v>9.9999999999999995E-7</v>
      </c>
      <c r="E74" s="482">
        <v>-0.6</v>
      </c>
      <c r="F74" s="488"/>
      <c r="G74" s="478">
        <f t="shared" si="18"/>
        <v>0.3000005</v>
      </c>
      <c r="I74" s="422">
        <v>4</v>
      </c>
      <c r="J74" s="482">
        <v>60</v>
      </c>
      <c r="K74" s="482">
        <v>-2.1</v>
      </c>
      <c r="L74" s="482">
        <v>0.7</v>
      </c>
      <c r="M74" s="488"/>
      <c r="N74" s="478">
        <f t="shared" si="19"/>
        <v>1.4</v>
      </c>
      <c r="P74" s="422">
        <v>4</v>
      </c>
      <c r="Q74" s="482">
        <v>900</v>
      </c>
      <c r="R74" s="476">
        <v>9.9999999999999995E-7</v>
      </c>
      <c r="S74" s="482">
        <v>1</v>
      </c>
      <c r="T74" s="476">
        <v>9.9999999999999995E-7</v>
      </c>
      <c r="U74" s="478">
        <f t="shared" si="20"/>
        <v>0.49999949999999999</v>
      </c>
    </row>
    <row r="75" spans="1:24" ht="13">
      <c r="A75" s="1222"/>
      <c r="B75" s="422">
        <v>5</v>
      </c>
      <c r="C75" s="482">
        <v>35</v>
      </c>
      <c r="D75" s="476">
        <v>9.9999999999999995E-7</v>
      </c>
      <c r="E75" s="482">
        <v>-1.1000000000000001</v>
      </c>
      <c r="F75" s="488"/>
      <c r="G75" s="478">
        <f t="shared" si="18"/>
        <v>0.5500005</v>
      </c>
      <c r="I75" s="422">
        <v>5</v>
      </c>
      <c r="J75" s="482">
        <v>70</v>
      </c>
      <c r="K75" s="482">
        <v>-2.2999999999999998</v>
      </c>
      <c r="L75" s="482">
        <v>0.9</v>
      </c>
      <c r="M75" s="488"/>
      <c r="N75" s="478">
        <f t="shared" si="19"/>
        <v>1.5999999999999999</v>
      </c>
      <c r="P75" s="422">
        <v>5</v>
      </c>
      <c r="Q75" s="482">
        <v>1000</v>
      </c>
      <c r="R75" s="482">
        <v>-3.9</v>
      </c>
      <c r="S75" s="482">
        <v>-0.4</v>
      </c>
      <c r="T75" s="476">
        <v>9.9999999999999995E-7</v>
      </c>
      <c r="U75" s="478">
        <f t="shared" si="20"/>
        <v>1.9500005</v>
      </c>
    </row>
    <row r="76" spans="1:24" ht="13">
      <c r="A76" s="1222"/>
      <c r="B76" s="422">
        <v>6</v>
      </c>
      <c r="C76" s="482">
        <v>37</v>
      </c>
      <c r="D76" s="476">
        <v>9.9999999999999995E-7</v>
      </c>
      <c r="E76" s="482">
        <v>-1.4</v>
      </c>
      <c r="F76" s="488"/>
      <c r="G76" s="478">
        <f t="shared" si="18"/>
        <v>0.70000049999999991</v>
      </c>
      <c r="I76" s="422">
        <v>6</v>
      </c>
      <c r="J76" s="482">
        <v>80</v>
      </c>
      <c r="K76" s="482">
        <v>-2.6</v>
      </c>
      <c r="L76" s="482">
        <v>1.2</v>
      </c>
      <c r="M76" s="488"/>
      <c r="N76" s="478">
        <f t="shared" si="19"/>
        <v>1.9</v>
      </c>
      <c r="P76" s="422">
        <v>6</v>
      </c>
      <c r="Q76" s="482">
        <v>1005</v>
      </c>
      <c r="R76" s="482">
        <v>-3.8</v>
      </c>
      <c r="S76" s="482">
        <v>-0.5</v>
      </c>
      <c r="T76" s="476">
        <v>9.9999999999999995E-7</v>
      </c>
      <c r="U76" s="478">
        <f t="shared" si="20"/>
        <v>1.9000005</v>
      </c>
    </row>
    <row r="77" spans="1:24" ht="13.5" thickBot="1">
      <c r="A77" s="1222"/>
      <c r="B77" s="422">
        <v>7</v>
      </c>
      <c r="C77" s="482">
        <v>40</v>
      </c>
      <c r="D77" s="482">
        <v>0.1</v>
      </c>
      <c r="E77" s="482">
        <v>-1.7</v>
      </c>
      <c r="F77" s="488"/>
      <c r="G77" s="478">
        <f t="shared" si="18"/>
        <v>0.9</v>
      </c>
      <c r="I77" s="422">
        <v>7</v>
      </c>
      <c r="J77" s="482">
        <v>90</v>
      </c>
      <c r="K77" s="482">
        <v>-3</v>
      </c>
      <c r="L77" s="482">
        <v>1.8</v>
      </c>
      <c r="M77" s="488"/>
      <c r="N77" s="478">
        <f t="shared" si="19"/>
        <v>2.4</v>
      </c>
      <c r="P77" s="422">
        <v>7</v>
      </c>
      <c r="Q77" s="482">
        <v>1020</v>
      </c>
      <c r="R77" s="482">
        <v>-3.8</v>
      </c>
      <c r="S77" s="482">
        <v>9.9999999999999995E-7</v>
      </c>
      <c r="T77" s="476">
        <v>9.9999999999999995E-7</v>
      </c>
      <c r="U77" s="478">
        <f t="shared" si="20"/>
        <v>1.9000005</v>
      </c>
    </row>
    <row r="78" spans="1:24" ht="13.5" thickBot="1">
      <c r="A78" s="489"/>
      <c r="B78" s="294"/>
      <c r="C78" s="294"/>
      <c r="D78" s="294"/>
      <c r="E78" s="490"/>
      <c r="F78" s="491"/>
      <c r="G78" s="492"/>
      <c r="H78" s="294"/>
      <c r="I78" s="294"/>
      <c r="J78" s="294"/>
      <c r="K78" s="490"/>
      <c r="L78" s="491"/>
      <c r="O78" s="486"/>
      <c r="P78" s="487"/>
    </row>
    <row r="79" spans="1:24">
      <c r="A79" s="1212">
        <v>8</v>
      </c>
      <c r="B79" s="1213" t="s">
        <v>446</v>
      </c>
      <c r="C79" s="1213"/>
      <c r="D79" s="1213"/>
      <c r="E79" s="1213"/>
      <c r="F79" s="1213"/>
      <c r="G79" s="1213"/>
      <c r="I79" s="1213" t="str">
        <f>B79</f>
        <v>KOREKSI GREISINGER 34903051</v>
      </c>
      <c r="J79" s="1213"/>
      <c r="K79" s="1213"/>
      <c r="L79" s="1213"/>
      <c r="M79" s="1213"/>
      <c r="N79" s="1213"/>
      <c r="P79" s="1213" t="str">
        <f>I79</f>
        <v>KOREKSI GREISINGER 34903051</v>
      </c>
      <c r="Q79" s="1213"/>
      <c r="R79" s="1213"/>
      <c r="S79" s="1213"/>
      <c r="T79" s="1213"/>
      <c r="U79" s="1213"/>
      <c r="W79" s="1207" t="s">
        <v>397</v>
      </c>
      <c r="X79" s="1208"/>
    </row>
    <row r="80" spans="1:24" ht="13">
      <c r="A80" s="1212"/>
      <c r="B80" s="1209" t="s">
        <v>434</v>
      </c>
      <c r="C80" s="1209"/>
      <c r="D80" s="1209" t="s">
        <v>435</v>
      </c>
      <c r="E80" s="1209"/>
      <c r="F80" s="1209"/>
      <c r="G80" s="1209" t="s">
        <v>386</v>
      </c>
      <c r="I80" s="1209" t="s">
        <v>436</v>
      </c>
      <c r="J80" s="1209"/>
      <c r="K80" s="1209" t="s">
        <v>435</v>
      </c>
      <c r="L80" s="1209"/>
      <c r="M80" s="1209"/>
      <c r="N80" s="1209" t="s">
        <v>386</v>
      </c>
      <c r="P80" s="1209" t="s">
        <v>437</v>
      </c>
      <c r="Q80" s="1209"/>
      <c r="R80" s="1209" t="s">
        <v>435</v>
      </c>
      <c r="S80" s="1209"/>
      <c r="T80" s="1209"/>
      <c r="U80" s="1209" t="s">
        <v>386</v>
      </c>
      <c r="W80" s="473" t="s">
        <v>434</v>
      </c>
      <c r="X80" s="474">
        <v>0.8</v>
      </c>
    </row>
    <row r="81" spans="1:24" ht="14.5">
      <c r="A81" s="1212"/>
      <c r="B81" s="1210" t="s">
        <v>438</v>
      </c>
      <c r="C81" s="1210"/>
      <c r="D81" s="475">
        <v>2023</v>
      </c>
      <c r="E81" s="475">
        <v>2021</v>
      </c>
      <c r="F81" s="475">
        <v>2019</v>
      </c>
      <c r="G81" s="1209"/>
      <c r="I81" s="1211" t="s">
        <v>18</v>
      </c>
      <c r="J81" s="1210"/>
      <c r="K81" s="475">
        <f>D81</f>
        <v>2023</v>
      </c>
      <c r="L81" s="475">
        <f>E81</f>
        <v>2021</v>
      </c>
      <c r="M81" s="475">
        <v>2019</v>
      </c>
      <c r="N81" s="1209"/>
      <c r="P81" s="1211" t="s">
        <v>439</v>
      </c>
      <c r="Q81" s="1210"/>
      <c r="R81" s="475">
        <f>K81</f>
        <v>2023</v>
      </c>
      <c r="S81" s="475">
        <f>L81</f>
        <v>2021</v>
      </c>
      <c r="T81" s="475">
        <v>2019</v>
      </c>
      <c r="U81" s="1209"/>
      <c r="W81" s="473" t="s">
        <v>18</v>
      </c>
      <c r="X81" s="474">
        <v>2.2999999999999998</v>
      </c>
    </row>
    <row r="82" spans="1:24" ht="13.5" thickBot="1">
      <c r="A82" s="1212"/>
      <c r="B82" s="422">
        <v>1</v>
      </c>
      <c r="C82" s="476">
        <v>15</v>
      </c>
      <c r="D82" s="476">
        <v>0.4</v>
      </c>
      <c r="E82" s="476">
        <v>0.1</v>
      </c>
      <c r="F82" s="476">
        <v>9.9999999999999995E-7</v>
      </c>
      <c r="G82" s="478">
        <f>0.5*(MAX(D82:F82)-MIN(D82:F82))</f>
        <v>0.19999950000000002</v>
      </c>
      <c r="I82" s="422">
        <v>1</v>
      </c>
      <c r="J82" s="476">
        <v>30</v>
      </c>
      <c r="K82" s="476"/>
      <c r="L82" s="476">
        <v>-4</v>
      </c>
      <c r="M82" s="476">
        <v>-1.4</v>
      </c>
      <c r="N82" s="478">
        <f>0.5*(MAX(K82:M82)-MIN(K82:M82))</f>
        <v>1.3</v>
      </c>
      <c r="P82" s="422">
        <v>1</v>
      </c>
      <c r="Q82" s="476">
        <v>960</v>
      </c>
      <c r="R82" s="479">
        <v>-1.5</v>
      </c>
      <c r="S82" s="479">
        <v>-4</v>
      </c>
      <c r="T82" s="479">
        <v>9.9999999999999995E-7</v>
      </c>
      <c r="U82" s="478">
        <f>0.5*(MAX(R82:T82)-MIN(R82:T82))</f>
        <v>2.0000005000000001</v>
      </c>
      <c r="W82" s="480" t="s">
        <v>439</v>
      </c>
      <c r="X82" s="481">
        <v>2.5</v>
      </c>
    </row>
    <row r="83" spans="1:24" ht="13">
      <c r="A83" s="1212"/>
      <c r="B83" s="422">
        <v>2</v>
      </c>
      <c r="C83" s="476">
        <v>20</v>
      </c>
      <c r="D83" s="476">
        <v>0.2</v>
      </c>
      <c r="E83" s="476">
        <v>9.9999999999999995E-7</v>
      </c>
      <c r="F83" s="476">
        <v>-0.2</v>
      </c>
      <c r="G83" s="478">
        <f t="shared" ref="G83:G88" si="21">0.5*(MAX(D83:F83)-MIN(D83:F83))</f>
        <v>0.2</v>
      </c>
      <c r="I83" s="422">
        <v>2</v>
      </c>
      <c r="J83" s="476">
        <v>40</v>
      </c>
      <c r="K83" s="476">
        <v>-4.5999999999999996</v>
      </c>
      <c r="L83" s="476">
        <v>-3.8</v>
      </c>
      <c r="M83" s="476">
        <v>-1.2</v>
      </c>
      <c r="N83" s="478">
        <f t="shared" ref="N83:N88" si="22">0.5*(MAX(K83:M83)-MIN(K83:M83))</f>
        <v>1.6999999999999997</v>
      </c>
      <c r="P83" s="422">
        <v>2</v>
      </c>
      <c r="Q83" s="476">
        <v>970</v>
      </c>
      <c r="R83" s="479">
        <v>-1</v>
      </c>
      <c r="S83" s="479">
        <v>-3.9</v>
      </c>
      <c r="T83" s="479">
        <v>9.9999999999999995E-7</v>
      </c>
      <c r="U83" s="478">
        <f t="shared" ref="U83:U88" si="23">0.5*(MAX(R83:T83)-MIN(R83:T83))</f>
        <v>1.9500005</v>
      </c>
    </row>
    <row r="84" spans="1:24" ht="13">
      <c r="A84" s="1212"/>
      <c r="B84" s="422">
        <v>3</v>
      </c>
      <c r="C84" s="476">
        <v>25</v>
      </c>
      <c r="D84" s="476">
        <v>0</v>
      </c>
      <c r="E84" s="476">
        <v>-0.1</v>
      </c>
      <c r="F84" s="476">
        <v>-0.4</v>
      </c>
      <c r="G84" s="478">
        <f t="shared" si="21"/>
        <v>0.2</v>
      </c>
      <c r="I84" s="422">
        <v>3</v>
      </c>
      <c r="J84" s="476">
        <v>50</v>
      </c>
      <c r="K84" s="476">
        <v>-5</v>
      </c>
      <c r="L84" s="476">
        <v>-3.8</v>
      </c>
      <c r="M84" s="476">
        <v>-1.2</v>
      </c>
      <c r="N84" s="478">
        <f t="shared" si="22"/>
        <v>1.9</v>
      </c>
      <c r="P84" s="422">
        <v>3</v>
      </c>
      <c r="Q84" s="476">
        <v>980</v>
      </c>
      <c r="R84" s="479">
        <v>-0.6</v>
      </c>
      <c r="S84" s="479">
        <v>-3.8</v>
      </c>
      <c r="T84" s="479">
        <v>9.9999999999999995E-7</v>
      </c>
      <c r="U84" s="478">
        <f t="shared" si="23"/>
        <v>1.9000005</v>
      </c>
    </row>
    <row r="85" spans="1:24" ht="13">
      <c r="A85" s="1212"/>
      <c r="B85" s="422">
        <v>4</v>
      </c>
      <c r="C85" s="482">
        <v>30</v>
      </c>
      <c r="D85" s="476">
        <v>-0.1</v>
      </c>
      <c r="E85" s="476">
        <v>-0.2</v>
      </c>
      <c r="F85" s="476">
        <v>-0.4</v>
      </c>
      <c r="G85" s="478">
        <f t="shared" si="21"/>
        <v>0.15000000000000002</v>
      </c>
      <c r="I85" s="422">
        <v>4</v>
      </c>
      <c r="J85" s="482">
        <v>60</v>
      </c>
      <c r="K85" s="482">
        <v>-5.6</v>
      </c>
      <c r="L85" s="482">
        <v>-3.9</v>
      </c>
      <c r="M85" s="482">
        <v>-1.1000000000000001</v>
      </c>
      <c r="N85" s="478">
        <f t="shared" si="22"/>
        <v>2.25</v>
      </c>
      <c r="P85" s="422">
        <v>4</v>
      </c>
      <c r="Q85" s="482">
        <v>990</v>
      </c>
      <c r="R85" s="483">
        <v>-0.2</v>
      </c>
      <c r="S85" s="483">
        <v>-3.6</v>
      </c>
      <c r="T85" s="479">
        <v>9.9999999999999995E-7</v>
      </c>
      <c r="U85" s="478">
        <f t="shared" si="23"/>
        <v>1.8000005000000001</v>
      </c>
    </row>
    <row r="86" spans="1:24" ht="13">
      <c r="A86" s="1212"/>
      <c r="B86" s="422">
        <v>5</v>
      </c>
      <c r="C86" s="482">
        <v>35</v>
      </c>
      <c r="D86" s="482">
        <v>-0.1</v>
      </c>
      <c r="E86" s="482">
        <v>-0.1</v>
      </c>
      <c r="F86" s="482">
        <v>-0.5</v>
      </c>
      <c r="G86" s="478">
        <f t="shared" si="21"/>
        <v>0.2</v>
      </c>
      <c r="I86" s="422">
        <v>5</v>
      </c>
      <c r="J86" s="482">
        <v>70</v>
      </c>
      <c r="K86" s="482">
        <v>-6.5</v>
      </c>
      <c r="L86" s="482">
        <v>-4.0999999999999996</v>
      </c>
      <c r="M86" s="482">
        <v>-1.2</v>
      </c>
      <c r="N86" s="478">
        <f t="shared" si="22"/>
        <v>2.65</v>
      </c>
      <c r="P86" s="422">
        <v>5</v>
      </c>
      <c r="Q86" s="482">
        <v>1000</v>
      </c>
      <c r="R86" s="483">
        <v>0.2</v>
      </c>
      <c r="S86" s="483">
        <v>-3.5</v>
      </c>
      <c r="T86" s="483">
        <v>0.2</v>
      </c>
      <c r="U86" s="478">
        <f t="shared" si="23"/>
        <v>1.85</v>
      </c>
    </row>
    <row r="87" spans="1:24" ht="13">
      <c r="A87" s="1212"/>
      <c r="B87" s="422">
        <v>6</v>
      </c>
      <c r="C87" s="482">
        <v>37</v>
      </c>
      <c r="D87" s="482">
        <v>-0.1</v>
      </c>
      <c r="E87" s="482">
        <v>-0.1</v>
      </c>
      <c r="F87" s="482">
        <v>-0.5</v>
      </c>
      <c r="G87" s="478">
        <f t="shared" si="21"/>
        <v>0.2</v>
      </c>
      <c r="I87" s="422">
        <v>6</v>
      </c>
      <c r="J87" s="482">
        <v>80</v>
      </c>
      <c r="K87" s="482">
        <v>-7.6</v>
      </c>
      <c r="L87" s="482">
        <v>-4.5</v>
      </c>
      <c r="M87" s="482">
        <v>-1.2</v>
      </c>
      <c r="N87" s="478">
        <f t="shared" si="22"/>
        <v>3.1999999999999997</v>
      </c>
      <c r="P87" s="422">
        <v>6</v>
      </c>
      <c r="Q87" s="482">
        <v>1010</v>
      </c>
      <c r="R87" s="483">
        <v>0.6</v>
      </c>
      <c r="S87" s="483">
        <v>-3.4</v>
      </c>
      <c r="T87" s="483">
        <v>0.2</v>
      </c>
      <c r="U87" s="478">
        <f t="shared" si="23"/>
        <v>2</v>
      </c>
    </row>
    <row r="88" spans="1:24" ht="13">
      <c r="A88" s="1212"/>
      <c r="B88" s="422">
        <v>7</v>
      </c>
      <c r="C88" s="482">
        <v>40</v>
      </c>
      <c r="D88" s="482">
        <v>-0.1</v>
      </c>
      <c r="E88" s="482">
        <v>9.9999999999999995E-7</v>
      </c>
      <c r="F88" s="482">
        <v>-0.4</v>
      </c>
      <c r="G88" s="478">
        <f t="shared" si="21"/>
        <v>0.2000005</v>
      </c>
      <c r="I88" s="422">
        <v>7</v>
      </c>
      <c r="J88" s="482">
        <v>90</v>
      </c>
      <c r="K88" s="482">
        <v>-9.1</v>
      </c>
      <c r="L88" s="482">
        <v>-4.9000000000000004</v>
      </c>
      <c r="M88" s="482">
        <v>-1.3</v>
      </c>
      <c r="N88" s="478">
        <f t="shared" si="22"/>
        <v>3.9</v>
      </c>
      <c r="P88" s="422">
        <v>7</v>
      </c>
      <c r="Q88" s="482">
        <v>1020</v>
      </c>
      <c r="R88" s="483"/>
      <c r="S88" s="483">
        <v>0</v>
      </c>
      <c r="T88" s="483">
        <v>9.9999999999999995E-7</v>
      </c>
      <c r="U88" s="478">
        <f t="shared" si="23"/>
        <v>4.9999999999999998E-7</v>
      </c>
    </row>
    <row r="89" spans="1:24" ht="13.5" thickBot="1">
      <c r="A89" s="489"/>
      <c r="B89" s="294"/>
      <c r="C89" s="294"/>
      <c r="D89" s="294"/>
      <c r="E89" s="490"/>
      <c r="G89" s="491"/>
      <c r="I89" s="294"/>
      <c r="J89" s="294"/>
      <c r="K89" s="294"/>
      <c r="L89" s="490"/>
      <c r="N89" s="491"/>
      <c r="R89" s="487"/>
    </row>
    <row r="90" spans="1:24">
      <c r="A90" s="1222">
        <v>9</v>
      </c>
      <c r="B90" s="1213" t="s">
        <v>447</v>
      </c>
      <c r="C90" s="1213"/>
      <c r="D90" s="1213"/>
      <c r="E90" s="1213"/>
      <c r="F90" s="1213"/>
      <c r="G90" s="1213"/>
      <c r="I90" s="1213" t="str">
        <f>B90</f>
        <v>KOREKSI GREISINGER 34904091</v>
      </c>
      <c r="J90" s="1213"/>
      <c r="K90" s="1213"/>
      <c r="L90" s="1213"/>
      <c r="M90" s="1213"/>
      <c r="N90" s="1213"/>
      <c r="P90" s="1213" t="str">
        <f>I90</f>
        <v>KOREKSI GREISINGER 34904091</v>
      </c>
      <c r="Q90" s="1213"/>
      <c r="R90" s="1213"/>
      <c r="S90" s="1213"/>
      <c r="T90" s="1213"/>
      <c r="U90" s="1213"/>
      <c r="W90" s="1207" t="s">
        <v>397</v>
      </c>
      <c r="X90" s="1208"/>
    </row>
    <row r="91" spans="1:24" ht="13">
      <c r="A91" s="1222"/>
      <c r="B91" s="1209" t="s">
        <v>434</v>
      </c>
      <c r="C91" s="1209"/>
      <c r="D91" s="1209" t="s">
        <v>435</v>
      </c>
      <c r="E91" s="1209"/>
      <c r="F91" s="1209"/>
      <c r="G91" s="1209" t="s">
        <v>386</v>
      </c>
      <c r="I91" s="1209" t="s">
        <v>436</v>
      </c>
      <c r="J91" s="1209"/>
      <c r="K91" s="1209" t="s">
        <v>435</v>
      </c>
      <c r="L91" s="1209"/>
      <c r="M91" s="1209"/>
      <c r="N91" s="1209" t="s">
        <v>386</v>
      </c>
      <c r="P91" s="1209" t="s">
        <v>437</v>
      </c>
      <c r="Q91" s="1209"/>
      <c r="R91" s="1209" t="s">
        <v>435</v>
      </c>
      <c r="S91" s="1209"/>
      <c r="T91" s="1209"/>
      <c r="U91" s="1209" t="s">
        <v>386</v>
      </c>
      <c r="W91" s="473" t="s">
        <v>434</v>
      </c>
      <c r="X91" s="474">
        <v>0.3</v>
      </c>
    </row>
    <row r="92" spans="1:24" ht="14.5">
      <c r="A92" s="1222"/>
      <c r="B92" s="1210" t="s">
        <v>438</v>
      </c>
      <c r="C92" s="1210"/>
      <c r="D92" s="475">
        <v>2019</v>
      </c>
      <c r="E92" s="493" t="s">
        <v>156</v>
      </c>
      <c r="F92" s="475">
        <v>2016</v>
      </c>
      <c r="G92" s="1209"/>
      <c r="I92" s="1211" t="s">
        <v>18</v>
      </c>
      <c r="J92" s="1210"/>
      <c r="K92" s="494">
        <f>D92</f>
        <v>2019</v>
      </c>
      <c r="L92" s="494" t="str">
        <f>E92</f>
        <v>-</v>
      </c>
      <c r="M92" s="475">
        <v>2016</v>
      </c>
      <c r="N92" s="1209"/>
      <c r="P92" s="1211" t="s">
        <v>439</v>
      </c>
      <c r="Q92" s="1210"/>
      <c r="R92" s="494">
        <f>K92</f>
        <v>2019</v>
      </c>
      <c r="S92" s="494" t="str">
        <f>L92</f>
        <v>-</v>
      </c>
      <c r="T92" s="475">
        <v>2016</v>
      </c>
      <c r="U92" s="1209"/>
      <c r="W92" s="473" t="s">
        <v>18</v>
      </c>
      <c r="X92" s="474">
        <v>2.4</v>
      </c>
    </row>
    <row r="93" spans="1:24" ht="13.5" thickBot="1">
      <c r="A93" s="1222"/>
      <c r="B93" s="422">
        <v>1</v>
      </c>
      <c r="C93" s="476">
        <v>15</v>
      </c>
      <c r="D93" s="477">
        <v>9.9999999999999995E-7</v>
      </c>
      <c r="E93" s="477" t="s">
        <v>156</v>
      </c>
      <c r="F93" s="488"/>
      <c r="G93" s="478">
        <f>0.5*(MAX(D93:F93)-MIN(D93:F93))</f>
        <v>0</v>
      </c>
      <c r="I93" s="422">
        <v>1</v>
      </c>
      <c r="J93" s="476">
        <v>30</v>
      </c>
      <c r="K93" s="477">
        <v>-1.2</v>
      </c>
      <c r="L93" s="477" t="s">
        <v>156</v>
      </c>
      <c r="M93" s="488"/>
      <c r="N93" s="478">
        <f>0.5*(MAX(K93:M93)-MIN(K93:M93))</f>
        <v>0</v>
      </c>
      <c r="P93" s="422">
        <v>1</v>
      </c>
      <c r="Q93" s="476">
        <v>750</v>
      </c>
      <c r="R93" s="479">
        <v>9.9999999999999995E-7</v>
      </c>
      <c r="S93" s="479" t="s">
        <v>156</v>
      </c>
      <c r="T93" s="476">
        <v>9.9999999999999995E-7</v>
      </c>
      <c r="U93" s="478">
        <f>0.5*(MAX(R93:T93)-MIN(R93:T93))</f>
        <v>0</v>
      </c>
      <c r="W93" s="480" t="s">
        <v>439</v>
      </c>
      <c r="X93" s="481">
        <v>2.2000000000000002</v>
      </c>
    </row>
    <row r="94" spans="1:24" ht="13">
      <c r="A94" s="1222"/>
      <c r="B94" s="422">
        <v>2</v>
      </c>
      <c r="C94" s="476">
        <v>20</v>
      </c>
      <c r="D94" s="477">
        <v>-0.2</v>
      </c>
      <c r="E94" s="477" t="s">
        <v>156</v>
      </c>
      <c r="F94" s="488"/>
      <c r="G94" s="478">
        <f t="shared" ref="G94:G99" si="24">0.5*(MAX(D94:F94)-MIN(D94:F94))</f>
        <v>0</v>
      </c>
      <c r="I94" s="422">
        <v>2</v>
      </c>
      <c r="J94" s="476">
        <v>40</v>
      </c>
      <c r="K94" s="477">
        <v>-1</v>
      </c>
      <c r="L94" s="477" t="s">
        <v>156</v>
      </c>
      <c r="M94" s="488"/>
      <c r="N94" s="478">
        <f t="shared" ref="N94:N99" si="25">0.5*(MAX(K94:M94)-MIN(K94:M94))</f>
        <v>0</v>
      </c>
      <c r="P94" s="422">
        <v>2</v>
      </c>
      <c r="Q94" s="476">
        <v>800</v>
      </c>
      <c r="R94" s="479">
        <v>9.9999999999999995E-7</v>
      </c>
      <c r="S94" s="479" t="s">
        <v>156</v>
      </c>
      <c r="T94" s="476">
        <v>9.9999999999999995E-7</v>
      </c>
      <c r="U94" s="478">
        <f t="shared" ref="U94:U99" si="26">0.5*(MAX(R94:T94)-MIN(R94:T94))</f>
        <v>0</v>
      </c>
    </row>
    <row r="95" spans="1:24" ht="13">
      <c r="A95" s="1222"/>
      <c r="B95" s="422">
        <v>3</v>
      </c>
      <c r="C95" s="476">
        <v>25</v>
      </c>
      <c r="D95" s="477">
        <v>-0.4</v>
      </c>
      <c r="E95" s="477" t="s">
        <v>156</v>
      </c>
      <c r="F95" s="488"/>
      <c r="G95" s="478">
        <f t="shared" si="24"/>
        <v>0</v>
      </c>
      <c r="I95" s="422">
        <v>3</v>
      </c>
      <c r="J95" s="476">
        <v>50</v>
      </c>
      <c r="K95" s="477">
        <v>-0.9</v>
      </c>
      <c r="L95" s="477" t="s">
        <v>156</v>
      </c>
      <c r="M95" s="488"/>
      <c r="N95" s="478">
        <f t="shared" si="25"/>
        <v>0</v>
      </c>
      <c r="P95" s="422">
        <v>3</v>
      </c>
      <c r="Q95" s="476">
        <v>850</v>
      </c>
      <c r="R95" s="479">
        <v>9.9999999999999995E-7</v>
      </c>
      <c r="S95" s="479" t="s">
        <v>156</v>
      </c>
      <c r="T95" s="476">
        <v>9.9999999999999995E-7</v>
      </c>
      <c r="U95" s="478">
        <f t="shared" si="26"/>
        <v>0</v>
      </c>
    </row>
    <row r="96" spans="1:24" ht="13">
      <c r="A96" s="1222"/>
      <c r="B96" s="422">
        <v>4</v>
      </c>
      <c r="C96" s="482">
        <v>30</v>
      </c>
      <c r="D96" s="477">
        <v>-0.5</v>
      </c>
      <c r="E96" s="483" t="s">
        <v>156</v>
      </c>
      <c r="F96" s="488"/>
      <c r="G96" s="478">
        <f t="shared" si="24"/>
        <v>0</v>
      </c>
      <c r="I96" s="422">
        <v>4</v>
      </c>
      <c r="J96" s="482">
        <v>60</v>
      </c>
      <c r="K96" s="477">
        <v>-0.8</v>
      </c>
      <c r="L96" s="483" t="s">
        <v>156</v>
      </c>
      <c r="M96" s="488"/>
      <c r="N96" s="478">
        <f t="shared" si="25"/>
        <v>0</v>
      </c>
      <c r="P96" s="422">
        <v>4</v>
      </c>
      <c r="Q96" s="482">
        <v>900</v>
      </c>
      <c r="R96" s="479">
        <v>9.9999999999999995E-7</v>
      </c>
      <c r="S96" s="483" t="s">
        <v>156</v>
      </c>
      <c r="T96" s="476">
        <v>9.9999999999999995E-7</v>
      </c>
      <c r="U96" s="478">
        <f t="shared" si="26"/>
        <v>0</v>
      </c>
    </row>
    <row r="97" spans="1:28" ht="13">
      <c r="A97" s="1222"/>
      <c r="B97" s="422">
        <v>5</v>
      </c>
      <c r="C97" s="482">
        <v>35</v>
      </c>
      <c r="D97" s="477">
        <v>-0.5</v>
      </c>
      <c r="E97" s="483" t="s">
        <v>156</v>
      </c>
      <c r="F97" s="488"/>
      <c r="G97" s="478">
        <f t="shared" si="24"/>
        <v>0</v>
      </c>
      <c r="I97" s="422">
        <v>5</v>
      </c>
      <c r="J97" s="482">
        <v>70</v>
      </c>
      <c r="K97" s="477">
        <v>-0.6</v>
      </c>
      <c r="L97" s="483" t="s">
        <v>156</v>
      </c>
      <c r="M97" s="488"/>
      <c r="N97" s="478">
        <f t="shared" si="25"/>
        <v>0</v>
      </c>
      <c r="P97" s="422">
        <v>5</v>
      </c>
      <c r="Q97" s="482">
        <v>1000</v>
      </c>
      <c r="R97" s="483">
        <v>0.2</v>
      </c>
      <c r="S97" s="483" t="s">
        <v>156</v>
      </c>
      <c r="T97" s="476">
        <v>9.9999999999999995E-7</v>
      </c>
      <c r="U97" s="478">
        <f t="shared" si="26"/>
        <v>9.9999500000000005E-2</v>
      </c>
    </row>
    <row r="98" spans="1:28" ht="13">
      <c r="A98" s="1222"/>
      <c r="B98" s="422">
        <v>6</v>
      </c>
      <c r="C98" s="482">
        <v>37</v>
      </c>
      <c r="D98" s="477">
        <v>-0.5</v>
      </c>
      <c r="E98" s="483" t="s">
        <v>156</v>
      </c>
      <c r="F98" s="488"/>
      <c r="G98" s="478">
        <f t="shared" si="24"/>
        <v>0</v>
      </c>
      <c r="I98" s="422">
        <v>6</v>
      </c>
      <c r="J98" s="482">
        <v>80</v>
      </c>
      <c r="K98" s="477">
        <v>-0.5</v>
      </c>
      <c r="L98" s="483" t="s">
        <v>156</v>
      </c>
      <c r="M98" s="488"/>
      <c r="N98" s="478">
        <f t="shared" si="25"/>
        <v>0</v>
      </c>
      <c r="P98" s="422">
        <v>6</v>
      </c>
      <c r="Q98" s="482">
        <v>1005</v>
      </c>
      <c r="R98" s="483">
        <v>0.2</v>
      </c>
      <c r="S98" s="483" t="s">
        <v>156</v>
      </c>
      <c r="T98" s="476">
        <v>9.9999999999999995E-7</v>
      </c>
      <c r="U98" s="478">
        <f t="shared" si="26"/>
        <v>9.9999500000000005E-2</v>
      </c>
    </row>
    <row r="99" spans="1:28" ht="13">
      <c r="A99" s="1222"/>
      <c r="B99" s="422">
        <v>7</v>
      </c>
      <c r="C99" s="482">
        <v>40</v>
      </c>
      <c r="D99" s="477">
        <v>-0.4</v>
      </c>
      <c r="E99" s="483" t="s">
        <v>156</v>
      </c>
      <c r="F99" s="488"/>
      <c r="G99" s="478">
        <f t="shared" si="24"/>
        <v>0</v>
      </c>
      <c r="I99" s="422">
        <v>7</v>
      </c>
      <c r="J99" s="482">
        <v>90</v>
      </c>
      <c r="K99" s="477">
        <v>-0.2</v>
      </c>
      <c r="L99" s="483" t="s">
        <v>156</v>
      </c>
      <c r="M99" s="488"/>
      <c r="N99" s="478">
        <f t="shared" si="25"/>
        <v>0</v>
      </c>
      <c r="P99" s="422">
        <v>7</v>
      </c>
      <c r="Q99" s="482">
        <v>1020</v>
      </c>
      <c r="R99" s="483">
        <v>9.9999999999999995E-7</v>
      </c>
      <c r="S99" s="483" t="s">
        <v>156</v>
      </c>
      <c r="T99" s="476">
        <v>9.9999999999999995E-7</v>
      </c>
      <c r="U99" s="478">
        <f t="shared" si="26"/>
        <v>0</v>
      </c>
    </row>
    <row r="100" spans="1:28" ht="13.5" thickBot="1">
      <c r="A100" s="489"/>
      <c r="B100" s="294"/>
      <c r="C100" s="294"/>
      <c r="D100" s="294"/>
      <c r="E100" s="490"/>
      <c r="G100" s="491"/>
      <c r="I100" s="294"/>
      <c r="J100" s="294"/>
      <c r="K100" s="294"/>
      <c r="L100" s="490"/>
      <c r="N100" s="491"/>
      <c r="R100" s="487"/>
      <c r="AB100" s="492"/>
    </row>
    <row r="101" spans="1:28">
      <c r="A101" s="1212">
        <v>10</v>
      </c>
      <c r="B101" s="1213" t="s">
        <v>448</v>
      </c>
      <c r="C101" s="1213"/>
      <c r="D101" s="1213"/>
      <c r="E101" s="1213"/>
      <c r="F101" s="1213"/>
      <c r="G101" s="1213"/>
      <c r="I101" s="1213" t="str">
        <f>B101</f>
        <v>KOREKSI Sekonic HE-21.000669</v>
      </c>
      <c r="J101" s="1213"/>
      <c r="K101" s="1213"/>
      <c r="L101" s="1213"/>
      <c r="M101" s="1213"/>
      <c r="N101" s="1213"/>
      <c r="P101" s="1213" t="str">
        <f>I101</f>
        <v>KOREKSI Sekonic HE-21.000669</v>
      </c>
      <c r="Q101" s="1213"/>
      <c r="R101" s="1213"/>
      <c r="S101" s="1213"/>
      <c r="T101" s="1213"/>
      <c r="U101" s="1213"/>
      <c r="W101" s="1207" t="s">
        <v>397</v>
      </c>
      <c r="X101" s="1208"/>
    </row>
    <row r="102" spans="1:28" ht="13">
      <c r="A102" s="1212"/>
      <c r="B102" s="1209" t="s">
        <v>434</v>
      </c>
      <c r="C102" s="1209"/>
      <c r="D102" s="1209" t="s">
        <v>435</v>
      </c>
      <c r="E102" s="1209"/>
      <c r="F102" s="1209"/>
      <c r="G102" s="1209" t="s">
        <v>386</v>
      </c>
      <c r="I102" s="1209" t="s">
        <v>436</v>
      </c>
      <c r="J102" s="1209"/>
      <c r="K102" s="1209" t="s">
        <v>435</v>
      </c>
      <c r="L102" s="1209"/>
      <c r="M102" s="1209"/>
      <c r="N102" s="1209" t="s">
        <v>386</v>
      </c>
      <c r="P102" s="1209" t="s">
        <v>437</v>
      </c>
      <c r="Q102" s="1209"/>
      <c r="R102" s="1209" t="s">
        <v>435</v>
      </c>
      <c r="S102" s="1209"/>
      <c r="T102" s="1209"/>
      <c r="U102" s="1209" t="s">
        <v>386</v>
      </c>
      <c r="W102" s="473" t="s">
        <v>434</v>
      </c>
      <c r="X102" s="474">
        <v>0.3</v>
      </c>
    </row>
    <row r="103" spans="1:28" ht="14.5">
      <c r="A103" s="1212"/>
      <c r="B103" s="1210" t="s">
        <v>438</v>
      </c>
      <c r="C103" s="1210"/>
      <c r="D103" s="475">
        <v>2019</v>
      </c>
      <c r="E103" s="475">
        <v>2016</v>
      </c>
      <c r="F103" s="475">
        <v>2016</v>
      </c>
      <c r="G103" s="1209"/>
      <c r="I103" s="1211" t="s">
        <v>18</v>
      </c>
      <c r="J103" s="1210"/>
      <c r="K103" s="494">
        <f>D103</f>
        <v>2019</v>
      </c>
      <c r="L103" s="494">
        <f>E103</f>
        <v>2016</v>
      </c>
      <c r="M103" s="475">
        <v>2016</v>
      </c>
      <c r="N103" s="1209"/>
      <c r="P103" s="1211" t="s">
        <v>439</v>
      </c>
      <c r="Q103" s="1210"/>
      <c r="R103" s="475">
        <f>K103</f>
        <v>2019</v>
      </c>
      <c r="S103" s="475">
        <f>L103</f>
        <v>2016</v>
      </c>
      <c r="T103" s="475">
        <v>2016</v>
      </c>
      <c r="U103" s="1209"/>
      <c r="W103" s="473" t="s">
        <v>18</v>
      </c>
      <c r="X103" s="474">
        <v>1.5</v>
      </c>
    </row>
    <row r="104" spans="1:28" ht="13.5" thickBot="1">
      <c r="A104" s="1212"/>
      <c r="B104" s="422">
        <v>1</v>
      </c>
      <c r="C104" s="476">
        <v>15</v>
      </c>
      <c r="D104" s="476">
        <v>0.2</v>
      </c>
      <c r="E104" s="476">
        <v>0.2</v>
      </c>
      <c r="F104" s="488"/>
      <c r="G104" s="478">
        <f>0.5*(MAX(D104:F104)-MIN(D104:F104))</f>
        <v>0</v>
      </c>
      <c r="I104" s="422">
        <v>1</v>
      </c>
      <c r="J104" s="477">
        <v>30</v>
      </c>
      <c r="K104" s="476">
        <v>-2.9</v>
      </c>
      <c r="L104" s="476">
        <v>-5.8</v>
      </c>
      <c r="M104" s="488"/>
      <c r="N104" s="478">
        <f>0.5*(MAX(K104:M104)-MIN(K104:M104))</f>
        <v>1.45</v>
      </c>
      <c r="P104" s="422">
        <v>1</v>
      </c>
      <c r="Q104" s="476">
        <v>750</v>
      </c>
      <c r="R104" s="479" t="s">
        <v>156</v>
      </c>
      <c r="S104" s="479" t="s">
        <v>156</v>
      </c>
      <c r="T104" s="476">
        <v>9.9999999999999995E-7</v>
      </c>
      <c r="U104" s="478">
        <f>0.5*(MAX(R104:T104)-MIN(R104:T104))</f>
        <v>0</v>
      </c>
      <c r="W104" s="480" t="s">
        <v>439</v>
      </c>
      <c r="X104" s="481">
        <v>0</v>
      </c>
    </row>
    <row r="105" spans="1:28" ht="13">
      <c r="A105" s="1212"/>
      <c r="B105" s="422">
        <v>2</v>
      </c>
      <c r="C105" s="476">
        <v>20</v>
      </c>
      <c r="D105" s="476">
        <v>0.2</v>
      </c>
      <c r="E105" s="476">
        <v>-0.7</v>
      </c>
      <c r="F105" s="488"/>
      <c r="G105" s="478">
        <f t="shared" ref="G105:G110" si="27">0.5*(MAX(D105:F105)-MIN(D105:F105))</f>
        <v>0.44999999999999996</v>
      </c>
      <c r="I105" s="422">
        <v>2</v>
      </c>
      <c r="J105" s="477">
        <v>40</v>
      </c>
      <c r="K105" s="476">
        <v>-3.3</v>
      </c>
      <c r="L105" s="476">
        <v>-6.4</v>
      </c>
      <c r="M105" s="488"/>
      <c r="N105" s="478">
        <f t="shared" ref="N105:N110" si="28">0.5*(MAX(K105:M105)-MIN(K105:M105))</f>
        <v>1.5500000000000003</v>
      </c>
      <c r="P105" s="422">
        <v>2</v>
      </c>
      <c r="Q105" s="476">
        <v>800</v>
      </c>
      <c r="R105" s="479" t="s">
        <v>156</v>
      </c>
      <c r="S105" s="479" t="s">
        <v>156</v>
      </c>
      <c r="T105" s="476">
        <v>9.9999999999999995E-7</v>
      </c>
      <c r="U105" s="478">
        <f t="shared" ref="U105:U110" si="29">0.5*(MAX(R105:T105)-MIN(R105:T105))</f>
        <v>0</v>
      </c>
    </row>
    <row r="106" spans="1:28" ht="13">
      <c r="A106" s="1212"/>
      <c r="B106" s="422">
        <v>3</v>
      </c>
      <c r="C106" s="476">
        <v>25</v>
      </c>
      <c r="D106" s="476">
        <v>0.1</v>
      </c>
      <c r="E106" s="476">
        <v>-0.5</v>
      </c>
      <c r="F106" s="488"/>
      <c r="G106" s="478">
        <f t="shared" si="27"/>
        <v>0.3</v>
      </c>
      <c r="I106" s="422">
        <v>3</v>
      </c>
      <c r="J106" s="477">
        <v>50</v>
      </c>
      <c r="K106" s="476">
        <v>-3.1</v>
      </c>
      <c r="L106" s="476">
        <v>-6.1</v>
      </c>
      <c r="M106" s="488"/>
      <c r="N106" s="478">
        <f t="shared" si="28"/>
        <v>1.4999999999999998</v>
      </c>
      <c r="P106" s="422">
        <v>3</v>
      </c>
      <c r="Q106" s="476">
        <v>850</v>
      </c>
      <c r="R106" s="479" t="s">
        <v>156</v>
      </c>
      <c r="S106" s="479" t="s">
        <v>156</v>
      </c>
      <c r="T106" s="476">
        <v>9.9999999999999995E-7</v>
      </c>
      <c r="U106" s="478">
        <f t="shared" si="29"/>
        <v>0</v>
      </c>
    </row>
    <row r="107" spans="1:28" ht="13">
      <c r="A107" s="1212"/>
      <c r="B107" s="422">
        <v>4</v>
      </c>
      <c r="C107" s="482">
        <v>30</v>
      </c>
      <c r="D107" s="482">
        <v>0.1</v>
      </c>
      <c r="E107" s="482">
        <v>0.2</v>
      </c>
      <c r="F107" s="488"/>
      <c r="G107" s="478">
        <f t="shared" si="27"/>
        <v>0.05</v>
      </c>
      <c r="I107" s="422">
        <v>4</v>
      </c>
      <c r="J107" s="495">
        <v>60</v>
      </c>
      <c r="K107" s="482">
        <v>-2.1</v>
      </c>
      <c r="L107" s="482">
        <v>-5.6</v>
      </c>
      <c r="M107" s="488"/>
      <c r="N107" s="478">
        <f t="shared" si="28"/>
        <v>1.7499999999999998</v>
      </c>
      <c r="P107" s="422">
        <v>4</v>
      </c>
      <c r="Q107" s="482">
        <v>900</v>
      </c>
      <c r="R107" s="483" t="s">
        <v>156</v>
      </c>
      <c r="S107" s="483" t="s">
        <v>156</v>
      </c>
      <c r="T107" s="476">
        <v>9.9999999999999995E-7</v>
      </c>
      <c r="U107" s="478">
        <f t="shared" si="29"/>
        <v>0</v>
      </c>
    </row>
    <row r="108" spans="1:28" ht="13">
      <c r="A108" s="1212"/>
      <c r="B108" s="422">
        <v>5</v>
      </c>
      <c r="C108" s="482">
        <v>35</v>
      </c>
      <c r="D108" s="482">
        <v>0.2</v>
      </c>
      <c r="E108" s="482">
        <v>0.8</v>
      </c>
      <c r="F108" s="488"/>
      <c r="G108" s="478">
        <f t="shared" si="27"/>
        <v>0.30000000000000004</v>
      </c>
      <c r="I108" s="422">
        <v>5</v>
      </c>
      <c r="J108" s="495">
        <v>70</v>
      </c>
      <c r="K108" s="482">
        <v>-0.3</v>
      </c>
      <c r="L108" s="482">
        <v>-5.0999999999999996</v>
      </c>
      <c r="M108" s="488"/>
      <c r="N108" s="478">
        <f t="shared" si="28"/>
        <v>2.4</v>
      </c>
      <c r="P108" s="422">
        <v>5</v>
      </c>
      <c r="Q108" s="482">
        <v>1000</v>
      </c>
      <c r="R108" s="483" t="s">
        <v>156</v>
      </c>
      <c r="S108" s="483" t="s">
        <v>156</v>
      </c>
      <c r="T108" s="476">
        <v>9.9999999999999995E-7</v>
      </c>
      <c r="U108" s="478">
        <f t="shared" si="29"/>
        <v>0</v>
      </c>
    </row>
    <row r="109" spans="1:28" ht="13">
      <c r="A109" s="1212"/>
      <c r="B109" s="422">
        <v>6</v>
      </c>
      <c r="C109" s="482">
        <v>37</v>
      </c>
      <c r="D109" s="482">
        <v>0.2</v>
      </c>
      <c r="E109" s="482">
        <v>0.4</v>
      </c>
      <c r="F109" s="488"/>
      <c r="G109" s="478">
        <f t="shared" si="27"/>
        <v>0.1</v>
      </c>
      <c r="I109" s="422">
        <v>6</v>
      </c>
      <c r="J109" s="495">
        <v>80</v>
      </c>
      <c r="K109" s="482">
        <v>2.2000000000000002</v>
      </c>
      <c r="L109" s="482">
        <v>-4.7</v>
      </c>
      <c r="M109" s="488"/>
      <c r="N109" s="478">
        <f t="shared" si="28"/>
        <v>3.45</v>
      </c>
      <c r="P109" s="422">
        <v>6</v>
      </c>
      <c r="Q109" s="482">
        <v>1005</v>
      </c>
      <c r="R109" s="483" t="s">
        <v>156</v>
      </c>
      <c r="S109" s="483" t="s">
        <v>156</v>
      </c>
      <c r="T109" s="476">
        <v>9.9999999999999995E-7</v>
      </c>
      <c r="U109" s="478">
        <f t="shared" si="29"/>
        <v>0</v>
      </c>
    </row>
    <row r="110" spans="1:28" ht="13.5" thickBot="1">
      <c r="A110" s="1212"/>
      <c r="B110" s="422">
        <v>7</v>
      </c>
      <c r="C110" s="495">
        <v>40</v>
      </c>
      <c r="D110" s="477">
        <v>0.2</v>
      </c>
      <c r="E110" s="477">
        <v>9.9999999999999995E-7</v>
      </c>
      <c r="F110" s="488"/>
      <c r="G110" s="478">
        <f t="shared" si="27"/>
        <v>9.9999500000000005E-2</v>
      </c>
      <c r="I110" s="422">
        <v>7</v>
      </c>
      <c r="J110" s="495">
        <v>90</v>
      </c>
      <c r="K110" s="495">
        <v>5.4</v>
      </c>
      <c r="L110" s="495">
        <v>9.9999999999999995E-7</v>
      </c>
      <c r="M110" s="488"/>
      <c r="N110" s="478">
        <f t="shared" si="28"/>
        <v>2.6999995000000001</v>
      </c>
      <c r="P110" s="422">
        <v>7</v>
      </c>
      <c r="Q110" s="482">
        <v>1020</v>
      </c>
      <c r="R110" s="483" t="s">
        <v>156</v>
      </c>
      <c r="S110" s="483" t="s">
        <v>156</v>
      </c>
      <c r="T110" s="476">
        <v>9.9999999999999995E-7</v>
      </c>
      <c r="U110" s="478">
        <f t="shared" si="29"/>
        <v>0</v>
      </c>
    </row>
    <row r="111" spans="1:28" ht="13.5" thickBot="1">
      <c r="A111" s="489"/>
      <c r="B111" s="294"/>
      <c r="C111" s="294"/>
      <c r="D111" s="294"/>
      <c r="E111" s="490"/>
      <c r="F111" s="491"/>
      <c r="G111" s="492"/>
      <c r="H111" s="294"/>
      <c r="I111" s="294"/>
      <c r="J111" s="294"/>
      <c r="K111" s="490"/>
      <c r="L111" s="491"/>
      <c r="M111" s="492"/>
      <c r="O111" s="496"/>
      <c r="P111" s="487"/>
    </row>
    <row r="112" spans="1:28">
      <c r="A112" s="1222">
        <v>11</v>
      </c>
      <c r="B112" s="1213" t="s">
        <v>449</v>
      </c>
      <c r="C112" s="1213"/>
      <c r="D112" s="1213"/>
      <c r="E112" s="1213"/>
      <c r="F112" s="1213"/>
      <c r="G112" s="1213"/>
      <c r="I112" s="1213" t="str">
        <f>B112</f>
        <v>KOREKSI Sekonic HE-21.000670</v>
      </c>
      <c r="J112" s="1213"/>
      <c r="K112" s="1213"/>
      <c r="L112" s="1213"/>
      <c r="M112" s="1213"/>
      <c r="N112" s="1213"/>
      <c r="P112" s="1213" t="str">
        <f>I112</f>
        <v>KOREKSI Sekonic HE-21.000670</v>
      </c>
      <c r="Q112" s="1213"/>
      <c r="R112" s="1213"/>
      <c r="S112" s="1213"/>
      <c r="T112" s="1213"/>
      <c r="U112" s="1213"/>
      <c r="W112" s="1207" t="s">
        <v>397</v>
      </c>
      <c r="X112" s="1208"/>
      <c r="AB112" s="496"/>
    </row>
    <row r="113" spans="1:24" ht="13">
      <c r="A113" s="1222"/>
      <c r="B113" s="1209" t="s">
        <v>434</v>
      </c>
      <c r="C113" s="1209"/>
      <c r="D113" s="1209" t="s">
        <v>435</v>
      </c>
      <c r="E113" s="1209"/>
      <c r="F113" s="1209"/>
      <c r="G113" s="1209" t="s">
        <v>386</v>
      </c>
      <c r="I113" s="1209" t="s">
        <v>436</v>
      </c>
      <c r="J113" s="1209"/>
      <c r="K113" s="1209" t="s">
        <v>435</v>
      </c>
      <c r="L113" s="1209"/>
      <c r="M113" s="1209"/>
      <c r="N113" s="1209" t="s">
        <v>386</v>
      </c>
      <c r="P113" s="1209" t="s">
        <v>437</v>
      </c>
      <c r="Q113" s="1209"/>
      <c r="R113" s="1209" t="s">
        <v>435</v>
      </c>
      <c r="S113" s="1209"/>
      <c r="T113" s="1209"/>
      <c r="U113" s="1209" t="s">
        <v>386</v>
      </c>
      <c r="W113" s="473" t="s">
        <v>434</v>
      </c>
      <c r="X113" s="474">
        <v>0.3</v>
      </c>
    </row>
    <row r="114" spans="1:24" ht="14.5">
      <c r="A114" s="1222"/>
      <c r="B114" s="1210" t="s">
        <v>438</v>
      </c>
      <c r="C114" s="1210"/>
      <c r="D114" s="475">
        <v>2020</v>
      </c>
      <c r="E114" s="493">
        <v>2016</v>
      </c>
      <c r="F114" s="475">
        <v>2016</v>
      </c>
      <c r="G114" s="1209"/>
      <c r="I114" s="1211" t="s">
        <v>18</v>
      </c>
      <c r="J114" s="1210"/>
      <c r="K114" s="494">
        <f>D114</f>
        <v>2020</v>
      </c>
      <c r="L114" s="494">
        <f>E114</f>
        <v>2016</v>
      </c>
      <c r="M114" s="475">
        <v>2016</v>
      </c>
      <c r="N114" s="1209"/>
      <c r="P114" s="1211" t="s">
        <v>439</v>
      </c>
      <c r="Q114" s="1210"/>
      <c r="R114" s="494">
        <f>K114</f>
        <v>2020</v>
      </c>
      <c r="S114" s="494">
        <f>L114</f>
        <v>2016</v>
      </c>
      <c r="T114" s="475">
        <v>2016</v>
      </c>
      <c r="U114" s="1209"/>
      <c r="W114" s="473" t="s">
        <v>18</v>
      </c>
      <c r="X114" s="474">
        <v>1.8</v>
      </c>
    </row>
    <row r="115" spans="1:24" ht="13.5" thickBot="1">
      <c r="A115" s="1222"/>
      <c r="B115" s="422">
        <v>1</v>
      </c>
      <c r="C115" s="476">
        <v>15</v>
      </c>
      <c r="D115" s="476">
        <v>0.3</v>
      </c>
      <c r="E115" s="476">
        <v>0.3</v>
      </c>
      <c r="F115" s="488"/>
      <c r="G115" s="478">
        <f>0.5*(MAX(D115:F115)-MIN(D115:F115))</f>
        <v>0</v>
      </c>
      <c r="I115" s="422">
        <v>1</v>
      </c>
      <c r="J115" s="476">
        <v>30</v>
      </c>
      <c r="K115" s="476">
        <v>-5.2</v>
      </c>
      <c r="L115" s="476">
        <v>-6.4</v>
      </c>
      <c r="M115" s="488"/>
      <c r="N115" s="478">
        <f>0.5*(MAX(K115:M115)-MIN(K115:M115))</f>
        <v>0.60000000000000009</v>
      </c>
      <c r="P115" s="422">
        <v>1</v>
      </c>
      <c r="Q115" s="476">
        <v>750</v>
      </c>
      <c r="R115" s="479" t="s">
        <v>156</v>
      </c>
      <c r="S115" s="477" t="s">
        <v>156</v>
      </c>
      <c r="T115" s="476">
        <v>9.9999999999999995E-7</v>
      </c>
      <c r="U115" s="478">
        <f>0.5*(MAX(R115:T115)-MIN(R115:T115))</f>
        <v>0</v>
      </c>
      <c r="W115" s="480" t="s">
        <v>439</v>
      </c>
      <c r="X115" s="481">
        <v>0</v>
      </c>
    </row>
    <row r="116" spans="1:24" ht="13">
      <c r="A116" s="1222"/>
      <c r="B116" s="422">
        <v>2</v>
      </c>
      <c r="C116" s="476">
        <v>20</v>
      </c>
      <c r="D116" s="476">
        <v>0.4</v>
      </c>
      <c r="E116" s="476">
        <v>0.5</v>
      </c>
      <c r="F116" s="488"/>
      <c r="G116" s="478">
        <f t="shared" ref="G116:G121" si="30">0.5*(MAX(D116:F116)-MIN(D116:F116))</f>
        <v>4.9999999999999989E-2</v>
      </c>
      <c r="I116" s="422">
        <v>2</v>
      </c>
      <c r="J116" s="476">
        <v>40</v>
      </c>
      <c r="K116" s="476">
        <v>-5.5</v>
      </c>
      <c r="L116" s="476">
        <v>-5.9</v>
      </c>
      <c r="M116" s="488"/>
      <c r="N116" s="478">
        <f t="shared" ref="N116:N121" si="31">0.5*(MAX(K116:M116)-MIN(K116:M116))</f>
        <v>0.20000000000000018</v>
      </c>
      <c r="P116" s="422">
        <v>2</v>
      </c>
      <c r="Q116" s="476">
        <v>800</v>
      </c>
      <c r="R116" s="479" t="s">
        <v>156</v>
      </c>
      <c r="S116" s="477" t="s">
        <v>156</v>
      </c>
      <c r="T116" s="476">
        <v>9.9999999999999995E-7</v>
      </c>
      <c r="U116" s="478">
        <f t="shared" ref="U116:U121" si="32">0.5*(MAX(R116:T116)-MIN(R116:T116))</f>
        <v>0</v>
      </c>
    </row>
    <row r="117" spans="1:24" ht="13">
      <c r="A117" s="1222"/>
      <c r="B117" s="422">
        <v>3</v>
      </c>
      <c r="C117" s="476">
        <v>25</v>
      </c>
      <c r="D117" s="476">
        <v>0.4</v>
      </c>
      <c r="E117" s="476">
        <v>0.5</v>
      </c>
      <c r="F117" s="488"/>
      <c r="G117" s="478">
        <f t="shared" si="30"/>
        <v>4.9999999999999989E-2</v>
      </c>
      <c r="I117" s="422">
        <v>3</v>
      </c>
      <c r="J117" s="476">
        <v>50</v>
      </c>
      <c r="K117" s="476">
        <v>-5.5</v>
      </c>
      <c r="L117" s="476">
        <v>-5.6</v>
      </c>
      <c r="M117" s="488"/>
      <c r="N117" s="478">
        <f t="shared" si="31"/>
        <v>4.9999999999999822E-2</v>
      </c>
      <c r="P117" s="422">
        <v>3</v>
      </c>
      <c r="Q117" s="476">
        <v>850</v>
      </c>
      <c r="R117" s="479" t="s">
        <v>156</v>
      </c>
      <c r="S117" s="477" t="s">
        <v>156</v>
      </c>
      <c r="T117" s="476">
        <v>9.9999999999999995E-7</v>
      </c>
      <c r="U117" s="478">
        <f t="shared" si="32"/>
        <v>0</v>
      </c>
    </row>
    <row r="118" spans="1:24" ht="13">
      <c r="A118" s="1222"/>
      <c r="B118" s="422">
        <v>4</v>
      </c>
      <c r="C118" s="482">
        <v>30</v>
      </c>
      <c r="D118" s="482">
        <v>0.5</v>
      </c>
      <c r="E118" s="482">
        <v>0.4</v>
      </c>
      <c r="F118" s="488"/>
      <c r="G118" s="478">
        <f t="shared" si="30"/>
        <v>4.9999999999999989E-2</v>
      </c>
      <c r="I118" s="422">
        <v>4</v>
      </c>
      <c r="J118" s="482">
        <v>60</v>
      </c>
      <c r="K118" s="482">
        <v>-4.8</v>
      </c>
      <c r="L118" s="482">
        <v>-4.5</v>
      </c>
      <c r="M118" s="488"/>
      <c r="N118" s="478">
        <f t="shared" si="31"/>
        <v>0.14999999999999991</v>
      </c>
      <c r="P118" s="422">
        <v>4</v>
      </c>
      <c r="Q118" s="482">
        <v>900</v>
      </c>
      <c r="R118" s="483" t="s">
        <v>156</v>
      </c>
      <c r="S118" s="483" t="s">
        <v>156</v>
      </c>
      <c r="T118" s="476">
        <v>9.9999999999999995E-7</v>
      </c>
      <c r="U118" s="478">
        <f t="shared" si="32"/>
        <v>0</v>
      </c>
    </row>
    <row r="119" spans="1:24" ht="13">
      <c r="A119" s="1222"/>
      <c r="B119" s="422">
        <v>5</v>
      </c>
      <c r="C119" s="482">
        <v>35</v>
      </c>
      <c r="D119" s="482">
        <v>0.5</v>
      </c>
      <c r="E119" s="482">
        <v>0.4</v>
      </c>
      <c r="F119" s="488"/>
      <c r="G119" s="478">
        <f t="shared" si="30"/>
        <v>4.9999999999999989E-2</v>
      </c>
      <c r="I119" s="422">
        <v>5</v>
      </c>
      <c r="J119" s="482">
        <v>70</v>
      </c>
      <c r="K119" s="482">
        <v>-3.4</v>
      </c>
      <c r="L119" s="482">
        <v>-1.7</v>
      </c>
      <c r="M119" s="488"/>
      <c r="N119" s="478">
        <f t="shared" si="31"/>
        <v>0.85</v>
      </c>
      <c r="P119" s="422">
        <v>5</v>
      </c>
      <c r="Q119" s="482">
        <v>1000</v>
      </c>
      <c r="R119" s="483" t="s">
        <v>156</v>
      </c>
      <c r="S119" s="483" t="s">
        <v>156</v>
      </c>
      <c r="T119" s="476">
        <v>9.9999999999999995E-7</v>
      </c>
      <c r="U119" s="478">
        <f t="shared" si="32"/>
        <v>0</v>
      </c>
    </row>
    <row r="120" spans="1:24" ht="13">
      <c r="A120" s="1222"/>
      <c r="B120" s="422">
        <v>6</v>
      </c>
      <c r="C120" s="482">
        <v>37</v>
      </c>
      <c r="D120" s="482">
        <v>0.5</v>
      </c>
      <c r="E120" s="482">
        <v>0.5</v>
      </c>
      <c r="F120" s="488"/>
      <c r="G120" s="478">
        <f t="shared" si="30"/>
        <v>0</v>
      </c>
      <c r="I120" s="422">
        <v>6</v>
      </c>
      <c r="J120" s="482">
        <v>80</v>
      </c>
      <c r="K120" s="482">
        <v>-1.4</v>
      </c>
      <c r="L120" s="482">
        <v>2.6</v>
      </c>
      <c r="M120" s="488"/>
      <c r="N120" s="478">
        <f t="shared" si="31"/>
        <v>2</v>
      </c>
      <c r="P120" s="422">
        <v>6</v>
      </c>
      <c r="Q120" s="482">
        <v>1005</v>
      </c>
      <c r="R120" s="483" t="s">
        <v>156</v>
      </c>
      <c r="S120" s="483" t="s">
        <v>156</v>
      </c>
      <c r="T120" s="476">
        <v>9.9999999999999995E-7</v>
      </c>
      <c r="U120" s="478">
        <f t="shared" si="32"/>
        <v>0</v>
      </c>
    </row>
    <row r="121" spans="1:24" ht="13.5" thickBot="1">
      <c r="A121" s="1222"/>
      <c r="B121" s="422">
        <v>7</v>
      </c>
      <c r="C121" s="495">
        <v>40</v>
      </c>
      <c r="D121" s="495">
        <v>0.5</v>
      </c>
      <c r="E121" s="495">
        <v>9.9999999999999995E-7</v>
      </c>
      <c r="F121" s="488"/>
      <c r="G121" s="478">
        <f t="shared" si="30"/>
        <v>0.24999950000000001</v>
      </c>
      <c r="I121" s="422">
        <v>7</v>
      </c>
      <c r="J121" s="495">
        <v>90</v>
      </c>
      <c r="K121" s="495">
        <v>1.3</v>
      </c>
      <c r="L121" s="495">
        <v>9.9999999999999995E-7</v>
      </c>
      <c r="M121" s="488"/>
      <c r="N121" s="478">
        <f t="shared" si="31"/>
        <v>0.64999950000000006</v>
      </c>
      <c r="P121" s="422">
        <v>7</v>
      </c>
      <c r="Q121" s="482">
        <v>1020</v>
      </c>
      <c r="R121" s="483" t="s">
        <v>156</v>
      </c>
      <c r="S121" s="483" t="s">
        <v>156</v>
      </c>
      <c r="T121" s="476">
        <v>9.9999999999999995E-7</v>
      </c>
      <c r="U121" s="478">
        <f t="shared" si="32"/>
        <v>0</v>
      </c>
    </row>
    <row r="122" spans="1:24" ht="13.5" thickBot="1">
      <c r="A122" s="489"/>
      <c r="B122" s="294"/>
      <c r="C122" s="294"/>
      <c r="D122" s="294"/>
      <c r="E122" s="490"/>
      <c r="F122" s="491"/>
      <c r="G122" s="492"/>
      <c r="I122" s="294"/>
      <c r="J122" s="294"/>
      <c r="K122" s="294"/>
      <c r="L122" s="490"/>
      <c r="M122" s="491"/>
      <c r="Q122" s="496"/>
      <c r="R122" s="487"/>
    </row>
    <row r="123" spans="1:24">
      <c r="A123" s="1212">
        <v>12</v>
      </c>
      <c r="B123" s="1213" t="s">
        <v>450</v>
      </c>
      <c r="C123" s="1213"/>
      <c r="D123" s="1213"/>
      <c r="E123" s="1213"/>
      <c r="F123" s="1213"/>
      <c r="G123" s="1213"/>
      <c r="I123" s="1213" t="str">
        <f>B123</f>
        <v>KOREKSI EXTECH A.100586</v>
      </c>
      <c r="J123" s="1213"/>
      <c r="K123" s="1213"/>
      <c r="L123" s="1213"/>
      <c r="M123" s="1213"/>
      <c r="N123" s="1213"/>
      <c r="P123" s="1213" t="str">
        <f>I123</f>
        <v>KOREKSI EXTECH A.100586</v>
      </c>
      <c r="Q123" s="1213"/>
      <c r="R123" s="1213"/>
      <c r="S123" s="1213"/>
      <c r="T123" s="1213"/>
      <c r="U123" s="1213"/>
      <c r="W123" s="1207" t="s">
        <v>397</v>
      </c>
      <c r="X123" s="1208"/>
    </row>
    <row r="124" spans="1:24" ht="13">
      <c r="A124" s="1212"/>
      <c r="B124" s="1209" t="s">
        <v>434</v>
      </c>
      <c r="C124" s="1209"/>
      <c r="D124" s="1209" t="s">
        <v>435</v>
      </c>
      <c r="E124" s="1209"/>
      <c r="F124" s="1209"/>
      <c r="G124" s="1209" t="s">
        <v>386</v>
      </c>
      <c r="I124" s="1209" t="s">
        <v>436</v>
      </c>
      <c r="J124" s="1209"/>
      <c r="K124" s="1209" t="s">
        <v>435</v>
      </c>
      <c r="L124" s="1209"/>
      <c r="M124" s="1209"/>
      <c r="N124" s="1209" t="s">
        <v>386</v>
      </c>
      <c r="P124" s="1209" t="s">
        <v>437</v>
      </c>
      <c r="Q124" s="1209"/>
      <c r="R124" s="1209" t="s">
        <v>435</v>
      </c>
      <c r="S124" s="1209"/>
      <c r="T124" s="1209"/>
      <c r="U124" s="1209" t="s">
        <v>386</v>
      </c>
      <c r="W124" s="473" t="s">
        <v>434</v>
      </c>
      <c r="X124" s="474">
        <v>0.5</v>
      </c>
    </row>
    <row r="125" spans="1:24" ht="14.5">
      <c r="A125" s="1212"/>
      <c r="B125" s="1210" t="s">
        <v>438</v>
      </c>
      <c r="C125" s="1210"/>
      <c r="D125" s="475">
        <v>2023</v>
      </c>
      <c r="E125" s="475">
        <v>2020</v>
      </c>
      <c r="F125" s="475">
        <v>2016</v>
      </c>
      <c r="G125" s="1209"/>
      <c r="I125" s="1211" t="s">
        <v>18</v>
      </c>
      <c r="J125" s="1210"/>
      <c r="K125" s="475">
        <v>2023</v>
      </c>
      <c r="L125" s="475">
        <f>E125</f>
        <v>2020</v>
      </c>
      <c r="M125" s="475">
        <v>2016</v>
      </c>
      <c r="N125" s="1209"/>
      <c r="P125" s="1211" t="s">
        <v>439</v>
      </c>
      <c r="Q125" s="1210"/>
      <c r="R125" s="475">
        <v>2023</v>
      </c>
      <c r="S125" s="475">
        <f>L125</f>
        <v>2020</v>
      </c>
      <c r="T125" s="475">
        <v>2016</v>
      </c>
      <c r="U125" s="1209"/>
      <c r="W125" s="473" t="s">
        <v>18</v>
      </c>
      <c r="X125" s="474">
        <v>2.2999999999999998</v>
      </c>
    </row>
    <row r="126" spans="1:24" ht="13.5" thickBot="1">
      <c r="A126" s="1212"/>
      <c r="B126" s="422">
        <v>1</v>
      </c>
      <c r="C126" s="476">
        <v>15</v>
      </c>
      <c r="D126" s="476">
        <v>0.2</v>
      </c>
      <c r="E126" s="476">
        <v>9.9999999999999995E-7</v>
      </c>
      <c r="F126" s="488"/>
      <c r="G126" s="478">
        <f>0.5*(MAX(D126:F126)-MIN(D126:F126))</f>
        <v>9.9999500000000005E-2</v>
      </c>
      <c r="I126" s="422">
        <v>1</v>
      </c>
      <c r="J126" s="476">
        <v>35</v>
      </c>
      <c r="K126" s="476">
        <v>-3.1</v>
      </c>
      <c r="L126" s="476">
        <v>-0.4</v>
      </c>
      <c r="M126" s="488"/>
      <c r="N126" s="478">
        <f>0.5*(MAX(K126:M126)-MIN(K126:M126))</f>
        <v>1.35</v>
      </c>
      <c r="P126" s="422">
        <v>1</v>
      </c>
      <c r="Q126" s="476">
        <v>960</v>
      </c>
      <c r="R126" s="479">
        <v>4.0999999999999996</v>
      </c>
      <c r="S126" s="479">
        <v>-0.4</v>
      </c>
      <c r="T126" s="488"/>
      <c r="U126" s="478">
        <f>0.5*(MAX(R126:T126)-MIN(R126:T126))</f>
        <v>2.25</v>
      </c>
      <c r="W126" s="480" t="s">
        <v>439</v>
      </c>
      <c r="X126" s="481">
        <v>2.1</v>
      </c>
    </row>
    <row r="127" spans="1:24" ht="13">
      <c r="A127" s="1212"/>
      <c r="B127" s="422">
        <v>2</v>
      </c>
      <c r="C127" s="476">
        <v>20</v>
      </c>
      <c r="D127" s="476">
        <v>0.3</v>
      </c>
      <c r="E127" s="476">
        <v>9.9999999999999995E-7</v>
      </c>
      <c r="F127" s="488"/>
      <c r="G127" s="478">
        <f t="shared" ref="G127:G132" si="33">0.5*(MAX(D127:F127)-MIN(D127:F127))</f>
        <v>0.14999950000000001</v>
      </c>
      <c r="I127" s="422">
        <v>2</v>
      </c>
      <c r="J127" s="476">
        <v>40</v>
      </c>
      <c r="K127" s="476">
        <v>-3.1</v>
      </c>
      <c r="L127" s="476">
        <v>-0.1</v>
      </c>
      <c r="M127" s="488"/>
      <c r="N127" s="478">
        <f t="shared" ref="N127:N132" si="34">0.5*(MAX(K127:M127)-MIN(K127:M127))</f>
        <v>1.5</v>
      </c>
      <c r="P127" s="422">
        <v>2</v>
      </c>
      <c r="Q127" s="476">
        <v>970</v>
      </c>
      <c r="R127" s="479">
        <v>4.0999999999999996</v>
      </c>
      <c r="S127" s="479">
        <v>-0.5</v>
      </c>
      <c r="T127" s="488"/>
      <c r="U127" s="478">
        <f t="shared" ref="U127:U132" si="35">0.5*(MAX(R127:T127)-MIN(R127:T127))</f>
        <v>2.2999999999999998</v>
      </c>
    </row>
    <row r="128" spans="1:24" ht="13">
      <c r="A128" s="1212"/>
      <c r="B128" s="422">
        <v>3</v>
      </c>
      <c r="C128" s="476">
        <v>25</v>
      </c>
      <c r="D128" s="476">
        <v>0.4</v>
      </c>
      <c r="E128" s="476">
        <v>9.9999999999999995E-7</v>
      </c>
      <c r="F128" s="488"/>
      <c r="G128" s="478">
        <f t="shared" si="33"/>
        <v>0.19999950000000002</v>
      </c>
      <c r="I128" s="422">
        <v>3</v>
      </c>
      <c r="J128" s="476">
        <v>50</v>
      </c>
      <c r="K128" s="476">
        <v>-3.2</v>
      </c>
      <c r="L128" s="476">
        <v>9.9999999999999995E-7</v>
      </c>
      <c r="M128" s="488"/>
      <c r="N128" s="478">
        <f t="shared" si="34"/>
        <v>1.6000005000000002</v>
      </c>
      <c r="P128" s="422">
        <v>3</v>
      </c>
      <c r="Q128" s="482">
        <v>980</v>
      </c>
      <c r="R128" s="483">
        <v>4.0999999999999996</v>
      </c>
      <c r="S128" s="483">
        <v>-0.6</v>
      </c>
      <c r="T128" s="488"/>
      <c r="U128" s="478">
        <f t="shared" si="35"/>
        <v>2.3499999999999996</v>
      </c>
    </row>
    <row r="129" spans="1:24" ht="13">
      <c r="A129" s="1212"/>
      <c r="B129" s="422">
        <v>4</v>
      </c>
      <c r="C129" s="482">
        <v>30</v>
      </c>
      <c r="D129" s="482">
        <v>0.5</v>
      </c>
      <c r="E129" s="482">
        <v>-0.1</v>
      </c>
      <c r="F129" s="488"/>
      <c r="G129" s="478">
        <f t="shared" si="33"/>
        <v>0.3</v>
      </c>
      <c r="I129" s="422">
        <v>4</v>
      </c>
      <c r="J129" s="482">
        <v>60</v>
      </c>
      <c r="K129" s="482">
        <v>-3</v>
      </c>
      <c r="L129" s="482">
        <v>9.9999999999999995E-7</v>
      </c>
      <c r="M129" s="488"/>
      <c r="N129" s="478">
        <f t="shared" si="34"/>
        <v>1.5000005000000001</v>
      </c>
      <c r="P129" s="422">
        <v>4</v>
      </c>
      <c r="Q129" s="482">
        <v>990</v>
      </c>
      <c r="R129" s="483">
        <v>4.0999999999999996</v>
      </c>
      <c r="S129" s="483">
        <v>-0.7</v>
      </c>
      <c r="T129" s="488"/>
      <c r="U129" s="478">
        <f t="shared" si="35"/>
        <v>2.4</v>
      </c>
    </row>
    <row r="130" spans="1:24" ht="13">
      <c r="A130" s="1212"/>
      <c r="B130" s="422">
        <v>5</v>
      </c>
      <c r="C130" s="482">
        <v>35</v>
      </c>
      <c r="D130" s="482">
        <v>0.7</v>
      </c>
      <c r="E130" s="482">
        <v>-0.2</v>
      </c>
      <c r="F130" s="488"/>
      <c r="G130" s="478">
        <f t="shared" si="33"/>
        <v>0.44999999999999996</v>
      </c>
      <c r="I130" s="422">
        <v>5</v>
      </c>
      <c r="J130" s="482">
        <v>70</v>
      </c>
      <c r="K130" s="482">
        <v>-2.8</v>
      </c>
      <c r="L130" s="482">
        <v>-0.1</v>
      </c>
      <c r="M130" s="488"/>
      <c r="N130" s="478">
        <f t="shared" si="34"/>
        <v>1.3499999999999999</v>
      </c>
      <c r="P130" s="422">
        <v>5</v>
      </c>
      <c r="Q130" s="482">
        <v>1000</v>
      </c>
      <c r="R130" s="483">
        <v>4.0999999999999996</v>
      </c>
      <c r="S130" s="483">
        <v>-0.8</v>
      </c>
      <c r="T130" s="488"/>
      <c r="U130" s="478">
        <f t="shared" si="35"/>
        <v>2.4499999999999997</v>
      </c>
    </row>
    <row r="131" spans="1:24" ht="13">
      <c r="A131" s="1212"/>
      <c r="B131" s="422">
        <v>6</v>
      </c>
      <c r="C131" s="482">
        <v>37</v>
      </c>
      <c r="D131" s="482">
        <v>0.7</v>
      </c>
      <c r="E131" s="482">
        <v>-0.3</v>
      </c>
      <c r="F131" s="488"/>
      <c r="G131" s="478">
        <f t="shared" si="33"/>
        <v>0.5</v>
      </c>
      <c r="I131" s="422">
        <v>6</v>
      </c>
      <c r="J131" s="482">
        <v>80</v>
      </c>
      <c r="K131" s="482">
        <v>-2.4</v>
      </c>
      <c r="L131" s="482">
        <v>-0.5</v>
      </c>
      <c r="M131" s="488"/>
      <c r="N131" s="478">
        <f t="shared" si="34"/>
        <v>0.95</v>
      </c>
      <c r="P131" s="422">
        <v>6</v>
      </c>
      <c r="Q131" s="482">
        <v>1010</v>
      </c>
      <c r="R131" s="483">
        <v>4.0999999999999996</v>
      </c>
      <c r="S131" s="483">
        <v>-0.8</v>
      </c>
      <c r="T131" s="488"/>
      <c r="U131" s="478">
        <f t="shared" si="35"/>
        <v>2.4499999999999997</v>
      </c>
    </row>
    <row r="132" spans="1:24" ht="13">
      <c r="A132" s="1212"/>
      <c r="B132" s="422">
        <v>7</v>
      </c>
      <c r="C132" s="495">
        <v>40</v>
      </c>
      <c r="D132" s="482">
        <v>0.8</v>
      </c>
      <c r="E132" s="482">
        <v>-0.4</v>
      </c>
      <c r="F132" s="488"/>
      <c r="G132" s="478">
        <f t="shared" si="33"/>
        <v>0.60000000000000009</v>
      </c>
      <c r="I132" s="422">
        <v>7</v>
      </c>
      <c r="J132" s="495">
        <v>90</v>
      </c>
      <c r="K132" s="482">
        <v>-1.8</v>
      </c>
      <c r="L132" s="482">
        <v>-0.9</v>
      </c>
      <c r="M132" s="488"/>
      <c r="N132" s="478">
        <f t="shared" si="34"/>
        <v>0.45</v>
      </c>
      <c r="P132" s="422">
        <v>7</v>
      </c>
      <c r="Q132" s="482">
        <v>1020</v>
      </c>
      <c r="R132" s="483">
        <v>0</v>
      </c>
      <c r="S132" s="483">
        <v>9.9999999999999995E-7</v>
      </c>
      <c r="T132" s="488"/>
      <c r="U132" s="478">
        <f t="shared" si="35"/>
        <v>4.9999999999999998E-7</v>
      </c>
    </row>
    <row r="133" spans="1:24" ht="13" thickBot="1">
      <c r="A133" s="497"/>
      <c r="C133" s="498"/>
      <c r="D133" s="457"/>
      <c r="E133" s="499"/>
      <c r="F133" s="498"/>
      <c r="I133" s="498"/>
      <c r="J133" s="457"/>
      <c r="K133" s="499"/>
      <c r="L133" s="498"/>
      <c r="O133" s="457"/>
      <c r="P133" s="499"/>
      <c r="Q133" s="499"/>
      <c r="R133" s="498"/>
    </row>
    <row r="134" spans="1:24">
      <c r="A134" s="1212">
        <v>13</v>
      </c>
      <c r="B134" s="1213" t="s">
        <v>451</v>
      </c>
      <c r="C134" s="1213"/>
      <c r="D134" s="1213"/>
      <c r="E134" s="1213"/>
      <c r="F134" s="1213"/>
      <c r="G134" s="1213"/>
      <c r="I134" s="1213" t="str">
        <f>B134</f>
        <v>KOREKSI EXTECH A.100605</v>
      </c>
      <c r="J134" s="1213"/>
      <c r="K134" s="1213"/>
      <c r="L134" s="1213"/>
      <c r="M134" s="1213"/>
      <c r="N134" s="1213"/>
      <c r="P134" s="1213" t="str">
        <f>I134</f>
        <v>KOREKSI EXTECH A.100605</v>
      </c>
      <c r="Q134" s="1213"/>
      <c r="R134" s="1213"/>
      <c r="S134" s="1213"/>
      <c r="T134" s="1213"/>
      <c r="U134" s="1213"/>
      <c r="W134" s="1207" t="s">
        <v>397</v>
      </c>
      <c r="X134" s="1208"/>
    </row>
    <row r="135" spans="1:24" ht="13">
      <c r="A135" s="1212"/>
      <c r="B135" s="1209" t="s">
        <v>434</v>
      </c>
      <c r="C135" s="1209"/>
      <c r="D135" s="1209" t="s">
        <v>435</v>
      </c>
      <c r="E135" s="1209"/>
      <c r="F135" s="1209"/>
      <c r="G135" s="1209" t="s">
        <v>386</v>
      </c>
      <c r="I135" s="1209" t="s">
        <v>436</v>
      </c>
      <c r="J135" s="1209"/>
      <c r="K135" s="1209" t="s">
        <v>435</v>
      </c>
      <c r="L135" s="1209"/>
      <c r="M135" s="1209"/>
      <c r="N135" s="1209" t="s">
        <v>386</v>
      </c>
      <c r="P135" s="1209" t="s">
        <v>437</v>
      </c>
      <c r="Q135" s="1209"/>
      <c r="R135" s="1209" t="s">
        <v>435</v>
      </c>
      <c r="S135" s="1209"/>
      <c r="T135" s="1209"/>
      <c r="U135" s="1209" t="s">
        <v>386</v>
      </c>
      <c r="W135" s="473" t="s">
        <v>434</v>
      </c>
      <c r="X135" s="474">
        <v>0.5</v>
      </c>
    </row>
    <row r="136" spans="1:24" ht="14.5">
      <c r="A136" s="1212"/>
      <c r="B136" s="1210" t="s">
        <v>438</v>
      </c>
      <c r="C136" s="1210"/>
      <c r="D136" s="475">
        <v>2023</v>
      </c>
      <c r="E136" s="475">
        <v>2022</v>
      </c>
      <c r="F136" s="475">
        <v>2020</v>
      </c>
      <c r="G136" s="1209"/>
      <c r="I136" s="1211" t="s">
        <v>18</v>
      </c>
      <c r="J136" s="1210"/>
      <c r="K136" s="494">
        <f>D136</f>
        <v>2023</v>
      </c>
      <c r="L136" s="494">
        <f>E136</f>
        <v>2022</v>
      </c>
      <c r="M136" s="475">
        <v>2020</v>
      </c>
      <c r="N136" s="1209"/>
      <c r="P136" s="1211" t="s">
        <v>439</v>
      </c>
      <c r="Q136" s="1210"/>
      <c r="R136" s="494">
        <f>K136</f>
        <v>2023</v>
      </c>
      <c r="S136" s="494">
        <f>L136</f>
        <v>2022</v>
      </c>
      <c r="T136" s="475">
        <v>2020</v>
      </c>
      <c r="U136" s="1209"/>
      <c r="W136" s="473" t="s">
        <v>18</v>
      </c>
      <c r="X136" s="474">
        <v>2.2999999999999998</v>
      </c>
    </row>
    <row r="137" spans="1:24" ht="13.5" thickBot="1">
      <c r="A137" s="1212"/>
      <c r="B137" s="422">
        <v>1</v>
      </c>
      <c r="C137" s="476">
        <v>15</v>
      </c>
      <c r="D137" s="476">
        <v>0.1</v>
      </c>
      <c r="E137" s="476">
        <v>0.5</v>
      </c>
      <c r="F137" s="476">
        <v>-0.7</v>
      </c>
      <c r="G137" s="478">
        <f>0.5*(MAX(D137:F137)-MIN(D137:F137))</f>
        <v>0.6</v>
      </c>
      <c r="I137" s="422">
        <v>1</v>
      </c>
      <c r="J137" s="476">
        <v>30</v>
      </c>
      <c r="K137" s="476"/>
      <c r="L137" s="476">
        <v>-2.2000000000000002</v>
      </c>
      <c r="M137" s="476">
        <v>-1.4</v>
      </c>
      <c r="N137" s="478">
        <f>0.5*(MAX(K137:M137)-MIN(K137:M137))</f>
        <v>0.40000000000000013</v>
      </c>
      <c r="P137" s="422">
        <v>1</v>
      </c>
      <c r="Q137" s="476">
        <v>985</v>
      </c>
      <c r="R137" s="479"/>
      <c r="S137" s="479">
        <v>3.8</v>
      </c>
      <c r="T137" s="479">
        <v>0.9</v>
      </c>
      <c r="U137" s="478">
        <f>0.5*(MAX(R137:T137)-MIN(R137:T137))</f>
        <v>1.45</v>
      </c>
      <c r="W137" s="480" t="s">
        <v>439</v>
      </c>
      <c r="X137" s="481">
        <v>2.4</v>
      </c>
    </row>
    <row r="138" spans="1:24" ht="13">
      <c r="A138" s="1212"/>
      <c r="B138" s="422">
        <v>2</v>
      </c>
      <c r="C138" s="476">
        <v>20</v>
      </c>
      <c r="D138" s="476">
        <v>0.2</v>
      </c>
      <c r="E138" s="476">
        <v>0.2</v>
      </c>
      <c r="F138" s="476">
        <v>-0.4</v>
      </c>
      <c r="G138" s="478">
        <f t="shared" ref="G138:G143" si="36">0.5*(MAX(D138:F138)-MIN(D138:F138))</f>
        <v>0.30000000000000004</v>
      </c>
      <c r="I138" s="422">
        <v>2</v>
      </c>
      <c r="J138" s="476">
        <v>40</v>
      </c>
      <c r="K138" s="476">
        <v>-4</v>
      </c>
      <c r="L138" s="476">
        <v>-2</v>
      </c>
      <c r="M138" s="476">
        <v>-1.3</v>
      </c>
      <c r="N138" s="478">
        <f t="shared" ref="N138:N143" si="37">0.5*(MAX(K138:M138)-MIN(K138:M138))</f>
        <v>1.35</v>
      </c>
      <c r="P138" s="422">
        <v>2</v>
      </c>
      <c r="Q138" s="476">
        <v>990</v>
      </c>
      <c r="R138" s="479">
        <v>3.9</v>
      </c>
      <c r="S138" s="479">
        <v>3.8</v>
      </c>
      <c r="T138" s="479">
        <v>1</v>
      </c>
      <c r="U138" s="478">
        <f t="shared" ref="U138:U143" si="38">0.5*(MAX(R138:T138)-MIN(R138:T138))</f>
        <v>1.45</v>
      </c>
    </row>
    <row r="139" spans="1:24" ht="13">
      <c r="A139" s="1212"/>
      <c r="B139" s="422">
        <v>3</v>
      </c>
      <c r="C139" s="476">
        <v>25</v>
      </c>
      <c r="D139" s="476">
        <v>0.3</v>
      </c>
      <c r="E139" s="476">
        <v>0.1</v>
      </c>
      <c r="F139" s="476">
        <v>-0.2</v>
      </c>
      <c r="G139" s="478">
        <f t="shared" si="36"/>
        <v>0.25</v>
      </c>
      <c r="I139" s="422">
        <v>3</v>
      </c>
      <c r="J139" s="476">
        <v>50</v>
      </c>
      <c r="K139" s="476">
        <v>-3.6</v>
      </c>
      <c r="L139" s="476">
        <v>-1.8</v>
      </c>
      <c r="M139" s="476">
        <v>-1.3</v>
      </c>
      <c r="N139" s="478">
        <f t="shared" si="37"/>
        <v>1.1499999999999999</v>
      </c>
      <c r="P139" s="422">
        <v>3</v>
      </c>
      <c r="Q139" s="482">
        <v>995</v>
      </c>
      <c r="R139" s="483"/>
      <c r="S139" s="483">
        <v>3.7</v>
      </c>
      <c r="T139" s="483">
        <v>1</v>
      </c>
      <c r="U139" s="478">
        <f t="shared" si="38"/>
        <v>1.35</v>
      </c>
    </row>
    <row r="140" spans="1:24" ht="13">
      <c r="A140" s="1212"/>
      <c r="B140" s="422">
        <v>4</v>
      </c>
      <c r="C140" s="482">
        <v>30</v>
      </c>
      <c r="D140" s="482">
        <v>0.4</v>
      </c>
      <c r="E140" s="482">
        <v>-0.1</v>
      </c>
      <c r="F140" s="482">
        <v>0.1</v>
      </c>
      <c r="G140" s="478">
        <f t="shared" si="36"/>
        <v>0.25</v>
      </c>
      <c r="I140" s="422">
        <v>4</v>
      </c>
      <c r="J140" s="482">
        <v>60</v>
      </c>
      <c r="K140" s="482">
        <v>-3.1</v>
      </c>
      <c r="L140" s="482">
        <v>-1.6</v>
      </c>
      <c r="M140" s="482">
        <v>-1.5</v>
      </c>
      <c r="N140" s="478">
        <f t="shared" si="37"/>
        <v>0.8</v>
      </c>
      <c r="P140" s="422">
        <v>4</v>
      </c>
      <c r="Q140" s="482">
        <v>1000</v>
      </c>
      <c r="R140" s="483">
        <v>4.0999999999999996</v>
      </c>
      <c r="S140" s="483">
        <v>3.7</v>
      </c>
      <c r="T140" s="483">
        <v>1.1000000000000001</v>
      </c>
      <c r="U140" s="478">
        <f t="shared" si="38"/>
        <v>1.4999999999999998</v>
      </c>
    </row>
    <row r="141" spans="1:24" ht="13">
      <c r="A141" s="1212"/>
      <c r="B141" s="422">
        <v>5</v>
      </c>
      <c r="C141" s="482">
        <v>35</v>
      </c>
      <c r="D141" s="482">
        <v>0.5</v>
      </c>
      <c r="E141" s="482">
        <v>-0.2</v>
      </c>
      <c r="F141" s="482">
        <v>0.3</v>
      </c>
      <c r="G141" s="478">
        <f t="shared" si="36"/>
        <v>0.35</v>
      </c>
      <c r="I141" s="422">
        <v>5</v>
      </c>
      <c r="J141" s="482">
        <v>70</v>
      </c>
      <c r="K141" s="482">
        <v>-2.2999999999999998</v>
      </c>
      <c r="L141" s="482">
        <v>-1.4</v>
      </c>
      <c r="M141" s="482">
        <v>-1.9</v>
      </c>
      <c r="N141" s="478">
        <f t="shared" si="37"/>
        <v>0.44999999999999996</v>
      </c>
      <c r="P141" s="422">
        <v>5</v>
      </c>
      <c r="Q141" s="482">
        <v>1005</v>
      </c>
      <c r="R141" s="483"/>
      <c r="S141" s="483">
        <v>3.6</v>
      </c>
      <c r="T141" s="483">
        <v>1.1000000000000001</v>
      </c>
      <c r="U141" s="478">
        <f t="shared" si="38"/>
        <v>1.25</v>
      </c>
    </row>
    <row r="142" spans="1:24" ht="13">
      <c r="A142" s="1212"/>
      <c r="B142" s="422">
        <v>6</v>
      </c>
      <c r="C142" s="482">
        <v>37</v>
      </c>
      <c r="D142" s="482">
        <v>0.6</v>
      </c>
      <c r="E142" s="482">
        <v>-0.2</v>
      </c>
      <c r="F142" s="482">
        <v>0.4</v>
      </c>
      <c r="G142" s="478">
        <f t="shared" si="36"/>
        <v>0.4</v>
      </c>
      <c r="I142" s="422">
        <v>6</v>
      </c>
      <c r="J142" s="482">
        <v>80</v>
      </c>
      <c r="K142" s="482">
        <v>-1.5</v>
      </c>
      <c r="L142" s="482">
        <v>-1.2</v>
      </c>
      <c r="M142" s="482">
        <v>-2.5</v>
      </c>
      <c r="N142" s="478">
        <f t="shared" si="37"/>
        <v>0.65</v>
      </c>
      <c r="P142" s="422">
        <v>6</v>
      </c>
      <c r="Q142" s="482">
        <v>1010</v>
      </c>
      <c r="R142" s="483">
        <v>4.3</v>
      </c>
      <c r="S142" s="483">
        <v>3.5</v>
      </c>
      <c r="T142" s="483">
        <v>1.1000000000000001</v>
      </c>
      <c r="U142" s="478">
        <f t="shared" si="38"/>
        <v>1.5999999999999999</v>
      </c>
    </row>
    <row r="143" spans="1:24" ht="13">
      <c r="A143" s="1212"/>
      <c r="B143" s="422">
        <v>7</v>
      </c>
      <c r="C143" s="495">
        <v>40</v>
      </c>
      <c r="D143" s="482">
        <v>0.7</v>
      </c>
      <c r="E143" s="482">
        <v>-0.2</v>
      </c>
      <c r="F143" s="482">
        <v>0.5</v>
      </c>
      <c r="G143" s="478">
        <f t="shared" si="36"/>
        <v>0.44999999999999996</v>
      </c>
      <c r="I143" s="422">
        <v>7</v>
      </c>
      <c r="J143" s="495">
        <v>90</v>
      </c>
      <c r="K143" s="482">
        <v>-0.4</v>
      </c>
      <c r="L143" s="482">
        <v>-1</v>
      </c>
      <c r="M143" s="482">
        <v>-3.2</v>
      </c>
      <c r="N143" s="478">
        <f t="shared" si="37"/>
        <v>1.4000000000000001</v>
      </c>
      <c r="P143" s="422">
        <v>7</v>
      </c>
      <c r="Q143" s="482">
        <v>1020</v>
      </c>
      <c r="R143" s="483"/>
      <c r="S143" s="483">
        <v>9.9999999999999995E-7</v>
      </c>
      <c r="T143" s="483">
        <v>9.9999999999999995E-7</v>
      </c>
      <c r="U143" s="478">
        <f t="shared" si="38"/>
        <v>0</v>
      </c>
    </row>
    <row r="144" spans="1:24" ht="13" thickBot="1">
      <c r="A144" s="497"/>
      <c r="C144" s="498"/>
      <c r="D144" s="457"/>
      <c r="E144" s="499"/>
      <c r="F144" s="498"/>
      <c r="J144" s="498"/>
      <c r="K144" s="457"/>
      <c r="L144" s="499"/>
      <c r="M144" s="498"/>
      <c r="Q144" s="457"/>
      <c r="R144" s="499"/>
      <c r="S144" s="499"/>
      <c r="T144" s="498"/>
    </row>
    <row r="145" spans="1:24">
      <c r="A145" s="1212">
        <v>14</v>
      </c>
      <c r="B145" s="1213" t="s">
        <v>452</v>
      </c>
      <c r="C145" s="1213"/>
      <c r="D145" s="1213"/>
      <c r="E145" s="1213"/>
      <c r="F145" s="1213"/>
      <c r="G145" s="1213"/>
      <c r="I145" s="1213" t="str">
        <f>B145</f>
        <v>KOREKSI EXTECH A.100609</v>
      </c>
      <c r="J145" s="1213"/>
      <c r="K145" s="1213"/>
      <c r="L145" s="1213"/>
      <c r="M145" s="1213"/>
      <c r="N145" s="1213"/>
      <c r="P145" s="1213" t="str">
        <f>I145</f>
        <v>KOREKSI EXTECH A.100609</v>
      </c>
      <c r="Q145" s="1213"/>
      <c r="R145" s="1213"/>
      <c r="S145" s="1213"/>
      <c r="T145" s="1213"/>
      <c r="U145" s="1213"/>
      <c r="W145" s="1207" t="s">
        <v>397</v>
      </c>
      <c r="X145" s="1208"/>
    </row>
    <row r="146" spans="1:24" ht="13">
      <c r="A146" s="1212"/>
      <c r="B146" s="1209" t="s">
        <v>434</v>
      </c>
      <c r="C146" s="1209"/>
      <c r="D146" s="1209" t="s">
        <v>435</v>
      </c>
      <c r="E146" s="1209"/>
      <c r="F146" s="1209"/>
      <c r="G146" s="1209" t="s">
        <v>386</v>
      </c>
      <c r="I146" s="1209" t="s">
        <v>436</v>
      </c>
      <c r="J146" s="1209"/>
      <c r="K146" s="1209" t="s">
        <v>435</v>
      </c>
      <c r="L146" s="1209"/>
      <c r="M146" s="1209"/>
      <c r="N146" s="1209" t="s">
        <v>386</v>
      </c>
      <c r="P146" s="1209" t="s">
        <v>437</v>
      </c>
      <c r="Q146" s="1209"/>
      <c r="R146" s="1209" t="s">
        <v>435</v>
      </c>
      <c r="S146" s="1209"/>
      <c r="T146" s="1209"/>
      <c r="U146" s="1209" t="s">
        <v>386</v>
      </c>
      <c r="W146" s="473" t="s">
        <v>434</v>
      </c>
      <c r="X146" s="474">
        <v>0.6</v>
      </c>
    </row>
    <row r="147" spans="1:24" ht="14.5">
      <c r="A147" s="1212"/>
      <c r="B147" s="1210" t="s">
        <v>438</v>
      </c>
      <c r="C147" s="1210"/>
      <c r="D147" s="475">
        <v>2023</v>
      </c>
      <c r="E147" s="475">
        <v>2022</v>
      </c>
      <c r="F147" s="475">
        <v>2020</v>
      </c>
      <c r="G147" s="1209"/>
      <c r="I147" s="1211" t="s">
        <v>18</v>
      </c>
      <c r="J147" s="1210"/>
      <c r="K147" s="494">
        <f>D147</f>
        <v>2023</v>
      </c>
      <c r="L147" s="494">
        <f>E147</f>
        <v>2022</v>
      </c>
      <c r="M147" s="475">
        <v>2020</v>
      </c>
      <c r="N147" s="1209"/>
      <c r="P147" s="1211" t="s">
        <v>439</v>
      </c>
      <c r="Q147" s="1210"/>
      <c r="R147" s="494">
        <f>K147</f>
        <v>2023</v>
      </c>
      <c r="S147" s="494">
        <f>L147</f>
        <v>2022</v>
      </c>
      <c r="T147" s="475">
        <v>2020</v>
      </c>
      <c r="U147" s="1209"/>
      <c r="W147" s="473" t="s">
        <v>18</v>
      </c>
      <c r="X147" s="474">
        <v>2.2999999999999998</v>
      </c>
    </row>
    <row r="148" spans="1:24" ht="13.5" thickBot="1">
      <c r="A148" s="1212"/>
      <c r="B148" s="422">
        <v>1</v>
      </c>
      <c r="C148" s="476">
        <v>15</v>
      </c>
      <c r="D148" s="476">
        <v>0.1</v>
      </c>
      <c r="E148" s="476">
        <v>0.5</v>
      </c>
      <c r="F148" s="476">
        <v>-0.2</v>
      </c>
      <c r="G148" s="478">
        <f>0.5*(MAX(D148:F148)-MIN(D148:F148))</f>
        <v>0.35</v>
      </c>
      <c r="I148" s="422">
        <v>1</v>
      </c>
      <c r="J148" s="476">
        <v>30</v>
      </c>
      <c r="K148" s="476"/>
      <c r="L148" s="476">
        <v>-0.8</v>
      </c>
      <c r="M148" s="476">
        <v>0.6</v>
      </c>
      <c r="N148" s="478">
        <f>0.5*(MAX(K148:M148)-MIN(K148:M148))</f>
        <v>0.7</v>
      </c>
      <c r="P148" s="422">
        <v>1</v>
      </c>
      <c r="Q148" s="476">
        <v>985</v>
      </c>
      <c r="R148" s="479"/>
      <c r="S148" s="479">
        <v>3.9</v>
      </c>
      <c r="T148" s="479">
        <v>0.9</v>
      </c>
      <c r="U148" s="478">
        <f>0.5*(MAX(R148:T148)-MIN(R148:T148))</f>
        <v>1.5</v>
      </c>
      <c r="W148" s="480" t="s">
        <v>439</v>
      </c>
      <c r="X148" s="481">
        <v>2.5</v>
      </c>
    </row>
    <row r="149" spans="1:24" ht="13">
      <c r="A149" s="1212"/>
      <c r="B149" s="422">
        <v>2</v>
      </c>
      <c r="C149" s="476">
        <v>20</v>
      </c>
      <c r="D149" s="476">
        <v>0.2</v>
      </c>
      <c r="E149" s="476">
        <v>0.2</v>
      </c>
      <c r="F149" s="476">
        <v>-0.1</v>
      </c>
      <c r="G149" s="478">
        <f t="shared" ref="G149:G154" si="39">0.5*(MAX(D149:F149)-MIN(D149:F149))</f>
        <v>0.15000000000000002</v>
      </c>
      <c r="I149" s="422">
        <v>2</v>
      </c>
      <c r="J149" s="476">
        <v>40</v>
      </c>
      <c r="K149" s="476">
        <v>-3.8</v>
      </c>
      <c r="L149" s="476">
        <v>-0.4</v>
      </c>
      <c r="M149" s="476">
        <v>0.3</v>
      </c>
      <c r="N149" s="478">
        <f t="shared" ref="N149:N154" si="40">0.5*(MAX(K149:M149)-MIN(K149:M149))</f>
        <v>2.0499999999999998</v>
      </c>
      <c r="P149" s="422">
        <v>2</v>
      </c>
      <c r="Q149" s="476">
        <v>990</v>
      </c>
      <c r="R149" s="479">
        <v>4</v>
      </c>
      <c r="S149" s="479">
        <v>3.9</v>
      </c>
      <c r="T149" s="479">
        <v>1</v>
      </c>
      <c r="U149" s="478">
        <f t="shared" ref="U149:U154" si="41">0.5*(MAX(R149:T149)-MIN(R149:T149))</f>
        <v>1.5</v>
      </c>
    </row>
    <row r="150" spans="1:24" ht="13">
      <c r="A150" s="1212"/>
      <c r="B150" s="422">
        <v>3</v>
      </c>
      <c r="C150" s="476">
        <v>25</v>
      </c>
      <c r="D150" s="476">
        <v>0.2</v>
      </c>
      <c r="E150" s="476">
        <v>-0.1</v>
      </c>
      <c r="F150" s="476">
        <v>-0.1</v>
      </c>
      <c r="G150" s="478">
        <f t="shared" si="39"/>
        <v>0.15000000000000002</v>
      </c>
      <c r="I150" s="422">
        <v>3</v>
      </c>
      <c r="J150" s="476">
        <v>50</v>
      </c>
      <c r="K150" s="476">
        <v>-2.8</v>
      </c>
      <c r="L150" s="476">
        <v>9.9999999999999995E-7</v>
      </c>
      <c r="M150" s="476">
        <v>-0.2</v>
      </c>
      <c r="N150" s="478">
        <f t="shared" si="40"/>
        <v>1.4000005</v>
      </c>
      <c r="P150" s="422">
        <v>3</v>
      </c>
      <c r="Q150" s="482">
        <v>995</v>
      </c>
      <c r="R150" s="483"/>
      <c r="S150" s="483">
        <v>3.8</v>
      </c>
      <c r="T150" s="483">
        <v>1</v>
      </c>
      <c r="U150" s="478">
        <f t="shared" si="41"/>
        <v>1.4</v>
      </c>
    </row>
    <row r="151" spans="1:24" ht="13">
      <c r="A151" s="1212"/>
      <c r="B151" s="422">
        <v>4</v>
      </c>
      <c r="C151" s="482">
        <v>30</v>
      </c>
      <c r="D151" s="482">
        <v>0.3</v>
      </c>
      <c r="E151" s="482">
        <v>-0.4</v>
      </c>
      <c r="F151" s="482">
        <v>-0.3</v>
      </c>
      <c r="G151" s="478">
        <f t="shared" si="39"/>
        <v>0.35</v>
      </c>
      <c r="I151" s="422">
        <v>4</v>
      </c>
      <c r="J151" s="482">
        <v>60</v>
      </c>
      <c r="K151" s="482">
        <v>-1.8</v>
      </c>
      <c r="L151" s="482">
        <v>0.3</v>
      </c>
      <c r="M151" s="482">
        <v>-0.6</v>
      </c>
      <c r="N151" s="478">
        <f t="shared" si="40"/>
        <v>1.05</v>
      </c>
      <c r="P151" s="422">
        <v>4</v>
      </c>
      <c r="Q151" s="482">
        <v>1000</v>
      </c>
      <c r="R151" s="483">
        <v>4.2</v>
      </c>
      <c r="S151" s="483">
        <v>3.8</v>
      </c>
      <c r="T151" s="483">
        <v>1.1000000000000001</v>
      </c>
      <c r="U151" s="478">
        <f t="shared" si="41"/>
        <v>1.55</v>
      </c>
    </row>
    <row r="152" spans="1:24" ht="13">
      <c r="A152" s="1212"/>
      <c r="B152" s="422">
        <v>5</v>
      </c>
      <c r="C152" s="482">
        <v>35</v>
      </c>
      <c r="D152" s="482">
        <v>0.3</v>
      </c>
      <c r="E152" s="482">
        <v>-0.6</v>
      </c>
      <c r="F152" s="482">
        <v>-0.6</v>
      </c>
      <c r="G152" s="478">
        <f t="shared" si="39"/>
        <v>0.44999999999999996</v>
      </c>
      <c r="I152" s="422">
        <v>5</v>
      </c>
      <c r="J152" s="482">
        <v>70</v>
      </c>
      <c r="K152" s="482">
        <v>-0.6</v>
      </c>
      <c r="L152" s="482">
        <v>0.7</v>
      </c>
      <c r="M152" s="482">
        <v>-0.8</v>
      </c>
      <c r="N152" s="478">
        <f t="shared" si="40"/>
        <v>0.75</v>
      </c>
      <c r="P152" s="422">
        <v>5</v>
      </c>
      <c r="Q152" s="482">
        <v>1005</v>
      </c>
      <c r="R152" s="483"/>
      <c r="S152" s="483">
        <v>3.8</v>
      </c>
      <c r="T152" s="483">
        <v>1.1000000000000001</v>
      </c>
      <c r="U152" s="478">
        <f t="shared" si="41"/>
        <v>1.3499999999999999</v>
      </c>
    </row>
    <row r="153" spans="1:24" ht="13">
      <c r="A153" s="1212"/>
      <c r="B153" s="422">
        <v>6</v>
      </c>
      <c r="C153" s="482">
        <v>37</v>
      </c>
      <c r="D153" s="482">
        <v>0.4</v>
      </c>
      <c r="E153" s="482">
        <v>-0.7</v>
      </c>
      <c r="F153" s="482">
        <v>-0.8</v>
      </c>
      <c r="G153" s="478">
        <f t="shared" si="39"/>
        <v>0.60000000000000009</v>
      </c>
      <c r="I153" s="422">
        <v>6</v>
      </c>
      <c r="J153" s="482">
        <v>80</v>
      </c>
      <c r="K153" s="482">
        <v>0.6</v>
      </c>
      <c r="L153" s="482">
        <v>1.1000000000000001</v>
      </c>
      <c r="M153" s="482">
        <v>-0.9</v>
      </c>
      <c r="N153" s="478">
        <f t="shared" si="40"/>
        <v>1</v>
      </c>
      <c r="P153" s="422">
        <v>6</v>
      </c>
      <c r="Q153" s="482">
        <v>1010</v>
      </c>
      <c r="R153" s="483">
        <v>4.4000000000000004</v>
      </c>
      <c r="S153" s="483">
        <v>3.7</v>
      </c>
      <c r="T153" s="483">
        <v>1.1000000000000001</v>
      </c>
      <c r="U153" s="478">
        <f t="shared" si="41"/>
        <v>1.6500000000000001</v>
      </c>
    </row>
    <row r="154" spans="1:24" ht="13">
      <c r="A154" s="1212"/>
      <c r="B154" s="422">
        <v>7</v>
      </c>
      <c r="C154" s="495">
        <v>40</v>
      </c>
      <c r="D154" s="482">
        <v>0.4</v>
      </c>
      <c r="E154" s="482">
        <v>-0.8</v>
      </c>
      <c r="F154" s="482">
        <v>-1.1000000000000001</v>
      </c>
      <c r="G154" s="478">
        <f t="shared" si="39"/>
        <v>0.75</v>
      </c>
      <c r="I154" s="422">
        <v>7</v>
      </c>
      <c r="J154" s="495">
        <v>90</v>
      </c>
      <c r="K154" s="482">
        <v>1.9</v>
      </c>
      <c r="L154" s="482">
        <v>1.5</v>
      </c>
      <c r="M154" s="482">
        <v>-0.8</v>
      </c>
      <c r="N154" s="478">
        <f t="shared" si="40"/>
        <v>1.35</v>
      </c>
      <c r="P154" s="422">
        <v>7</v>
      </c>
      <c r="Q154" s="482">
        <v>1020</v>
      </c>
      <c r="R154" s="483"/>
      <c r="S154" s="483">
        <v>9.9999999999999995E-7</v>
      </c>
      <c r="T154" s="483">
        <v>9.9999999999999995E-7</v>
      </c>
      <c r="U154" s="478">
        <f t="shared" si="41"/>
        <v>0</v>
      </c>
    </row>
    <row r="155" spans="1:24" ht="13" thickBot="1">
      <c r="A155" s="497"/>
      <c r="C155" s="498"/>
      <c r="D155" s="457"/>
      <c r="E155" s="499"/>
      <c r="F155" s="498"/>
      <c r="J155" s="498"/>
      <c r="K155" s="457"/>
      <c r="L155" s="499"/>
      <c r="M155" s="498"/>
      <c r="Q155" s="457"/>
      <c r="R155" s="499"/>
      <c r="S155" s="499"/>
      <c r="T155" s="498"/>
    </row>
    <row r="156" spans="1:24">
      <c r="A156" s="1212">
        <v>15</v>
      </c>
      <c r="B156" s="1213" t="s">
        <v>453</v>
      </c>
      <c r="C156" s="1213"/>
      <c r="D156" s="1213"/>
      <c r="E156" s="1213"/>
      <c r="F156" s="1213"/>
      <c r="G156" s="1213"/>
      <c r="I156" s="1213" t="str">
        <f>B156</f>
        <v>KOREKSI EXTECH A.100611</v>
      </c>
      <c r="J156" s="1213"/>
      <c r="K156" s="1213"/>
      <c r="L156" s="1213"/>
      <c r="M156" s="1213"/>
      <c r="N156" s="1213"/>
      <c r="P156" s="1213" t="str">
        <f>I156</f>
        <v>KOREKSI EXTECH A.100611</v>
      </c>
      <c r="Q156" s="1213"/>
      <c r="R156" s="1213"/>
      <c r="S156" s="1213"/>
      <c r="T156" s="1213"/>
      <c r="U156" s="1213"/>
      <c r="W156" s="1207" t="s">
        <v>397</v>
      </c>
      <c r="X156" s="1208"/>
    </row>
    <row r="157" spans="1:24" ht="13">
      <c r="A157" s="1212"/>
      <c r="B157" s="1209" t="s">
        <v>434</v>
      </c>
      <c r="C157" s="1209"/>
      <c r="D157" s="1209" t="s">
        <v>435</v>
      </c>
      <c r="E157" s="1209"/>
      <c r="F157" s="1209"/>
      <c r="G157" s="1209" t="s">
        <v>386</v>
      </c>
      <c r="I157" s="1209" t="s">
        <v>436</v>
      </c>
      <c r="J157" s="1209"/>
      <c r="K157" s="1209" t="s">
        <v>435</v>
      </c>
      <c r="L157" s="1209"/>
      <c r="M157" s="1209"/>
      <c r="N157" s="1209" t="s">
        <v>386</v>
      </c>
      <c r="P157" s="1209" t="s">
        <v>437</v>
      </c>
      <c r="Q157" s="1209"/>
      <c r="R157" s="1209" t="s">
        <v>435</v>
      </c>
      <c r="S157" s="1209"/>
      <c r="T157" s="1209"/>
      <c r="U157" s="1209" t="s">
        <v>386</v>
      </c>
      <c r="W157" s="473" t="s">
        <v>434</v>
      </c>
      <c r="X157" s="474">
        <v>0.5</v>
      </c>
    </row>
    <row r="158" spans="1:24" ht="14.5">
      <c r="A158" s="1212"/>
      <c r="B158" s="1210" t="s">
        <v>438</v>
      </c>
      <c r="C158" s="1210"/>
      <c r="D158" s="475">
        <v>2023</v>
      </c>
      <c r="E158" s="475">
        <v>2022</v>
      </c>
      <c r="F158" s="475">
        <v>2020</v>
      </c>
      <c r="G158" s="1209"/>
      <c r="I158" s="1211" t="s">
        <v>18</v>
      </c>
      <c r="J158" s="1210"/>
      <c r="K158" s="494">
        <f>D158</f>
        <v>2023</v>
      </c>
      <c r="L158" s="494">
        <f>E158</f>
        <v>2022</v>
      </c>
      <c r="M158" s="475">
        <v>2020</v>
      </c>
      <c r="N158" s="1209"/>
      <c r="P158" s="1211" t="s">
        <v>439</v>
      </c>
      <c r="Q158" s="1210"/>
      <c r="R158" s="494">
        <f>K158</f>
        <v>2023</v>
      </c>
      <c r="S158" s="494">
        <v>2022</v>
      </c>
      <c r="T158" s="475">
        <v>2020</v>
      </c>
      <c r="U158" s="1209"/>
      <c r="W158" s="473" t="s">
        <v>18</v>
      </c>
      <c r="X158" s="474">
        <v>2.2999999999999998</v>
      </c>
    </row>
    <row r="159" spans="1:24" ht="13.5" thickBot="1">
      <c r="A159" s="1212"/>
      <c r="B159" s="422">
        <v>1</v>
      </c>
      <c r="C159" s="476">
        <v>15</v>
      </c>
      <c r="D159" s="476">
        <v>0.1</v>
      </c>
      <c r="E159" s="476">
        <v>0.6</v>
      </c>
      <c r="F159" s="476">
        <v>-0.6</v>
      </c>
      <c r="G159" s="478">
        <f>0.5*(MAX(D159:F159)-MIN(D159:F159))</f>
        <v>0.6</v>
      </c>
      <c r="I159" s="422">
        <v>1</v>
      </c>
      <c r="J159" s="476">
        <v>30</v>
      </c>
      <c r="K159" s="476">
        <v>-4.0999999999999996</v>
      </c>
      <c r="L159" s="476">
        <v>-2</v>
      </c>
      <c r="M159" s="476">
        <v>-0.4</v>
      </c>
      <c r="N159" s="478">
        <f>0.5*(MAX(K159:M159)-MIN(K159:M159))</f>
        <v>1.8499999999999999</v>
      </c>
      <c r="P159" s="422">
        <v>1</v>
      </c>
      <c r="Q159" s="476">
        <v>980</v>
      </c>
      <c r="R159" s="479">
        <v>4.0999999999999996</v>
      </c>
      <c r="S159" s="479">
        <v>4.3</v>
      </c>
      <c r="T159" s="479">
        <v>0.9</v>
      </c>
      <c r="U159" s="478">
        <f>0.5*(MAX(R159:T159)-MIN(R159:T159))</f>
        <v>1.7</v>
      </c>
      <c r="W159" s="480" t="s">
        <v>439</v>
      </c>
      <c r="X159" s="481">
        <v>2.2999999999999998</v>
      </c>
    </row>
    <row r="160" spans="1:24" ht="13">
      <c r="A160" s="1212"/>
      <c r="B160" s="422">
        <v>2</v>
      </c>
      <c r="C160" s="476">
        <v>20</v>
      </c>
      <c r="D160" s="476">
        <v>0.2</v>
      </c>
      <c r="E160" s="476">
        <v>0.3</v>
      </c>
      <c r="F160" s="476">
        <v>-0.5</v>
      </c>
      <c r="G160" s="478">
        <f t="shared" ref="G160:G165" si="42">0.5*(MAX(D160:F160)-MIN(D160:F160))</f>
        <v>0.4</v>
      </c>
      <c r="I160" s="422">
        <v>2</v>
      </c>
      <c r="J160" s="476">
        <v>40</v>
      </c>
      <c r="K160" s="476">
        <v>-3.8</v>
      </c>
      <c r="L160" s="476">
        <v>-1.7</v>
      </c>
      <c r="M160" s="476">
        <v>-0.3</v>
      </c>
      <c r="N160" s="478">
        <f t="shared" ref="N160:N165" si="43">0.5*(MAX(K160:M160)-MIN(K160:M160))</f>
        <v>1.75</v>
      </c>
      <c r="P160" s="422">
        <v>2</v>
      </c>
      <c r="Q160" s="476">
        <v>990</v>
      </c>
      <c r="R160" s="479">
        <v>4.3</v>
      </c>
      <c r="S160" s="479">
        <v>4.2</v>
      </c>
      <c r="T160" s="479">
        <v>1</v>
      </c>
      <c r="U160" s="478">
        <f t="shared" ref="U160:U165" si="44">0.5*(MAX(R160:T160)-MIN(R160:T160))</f>
        <v>1.65</v>
      </c>
    </row>
    <row r="161" spans="1:24" ht="13">
      <c r="A161" s="1212"/>
      <c r="B161" s="422">
        <v>3</v>
      </c>
      <c r="C161" s="476">
        <v>25</v>
      </c>
      <c r="D161" s="476">
        <v>0.3</v>
      </c>
      <c r="E161" s="476">
        <v>0.2</v>
      </c>
      <c r="F161" s="476">
        <v>-0.4</v>
      </c>
      <c r="G161" s="478">
        <f t="shared" si="42"/>
        <v>0.35</v>
      </c>
      <c r="I161" s="422">
        <v>3</v>
      </c>
      <c r="J161" s="476">
        <v>50</v>
      </c>
      <c r="K161" s="476">
        <v>-3.1</v>
      </c>
      <c r="L161" s="476">
        <v>-1.4</v>
      </c>
      <c r="M161" s="476">
        <v>-0.3</v>
      </c>
      <c r="N161" s="478">
        <f t="shared" si="43"/>
        <v>1.4000000000000001</v>
      </c>
      <c r="P161" s="422">
        <v>3</v>
      </c>
      <c r="Q161" s="482">
        <v>995</v>
      </c>
      <c r="R161" s="483"/>
      <c r="S161" s="483">
        <v>4.0999999999999996</v>
      </c>
      <c r="T161" s="483">
        <v>1</v>
      </c>
      <c r="U161" s="478">
        <f t="shared" si="44"/>
        <v>1.5499999999999998</v>
      </c>
    </row>
    <row r="162" spans="1:24" ht="13">
      <c r="A162" s="1212"/>
      <c r="B162" s="422">
        <v>4</v>
      </c>
      <c r="C162" s="482">
        <v>30</v>
      </c>
      <c r="D162" s="482">
        <v>0.4</v>
      </c>
      <c r="E162" s="482">
        <v>0.4</v>
      </c>
      <c r="F162" s="482">
        <v>-0.2</v>
      </c>
      <c r="G162" s="478">
        <f t="shared" si="42"/>
        <v>0.30000000000000004</v>
      </c>
      <c r="I162" s="422">
        <v>4</v>
      </c>
      <c r="J162" s="482">
        <v>60</v>
      </c>
      <c r="K162" s="482">
        <v>-2.2999999999999998</v>
      </c>
      <c r="L162" s="482">
        <v>-1.1000000000000001</v>
      </c>
      <c r="M162" s="482">
        <v>-0.5</v>
      </c>
      <c r="N162" s="478">
        <f t="shared" si="43"/>
        <v>0.89999999999999991</v>
      </c>
      <c r="P162" s="422">
        <v>4</v>
      </c>
      <c r="Q162" s="482">
        <v>1000</v>
      </c>
      <c r="R162" s="483">
        <v>4.4000000000000004</v>
      </c>
      <c r="S162" s="483">
        <v>4.0999999999999996</v>
      </c>
      <c r="T162" s="483">
        <v>1.1000000000000001</v>
      </c>
      <c r="U162" s="478">
        <f t="shared" si="44"/>
        <v>1.6500000000000001</v>
      </c>
    </row>
    <row r="163" spans="1:24" ht="13">
      <c r="A163" s="1212"/>
      <c r="B163" s="422">
        <v>5</v>
      </c>
      <c r="C163" s="482">
        <v>35</v>
      </c>
      <c r="D163" s="482">
        <v>0.5</v>
      </c>
      <c r="E163" s="482">
        <v>0.8</v>
      </c>
      <c r="F163" s="482">
        <v>-0.1</v>
      </c>
      <c r="G163" s="478">
        <f t="shared" si="42"/>
        <v>0.45</v>
      </c>
      <c r="I163" s="422">
        <v>5</v>
      </c>
      <c r="J163" s="482">
        <v>70</v>
      </c>
      <c r="K163" s="482">
        <v>-1.6</v>
      </c>
      <c r="L163" s="482">
        <v>-0.7</v>
      </c>
      <c r="M163" s="482">
        <v>-0.8</v>
      </c>
      <c r="N163" s="478">
        <f t="shared" si="43"/>
        <v>0.45000000000000007</v>
      </c>
      <c r="P163" s="422">
        <v>5</v>
      </c>
      <c r="Q163" s="482">
        <v>1005</v>
      </c>
      <c r="R163" s="483"/>
      <c r="S163" s="483">
        <v>4</v>
      </c>
      <c r="T163" s="483">
        <v>1.1000000000000001</v>
      </c>
      <c r="U163" s="478">
        <f t="shared" si="44"/>
        <v>1.45</v>
      </c>
    </row>
    <row r="164" spans="1:24" ht="13">
      <c r="A164" s="1212"/>
      <c r="B164" s="422">
        <v>6</v>
      </c>
      <c r="C164" s="482">
        <v>37</v>
      </c>
      <c r="D164" s="482">
        <v>0.5</v>
      </c>
      <c r="E164" s="482">
        <v>1</v>
      </c>
      <c r="F164" s="482">
        <v>-0.1</v>
      </c>
      <c r="G164" s="478">
        <f t="shared" si="42"/>
        <v>0.55000000000000004</v>
      </c>
      <c r="I164" s="422">
        <v>6</v>
      </c>
      <c r="J164" s="482">
        <v>80</v>
      </c>
      <c r="K164" s="482">
        <v>-0.7</v>
      </c>
      <c r="L164" s="482">
        <v>-0.4</v>
      </c>
      <c r="M164" s="482">
        <v>-1.3</v>
      </c>
      <c r="N164" s="478">
        <f t="shared" si="43"/>
        <v>0.45</v>
      </c>
      <c r="P164" s="422">
        <v>6</v>
      </c>
      <c r="Q164" s="482">
        <v>1010</v>
      </c>
      <c r="R164" s="483">
        <v>4.5999999999999996</v>
      </c>
      <c r="S164" s="483">
        <v>3.9</v>
      </c>
      <c r="T164" s="483">
        <v>1.1000000000000001</v>
      </c>
      <c r="U164" s="478">
        <f t="shared" si="44"/>
        <v>1.7499999999999998</v>
      </c>
    </row>
    <row r="165" spans="1:24" ht="13">
      <c r="A165" s="1212"/>
      <c r="B165" s="422">
        <v>7</v>
      </c>
      <c r="C165" s="495">
        <v>40</v>
      </c>
      <c r="D165" s="482">
        <v>0.6</v>
      </c>
      <c r="E165" s="482">
        <v>1.4</v>
      </c>
      <c r="F165" s="482">
        <v>9.9999999999999995E-7</v>
      </c>
      <c r="G165" s="478">
        <f t="shared" si="42"/>
        <v>0.6999995</v>
      </c>
      <c r="I165" s="422">
        <v>7</v>
      </c>
      <c r="J165" s="495">
        <v>90</v>
      </c>
      <c r="K165" s="482">
        <v>0.1</v>
      </c>
      <c r="L165" s="482">
        <v>-0.1</v>
      </c>
      <c r="M165" s="482">
        <v>-2</v>
      </c>
      <c r="N165" s="478">
        <f t="shared" si="43"/>
        <v>1.05</v>
      </c>
      <c r="P165" s="422">
        <v>7</v>
      </c>
      <c r="Q165" s="482">
        <v>1020</v>
      </c>
      <c r="R165" s="483"/>
      <c r="S165" s="483">
        <v>9.9999999999999995E-7</v>
      </c>
      <c r="T165" s="483">
        <v>9.9999999999999995E-7</v>
      </c>
      <c r="U165" s="478">
        <f t="shared" si="44"/>
        <v>0</v>
      </c>
    </row>
    <row r="166" spans="1:24" ht="13" thickBot="1">
      <c r="A166" s="497"/>
      <c r="C166" s="498"/>
      <c r="D166" s="457"/>
      <c r="E166" s="499"/>
      <c r="F166" s="498"/>
      <c r="I166" s="498"/>
      <c r="J166" s="457"/>
      <c r="K166" s="499"/>
      <c r="L166" s="498"/>
      <c r="O166" s="457"/>
      <c r="P166" s="499"/>
      <c r="Q166" s="499"/>
      <c r="R166" s="498"/>
    </row>
    <row r="167" spans="1:24">
      <c r="A167" s="1212">
        <v>16</v>
      </c>
      <c r="B167" s="1213" t="s">
        <v>454</v>
      </c>
      <c r="C167" s="1213"/>
      <c r="D167" s="1213"/>
      <c r="E167" s="1213"/>
      <c r="F167" s="1213"/>
      <c r="G167" s="1213"/>
      <c r="I167" s="1213" t="str">
        <f>B167</f>
        <v>KOREKSI EXTECH A.100616</v>
      </c>
      <c r="J167" s="1213"/>
      <c r="K167" s="1213"/>
      <c r="L167" s="1213"/>
      <c r="M167" s="1213"/>
      <c r="N167" s="1213"/>
      <c r="P167" s="1213" t="str">
        <f>I167</f>
        <v>KOREKSI EXTECH A.100616</v>
      </c>
      <c r="Q167" s="1213"/>
      <c r="R167" s="1213"/>
      <c r="S167" s="1213"/>
      <c r="T167" s="1213"/>
      <c r="U167" s="1213"/>
      <c r="W167" s="1207" t="s">
        <v>397</v>
      </c>
      <c r="X167" s="1208"/>
    </row>
    <row r="168" spans="1:24" ht="13">
      <c r="A168" s="1212"/>
      <c r="B168" s="1209" t="s">
        <v>434</v>
      </c>
      <c r="C168" s="1209"/>
      <c r="D168" s="1209" t="s">
        <v>435</v>
      </c>
      <c r="E168" s="1209"/>
      <c r="F168" s="1209"/>
      <c r="G168" s="1209" t="s">
        <v>386</v>
      </c>
      <c r="I168" s="1209" t="s">
        <v>436</v>
      </c>
      <c r="J168" s="1209"/>
      <c r="K168" s="1209" t="s">
        <v>435</v>
      </c>
      <c r="L168" s="1209"/>
      <c r="M168" s="1209"/>
      <c r="N168" s="1209" t="s">
        <v>386</v>
      </c>
      <c r="P168" s="1209" t="s">
        <v>437</v>
      </c>
      <c r="Q168" s="1209"/>
      <c r="R168" s="1209" t="s">
        <v>435</v>
      </c>
      <c r="S168" s="1209"/>
      <c r="T168" s="1209"/>
      <c r="U168" s="1209" t="s">
        <v>386</v>
      </c>
      <c r="W168" s="473" t="s">
        <v>434</v>
      </c>
      <c r="X168" s="474">
        <v>0.5</v>
      </c>
    </row>
    <row r="169" spans="1:24" ht="14.5">
      <c r="A169" s="1212"/>
      <c r="B169" s="1210" t="s">
        <v>438</v>
      </c>
      <c r="C169" s="1210"/>
      <c r="D169" s="475">
        <v>2023</v>
      </c>
      <c r="E169" s="475">
        <v>2020</v>
      </c>
      <c r="F169" s="475">
        <v>2016</v>
      </c>
      <c r="G169" s="1209"/>
      <c r="I169" s="1211" t="s">
        <v>18</v>
      </c>
      <c r="J169" s="1210"/>
      <c r="K169" s="494">
        <f>D169</f>
        <v>2023</v>
      </c>
      <c r="L169" s="494">
        <f>E169</f>
        <v>2020</v>
      </c>
      <c r="M169" s="475">
        <v>2016</v>
      </c>
      <c r="N169" s="1209"/>
      <c r="P169" s="1211" t="s">
        <v>439</v>
      </c>
      <c r="Q169" s="1210"/>
      <c r="R169" s="494">
        <f>K169</f>
        <v>2023</v>
      </c>
      <c r="S169" s="494">
        <f>L169</f>
        <v>2020</v>
      </c>
      <c r="T169" s="475">
        <v>2016</v>
      </c>
      <c r="U169" s="1209"/>
      <c r="W169" s="473" t="s">
        <v>18</v>
      </c>
      <c r="X169" s="474">
        <v>2.2999999999999998</v>
      </c>
    </row>
    <row r="170" spans="1:24" ht="13.5" thickBot="1">
      <c r="A170" s="1212"/>
      <c r="B170" s="422">
        <v>1</v>
      </c>
      <c r="C170" s="476">
        <v>15</v>
      </c>
      <c r="D170" s="476">
        <v>0.1</v>
      </c>
      <c r="E170" s="476">
        <v>0.1</v>
      </c>
      <c r="F170" s="488"/>
      <c r="G170" s="478">
        <f>0.5*(MAX(D170:F170)-MIN(D170:F170))</f>
        <v>0</v>
      </c>
      <c r="I170" s="422">
        <v>1</v>
      </c>
      <c r="J170" s="476">
        <v>35</v>
      </c>
      <c r="K170" s="476">
        <v>-2.5</v>
      </c>
      <c r="L170" s="476">
        <v>-1.6</v>
      </c>
      <c r="M170" s="488"/>
      <c r="N170" s="478">
        <f>0.5*(MAX(K170:M170)-MIN(K170:M170))</f>
        <v>0.44999999999999996</v>
      </c>
      <c r="P170" s="422">
        <v>1</v>
      </c>
      <c r="Q170" s="476">
        <v>960</v>
      </c>
      <c r="R170" s="479">
        <v>4.5999999999999996</v>
      </c>
      <c r="S170" s="479">
        <v>-2.9</v>
      </c>
      <c r="T170" s="488"/>
      <c r="U170" s="478">
        <f>0.5*(MAX(R170:T170)-MIN(R170:T170))</f>
        <v>3.75</v>
      </c>
      <c r="W170" s="480" t="s">
        <v>439</v>
      </c>
      <c r="X170" s="481">
        <v>2.2000000000000002</v>
      </c>
    </row>
    <row r="171" spans="1:24" ht="13">
      <c r="A171" s="1212"/>
      <c r="B171" s="422">
        <v>2</v>
      </c>
      <c r="C171" s="476">
        <v>20</v>
      </c>
      <c r="D171" s="476">
        <v>0.3</v>
      </c>
      <c r="E171" s="476">
        <v>0.2</v>
      </c>
      <c r="F171" s="488"/>
      <c r="G171" s="478">
        <f t="shared" ref="G171:G176" si="45">0.5*(MAX(D171:F171)-MIN(D171:F171))</f>
        <v>4.9999999999999989E-2</v>
      </c>
      <c r="I171" s="422">
        <v>2</v>
      </c>
      <c r="J171" s="476">
        <v>40</v>
      </c>
      <c r="K171" s="476">
        <v>-2.2999999999999998</v>
      </c>
      <c r="L171" s="476">
        <v>-1.4</v>
      </c>
      <c r="M171" s="488"/>
      <c r="N171" s="478">
        <f t="shared" ref="N171:N176" si="46">0.5*(MAX(K171:M171)-MIN(K171:M171))</f>
        <v>0.44999999999999996</v>
      </c>
      <c r="P171" s="422">
        <v>2</v>
      </c>
      <c r="Q171" s="476">
        <v>970</v>
      </c>
      <c r="R171" s="479">
        <v>4.5</v>
      </c>
      <c r="S171" s="479">
        <v>-2.2999999999999998</v>
      </c>
      <c r="T171" s="488"/>
      <c r="U171" s="478">
        <f t="shared" ref="U171:U176" si="47">0.5*(MAX(R171:T171)-MIN(R171:T171))</f>
        <v>3.4</v>
      </c>
    </row>
    <row r="172" spans="1:24" ht="13">
      <c r="A172" s="1212"/>
      <c r="B172" s="422">
        <v>3</v>
      </c>
      <c r="C172" s="476">
        <v>25</v>
      </c>
      <c r="D172" s="476">
        <v>0.5</v>
      </c>
      <c r="E172" s="476">
        <v>0.2</v>
      </c>
      <c r="F172" s="488"/>
      <c r="G172" s="478">
        <f t="shared" si="45"/>
        <v>0.15</v>
      </c>
      <c r="I172" s="422">
        <v>3</v>
      </c>
      <c r="J172" s="476">
        <v>50</v>
      </c>
      <c r="K172" s="476">
        <v>-2</v>
      </c>
      <c r="L172" s="476">
        <v>-1.4</v>
      </c>
      <c r="M172" s="488"/>
      <c r="N172" s="478">
        <f t="shared" si="46"/>
        <v>0.30000000000000004</v>
      </c>
      <c r="P172" s="422">
        <v>3</v>
      </c>
      <c r="Q172" s="482">
        <v>980</v>
      </c>
      <c r="R172" s="483">
        <v>4.5</v>
      </c>
      <c r="S172" s="483">
        <v>-1.7</v>
      </c>
      <c r="T172" s="488"/>
      <c r="U172" s="478">
        <f t="shared" si="47"/>
        <v>3.1</v>
      </c>
    </row>
    <row r="173" spans="1:24" ht="13">
      <c r="A173" s="1212"/>
      <c r="B173" s="422">
        <v>4</v>
      </c>
      <c r="C173" s="482">
        <v>30</v>
      </c>
      <c r="D173" s="482">
        <v>0.6</v>
      </c>
      <c r="E173" s="482">
        <v>0.2</v>
      </c>
      <c r="F173" s="488"/>
      <c r="G173" s="478">
        <f t="shared" si="45"/>
        <v>0.19999999999999998</v>
      </c>
      <c r="I173" s="422">
        <v>4</v>
      </c>
      <c r="J173" s="482">
        <v>60</v>
      </c>
      <c r="K173" s="482">
        <v>-1.9</v>
      </c>
      <c r="L173" s="482">
        <v>-1.5</v>
      </c>
      <c r="M173" s="488"/>
      <c r="N173" s="478">
        <f t="shared" si="46"/>
        <v>0.19999999999999996</v>
      </c>
      <c r="P173" s="422">
        <v>4</v>
      </c>
      <c r="Q173" s="482">
        <v>990</v>
      </c>
      <c r="R173" s="483">
        <v>4.4000000000000004</v>
      </c>
      <c r="S173" s="483">
        <v>-1.1000000000000001</v>
      </c>
      <c r="T173" s="488"/>
      <c r="U173" s="478">
        <f t="shared" si="47"/>
        <v>2.75</v>
      </c>
    </row>
    <row r="174" spans="1:24" ht="13">
      <c r="A174" s="1212"/>
      <c r="B174" s="422">
        <v>5</v>
      </c>
      <c r="C174" s="482">
        <v>35</v>
      </c>
      <c r="D174" s="482">
        <v>0.6</v>
      </c>
      <c r="E174" s="482">
        <v>0.1</v>
      </c>
      <c r="F174" s="488"/>
      <c r="G174" s="478">
        <f t="shared" si="45"/>
        <v>0.25</v>
      </c>
      <c r="I174" s="422">
        <v>5</v>
      </c>
      <c r="J174" s="482">
        <v>70</v>
      </c>
      <c r="K174" s="482">
        <v>-2.1</v>
      </c>
      <c r="L174" s="482">
        <v>-1.8</v>
      </c>
      <c r="M174" s="488"/>
      <c r="N174" s="478">
        <f t="shared" si="46"/>
        <v>0.15000000000000002</v>
      </c>
      <c r="P174" s="422">
        <v>5</v>
      </c>
      <c r="Q174" s="482">
        <v>1000</v>
      </c>
      <c r="R174" s="483">
        <v>4.3</v>
      </c>
      <c r="S174" s="483">
        <v>-0.4</v>
      </c>
      <c r="T174" s="488"/>
      <c r="U174" s="478">
        <f t="shared" si="47"/>
        <v>2.35</v>
      </c>
    </row>
    <row r="175" spans="1:24" ht="13">
      <c r="A175" s="1212"/>
      <c r="B175" s="422">
        <v>6</v>
      </c>
      <c r="C175" s="482">
        <v>37</v>
      </c>
      <c r="D175" s="482">
        <v>0.6</v>
      </c>
      <c r="E175" s="482">
        <v>9.9999999999999995E-7</v>
      </c>
      <c r="F175" s="488"/>
      <c r="G175" s="478">
        <f t="shared" si="45"/>
        <v>0.29999949999999997</v>
      </c>
      <c r="I175" s="422">
        <v>6</v>
      </c>
      <c r="J175" s="482">
        <v>80</v>
      </c>
      <c r="K175" s="482">
        <v>-2.5</v>
      </c>
      <c r="L175" s="482">
        <v>-2.2999999999999998</v>
      </c>
      <c r="M175" s="488"/>
      <c r="N175" s="478">
        <f t="shared" si="46"/>
        <v>0.10000000000000009</v>
      </c>
      <c r="P175" s="422">
        <v>6</v>
      </c>
      <c r="Q175" s="482">
        <v>1010</v>
      </c>
      <c r="R175" s="483">
        <v>4.3</v>
      </c>
      <c r="S175" s="483">
        <v>-0.4</v>
      </c>
      <c r="T175" s="488"/>
      <c r="U175" s="478">
        <f t="shared" si="47"/>
        <v>2.35</v>
      </c>
    </row>
    <row r="176" spans="1:24" ht="13">
      <c r="A176" s="1212"/>
      <c r="B176" s="422">
        <v>7</v>
      </c>
      <c r="C176" s="495">
        <v>40</v>
      </c>
      <c r="D176" s="482">
        <v>0.6</v>
      </c>
      <c r="E176" s="482">
        <v>9.9999999999999995E-7</v>
      </c>
      <c r="F176" s="488"/>
      <c r="G176" s="478">
        <f t="shared" si="45"/>
        <v>0.29999949999999997</v>
      </c>
      <c r="I176" s="422">
        <v>7</v>
      </c>
      <c r="J176" s="495">
        <v>90</v>
      </c>
      <c r="K176" s="482">
        <v>-3.1</v>
      </c>
      <c r="L176" s="482">
        <v>-3</v>
      </c>
      <c r="M176" s="488"/>
      <c r="N176" s="478">
        <f t="shared" si="46"/>
        <v>5.0000000000000044E-2</v>
      </c>
      <c r="P176" s="422">
        <v>7</v>
      </c>
      <c r="Q176" s="482">
        <v>1020</v>
      </c>
      <c r="R176" s="483">
        <v>0</v>
      </c>
      <c r="S176" s="483">
        <v>9.9999999999999995E-7</v>
      </c>
      <c r="T176" s="488"/>
      <c r="U176" s="478">
        <f t="shared" si="47"/>
        <v>4.9999999999999998E-7</v>
      </c>
    </row>
    <row r="177" spans="1:24" ht="13" thickBot="1">
      <c r="A177" s="497"/>
      <c r="C177" s="498"/>
      <c r="D177" s="457"/>
      <c r="E177" s="499"/>
      <c r="F177" s="498"/>
      <c r="J177" s="498"/>
      <c r="K177" s="457"/>
      <c r="L177" s="499"/>
      <c r="M177" s="498"/>
      <c r="Q177" s="457"/>
      <c r="R177" s="499"/>
      <c r="S177" s="499"/>
      <c r="T177" s="498"/>
    </row>
    <row r="178" spans="1:24">
      <c r="A178" s="1212">
        <v>17</v>
      </c>
      <c r="B178" s="1213" t="s">
        <v>455</v>
      </c>
      <c r="C178" s="1213"/>
      <c r="D178" s="1213"/>
      <c r="E178" s="1213"/>
      <c r="F178" s="1213"/>
      <c r="G178" s="1213"/>
      <c r="I178" s="1213" t="str">
        <f>B178</f>
        <v>KOREKSI EXTECH A.100617</v>
      </c>
      <c r="J178" s="1213"/>
      <c r="K178" s="1213"/>
      <c r="L178" s="1213"/>
      <c r="M178" s="1213"/>
      <c r="N178" s="1213"/>
      <c r="P178" s="1213" t="str">
        <f>I178</f>
        <v>KOREKSI EXTECH A.100617</v>
      </c>
      <c r="Q178" s="1213"/>
      <c r="R178" s="1213"/>
      <c r="S178" s="1213"/>
      <c r="T178" s="1213"/>
      <c r="U178" s="1213"/>
      <c r="W178" s="1207" t="s">
        <v>397</v>
      </c>
      <c r="X178" s="1208"/>
    </row>
    <row r="179" spans="1:24" ht="13">
      <c r="A179" s="1212"/>
      <c r="B179" s="1209" t="s">
        <v>434</v>
      </c>
      <c r="C179" s="1209"/>
      <c r="D179" s="1209" t="s">
        <v>435</v>
      </c>
      <c r="E179" s="1209"/>
      <c r="F179" s="1209"/>
      <c r="G179" s="1209" t="s">
        <v>386</v>
      </c>
      <c r="I179" s="1209" t="s">
        <v>436</v>
      </c>
      <c r="J179" s="1209"/>
      <c r="K179" s="1209" t="s">
        <v>435</v>
      </c>
      <c r="L179" s="1209"/>
      <c r="M179" s="1209"/>
      <c r="N179" s="1209" t="s">
        <v>386</v>
      </c>
      <c r="P179" s="1209" t="s">
        <v>437</v>
      </c>
      <c r="Q179" s="1209"/>
      <c r="R179" s="1209" t="s">
        <v>435</v>
      </c>
      <c r="S179" s="1209"/>
      <c r="T179" s="1209"/>
      <c r="U179" s="1209" t="s">
        <v>386</v>
      </c>
      <c r="W179" s="473" t="s">
        <v>434</v>
      </c>
      <c r="X179" s="474">
        <v>0.8</v>
      </c>
    </row>
    <row r="180" spans="1:24" ht="14.5">
      <c r="A180" s="1212"/>
      <c r="B180" s="1210" t="s">
        <v>438</v>
      </c>
      <c r="C180" s="1210"/>
      <c r="D180" s="475">
        <v>2023</v>
      </c>
      <c r="E180" s="475">
        <v>2020</v>
      </c>
      <c r="F180" s="475">
        <v>2016</v>
      </c>
      <c r="G180" s="1209"/>
      <c r="I180" s="1211" t="s">
        <v>18</v>
      </c>
      <c r="J180" s="1210"/>
      <c r="K180" s="494">
        <f>D180</f>
        <v>2023</v>
      </c>
      <c r="L180" s="494">
        <f>E180</f>
        <v>2020</v>
      </c>
      <c r="M180" s="475">
        <v>2016</v>
      </c>
      <c r="N180" s="1209"/>
      <c r="P180" s="1211" t="s">
        <v>439</v>
      </c>
      <c r="Q180" s="1210"/>
      <c r="R180" s="494">
        <f>K180</f>
        <v>2023</v>
      </c>
      <c r="S180" s="494">
        <f>L180</f>
        <v>2020</v>
      </c>
      <c r="T180" s="475">
        <v>2016</v>
      </c>
      <c r="U180" s="1209"/>
      <c r="W180" s="473" t="s">
        <v>18</v>
      </c>
      <c r="X180" s="474">
        <v>2.2999999999999998</v>
      </c>
    </row>
    <row r="181" spans="1:24" ht="13.5" thickBot="1">
      <c r="A181" s="1212"/>
      <c r="B181" s="422">
        <v>1</v>
      </c>
      <c r="C181" s="476">
        <v>15</v>
      </c>
      <c r="D181" s="476">
        <v>0.2</v>
      </c>
      <c r="E181" s="476">
        <v>0.1</v>
      </c>
      <c r="F181" s="488"/>
      <c r="G181" s="478">
        <f t="shared" ref="G181:G187" si="48">0.5*(MAX(D181:F181)-MIN(D181:F181))</f>
        <v>0.05</v>
      </c>
      <c r="I181" s="422">
        <v>1</v>
      </c>
      <c r="J181" s="476">
        <v>35</v>
      </c>
      <c r="K181" s="476">
        <v>-2.7</v>
      </c>
      <c r="L181" s="476">
        <v>0.1</v>
      </c>
      <c r="M181" s="488"/>
      <c r="N181" s="478">
        <f>0.5*(MAX(K181:M181)-MIN(K181:M181))</f>
        <v>1.4000000000000001</v>
      </c>
      <c r="P181" s="422">
        <v>1</v>
      </c>
      <c r="Q181" s="476">
        <v>960</v>
      </c>
      <c r="R181" s="479">
        <v>4.5999999999999996</v>
      </c>
      <c r="S181" s="479">
        <v>-0.6</v>
      </c>
      <c r="T181" s="488"/>
      <c r="U181" s="478">
        <f>0.5*(MAX(R181:T181)-MIN(R181:T181))</f>
        <v>2.5999999999999996</v>
      </c>
      <c r="W181" s="480" t="s">
        <v>439</v>
      </c>
      <c r="X181" s="481">
        <v>2.1</v>
      </c>
    </row>
    <row r="182" spans="1:24" ht="13">
      <c r="A182" s="1212"/>
      <c r="B182" s="422">
        <v>2</v>
      </c>
      <c r="C182" s="476">
        <v>20</v>
      </c>
      <c r="D182" s="476">
        <v>0.4</v>
      </c>
      <c r="E182" s="476">
        <v>0.1</v>
      </c>
      <c r="F182" s="488"/>
      <c r="G182" s="478">
        <f t="shared" si="48"/>
        <v>0.15000000000000002</v>
      </c>
      <c r="I182" s="422">
        <v>2</v>
      </c>
      <c r="J182" s="476">
        <v>40</v>
      </c>
      <c r="K182" s="476">
        <v>-2.4</v>
      </c>
      <c r="L182" s="476">
        <v>0.2</v>
      </c>
      <c r="M182" s="488"/>
      <c r="N182" s="478">
        <f t="shared" ref="N182:N187" si="49">0.5*(MAX(K182:M182)-MIN(K182:M182))</f>
        <v>1.3</v>
      </c>
      <c r="P182" s="422">
        <v>2</v>
      </c>
      <c r="Q182" s="476">
        <v>970</v>
      </c>
      <c r="R182" s="479">
        <v>4.5</v>
      </c>
      <c r="S182" s="479">
        <v>-0.6</v>
      </c>
      <c r="T182" s="488"/>
      <c r="U182" s="478">
        <f t="shared" ref="U182:U187" si="50">0.5*(MAX(R182:T182)-MIN(R182:T182))</f>
        <v>2.5499999999999998</v>
      </c>
    </row>
    <row r="183" spans="1:24" ht="13">
      <c r="A183" s="1212"/>
      <c r="B183" s="422">
        <v>3</v>
      </c>
      <c r="C183" s="476">
        <v>25</v>
      </c>
      <c r="D183" s="476">
        <v>0.5</v>
      </c>
      <c r="E183" s="476">
        <v>9.9999999999999995E-7</v>
      </c>
      <c r="F183" s="488"/>
      <c r="G183" s="478">
        <f t="shared" si="48"/>
        <v>0.24999950000000001</v>
      </c>
      <c r="I183" s="422">
        <v>3</v>
      </c>
      <c r="J183" s="476">
        <v>50</v>
      </c>
      <c r="K183" s="476">
        <v>-1.9</v>
      </c>
      <c r="L183" s="476">
        <v>0.2</v>
      </c>
      <c r="M183" s="488"/>
      <c r="N183" s="478">
        <f t="shared" si="49"/>
        <v>1.05</v>
      </c>
      <c r="P183" s="422">
        <v>3</v>
      </c>
      <c r="Q183" s="482">
        <v>980</v>
      </c>
      <c r="R183" s="483">
        <v>4.5</v>
      </c>
      <c r="S183" s="483">
        <v>-0.6</v>
      </c>
      <c r="T183" s="488"/>
      <c r="U183" s="478">
        <f t="shared" si="50"/>
        <v>2.5499999999999998</v>
      </c>
    </row>
    <row r="184" spans="1:24" ht="13">
      <c r="A184" s="1212"/>
      <c r="B184" s="422">
        <v>4</v>
      </c>
      <c r="C184" s="482">
        <v>30</v>
      </c>
      <c r="D184" s="482">
        <v>0.6</v>
      </c>
      <c r="E184" s="482">
        <v>-0.2</v>
      </c>
      <c r="F184" s="488"/>
      <c r="G184" s="478">
        <f t="shared" si="48"/>
        <v>0.4</v>
      </c>
      <c r="I184" s="422">
        <v>4</v>
      </c>
      <c r="J184" s="482">
        <v>60</v>
      </c>
      <c r="K184" s="482">
        <v>-1.7</v>
      </c>
      <c r="L184" s="482">
        <v>9.9999999999999995E-7</v>
      </c>
      <c r="M184" s="488"/>
      <c r="N184" s="478">
        <f t="shared" si="49"/>
        <v>0.85000049999999994</v>
      </c>
      <c r="P184" s="422">
        <v>4</v>
      </c>
      <c r="Q184" s="482">
        <v>990</v>
      </c>
      <c r="R184" s="483">
        <v>4.4000000000000004</v>
      </c>
      <c r="S184" s="483">
        <v>-0.6</v>
      </c>
      <c r="T184" s="488"/>
      <c r="U184" s="478">
        <f t="shared" si="50"/>
        <v>2.5</v>
      </c>
    </row>
    <row r="185" spans="1:24" ht="13">
      <c r="A185" s="1212"/>
      <c r="B185" s="422">
        <v>5</v>
      </c>
      <c r="C185" s="482">
        <v>35</v>
      </c>
      <c r="D185" s="482">
        <v>0.7</v>
      </c>
      <c r="E185" s="482">
        <v>-0.5</v>
      </c>
      <c r="F185" s="488"/>
      <c r="G185" s="478">
        <f t="shared" si="48"/>
        <v>0.6</v>
      </c>
      <c r="I185" s="422">
        <v>5</v>
      </c>
      <c r="J185" s="482">
        <v>70</v>
      </c>
      <c r="K185" s="482">
        <v>-1.8</v>
      </c>
      <c r="L185" s="482">
        <v>-0.3</v>
      </c>
      <c r="M185" s="488"/>
      <c r="N185" s="478">
        <f t="shared" si="49"/>
        <v>0.75</v>
      </c>
      <c r="P185" s="422">
        <v>5</v>
      </c>
      <c r="Q185" s="482">
        <v>1000</v>
      </c>
      <c r="R185" s="483">
        <v>4.4000000000000004</v>
      </c>
      <c r="S185" s="483">
        <v>-0.6</v>
      </c>
      <c r="T185" s="488"/>
      <c r="U185" s="478">
        <f t="shared" si="50"/>
        <v>2.5</v>
      </c>
    </row>
    <row r="186" spans="1:24" ht="13">
      <c r="A186" s="1212"/>
      <c r="B186" s="422">
        <v>6</v>
      </c>
      <c r="C186" s="482">
        <v>37</v>
      </c>
      <c r="D186" s="482">
        <v>0.7</v>
      </c>
      <c r="E186" s="482">
        <v>-0.6</v>
      </c>
      <c r="F186" s="488"/>
      <c r="G186" s="478">
        <f t="shared" si="48"/>
        <v>0.64999999999999991</v>
      </c>
      <c r="I186" s="422">
        <v>6</v>
      </c>
      <c r="J186" s="482">
        <v>80</v>
      </c>
      <c r="K186" s="482">
        <v>-2.2000000000000002</v>
      </c>
      <c r="L186" s="482">
        <v>-0.8</v>
      </c>
      <c r="M186" s="488"/>
      <c r="N186" s="478">
        <f t="shared" si="49"/>
        <v>0.70000000000000007</v>
      </c>
      <c r="P186" s="422">
        <v>6</v>
      </c>
      <c r="Q186" s="482">
        <v>1010</v>
      </c>
      <c r="R186" s="483">
        <v>4.4000000000000004</v>
      </c>
      <c r="S186" s="483">
        <v>-0.6</v>
      </c>
      <c r="T186" s="488"/>
      <c r="U186" s="478">
        <f t="shared" si="50"/>
        <v>2.5</v>
      </c>
    </row>
    <row r="187" spans="1:24" ht="13">
      <c r="A187" s="1212"/>
      <c r="B187" s="422">
        <v>7</v>
      </c>
      <c r="C187" s="495">
        <v>40</v>
      </c>
      <c r="D187" s="482">
        <v>0.7</v>
      </c>
      <c r="E187" s="482">
        <v>-0.8</v>
      </c>
      <c r="F187" s="488"/>
      <c r="G187" s="478">
        <f t="shared" si="48"/>
        <v>0.75</v>
      </c>
      <c r="I187" s="422">
        <v>7</v>
      </c>
      <c r="J187" s="495">
        <v>90</v>
      </c>
      <c r="K187" s="482">
        <v>-2.9</v>
      </c>
      <c r="L187" s="482">
        <v>-1.4</v>
      </c>
      <c r="M187" s="488"/>
      <c r="N187" s="478">
        <f t="shared" si="49"/>
        <v>0.75</v>
      </c>
      <c r="P187" s="422">
        <v>7</v>
      </c>
      <c r="Q187" s="482">
        <v>1020</v>
      </c>
      <c r="R187" s="483">
        <v>0</v>
      </c>
      <c r="S187" s="483">
        <v>9.9999999999999995E-7</v>
      </c>
      <c r="T187" s="488"/>
      <c r="U187" s="478">
        <f t="shared" si="50"/>
        <v>4.9999999999999998E-7</v>
      </c>
    </row>
    <row r="188" spans="1:24" ht="13" thickBot="1">
      <c r="A188" s="497"/>
      <c r="C188" s="498"/>
      <c r="D188" s="457"/>
      <c r="E188" s="499"/>
      <c r="F188" s="498"/>
      <c r="J188" s="498"/>
      <c r="K188" s="457"/>
      <c r="L188" s="499"/>
      <c r="M188" s="498"/>
      <c r="Q188" s="457"/>
      <c r="R188" s="499"/>
      <c r="S188" s="499"/>
      <c r="T188" s="498"/>
    </row>
    <row r="189" spans="1:24">
      <c r="A189" s="1212">
        <v>18</v>
      </c>
      <c r="B189" s="1213" t="s">
        <v>456</v>
      </c>
      <c r="C189" s="1213"/>
      <c r="D189" s="1213"/>
      <c r="E189" s="1213"/>
      <c r="F189" s="1213"/>
      <c r="G189" s="1213"/>
      <c r="I189" s="1213" t="str">
        <f>B189</f>
        <v>KOREKSI EXTECH A.100618</v>
      </c>
      <c r="J189" s="1213"/>
      <c r="K189" s="1213"/>
      <c r="L189" s="1213"/>
      <c r="M189" s="1213"/>
      <c r="N189" s="1213"/>
      <c r="P189" s="1213" t="str">
        <f>I189</f>
        <v>KOREKSI EXTECH A.100618</v>
      </c>
      <c r="Q189" s="1213"/>
      <c r="R189" s="1213"/>
      <c r="S189" s="1213"/>
      <c r="T189" s="1213"/>
      <c r="U189" s="1213"/>
      <c r="W189" s="1207" t="s">
        <v>397</v>
      </c>
      <c r="X189" s="1208"/>
    </row>
    <row r="190" spans="1:24" ht="13">
      <c r="A190" s="1212"/>
      <c r="B190" s="1209" t="s">
        <v>434</v>
      </c>
      <c r="C190" s="1209"/>
      <c r="D190" s="1209" t="s">
        <v>435</v>
      </c>
      <c r="E190" s="1209"/>
      <c r="F190" s="1209"/>
      <c r="G190" s="1209" t="s">
        <v>386</v>
      </c>
      <c r="I190" s="1209" t="s">
        <v>436</v>
      </c>
      <c r="J190" s="1209"/>
      <c r="K190" s="1209" t="s">
        <v>435</v>
      </c>
      <c r="L190" s="1209"/>
      <c r="M190" s="1209"/>
      <c r="N190" s="1209" t="s">
        <v>386</v>
      </c>
      <c r="P190" s="1209" t="s">
        <v>437</v>
      </c>
      <c r="Q190" s="1209"/>
      <c r="R190" s="1209" t="s">
        <v>435</v>
      </c>
      <c r="S190" s="1209"/>
      <c r="T190" s="1209"/>
      <c r="U190" s="1209" t="s">
        <v>386</v>
      </c>
      <c r="W190" s="473" t="s">
        <v>434</v>
      </c>
      <c r="X190" s="474">
        <v>0.6</v>
      </c>
    </row>
    <row r="191" spans="1:24" ht="14.5">
      <c r="A191" s="1212"/>
      <c r="B191" s="1210" t="s">
        <v>438</v>
      </c>
      <c r="C191" s="1210"/>
      <c r="D191" s="475">
        <v>2023</v>
      </c>
      <c r="E191" s="475">
        <v>2020</v>
      </c>
      <c r="F191" s="475">
        <v>2016</v>
      </c>
      <c r="G191" s="1209"/>
      <c r="I191" s="1211" t="s">
        <v>18</v>
      </c>
      <c r="J191" s="1210"/>
      <c r="K191" s="494">
        <f>D191</f>
        <v>2023</v>
      </c>
      <c r="L191" s="494">
        <f>E191</f>
        <v>2020</v>
      </c>
      <c r="M191" s="475">
        <v>2016</v>
      </c>
      <c r="N191" s="1209"/>
      <c r="P191" s="1211" t="s">
        <v>439</v>
      </c>
      <c r="Q191" s="1210"/>
      <c r="R191" s="494">
        <f>K191</f>
        <v>2023</v>
      </c>
      <c r="S191" s="494">
        <f>L191</f>
        <v>2020</v>
      </c>
      <c r="T191" s="475">
        <v>2016</v>
      </c>
      <c r="U191" s="1209"/>
      <c r="W191" s="473" t="s">
        <v>18</v>
      </c>
      <c r="X191" s="474">
        <v>2.2999999999999998</v>
      </c>
    </row>
    <row r="192" spans="1:24" ht="13.5" thickBot="1">
      <c r="A192" s="1212"/>
      <c r="B192" s="422">
        <v>1</v>
      </c>
      <c r="C192" s="476">
        <v>15</v>
      </c>
      <c r="D192" s="476">
        <v>0.3</v>
      </c>
      <c r="E192" s="476">
        <v>9.9999999999999995E-7</v>
      </c>
      <c r="F192" s="488"/>
      <c r="G192" s="478">
        <f>0.5*(MAX(D192:F192)-MIN(D192:F192))</f>
        <v>0.14999950000000001</v>
      </c>
      <c r="I192" s="422">
        <v>1</v>
      </c>
      <c r="J192" s="476">
        <v>35</v>
      </c>
      <c r="K192" s="476">
        <v>-3.2</v>
      </c>
      <c r="L192" s="476">
        <v>-0.4</v>
      </c>
      <c r="M192" s="488"/>
      <c r="N192" s="478">
        <f>0.5*(MAX(K192:M192)-MIN(K192:M192))</f>
        <v>1.4000000000000001</v>
      </c>
      <c r="P192" s="422">
        <v>1</v>
      </c>
      <c r="Q192" s="476">
        <v>960</v>
      </c>
      <c r="R192" s="479">
        <v>4.4000000000000004</v>
      </c>
      <c r="S192" s="479">
        <v>-1.5</v>
      </c>
      <c r="T192" s="488"/>
      <c r="U192" s="478">
        <f>0.5*(MAX(R192:T192)-MIN(R192:T192))</f>
        <v>2.95</v>
      </c>
      <c r="W192" s="480" t="s">
        <v>439</v>
      </c>
      <c r="X192" s="481">
        <v>2.1</v>
      </c>
    </row>
    <row r="193" spans="1:24" ht="13">
      <c r="A193" s="1212"/>
      <c r="B193" s="422">
        <v>2</v>
      </c>
      <c r="C193" s="476">
        <v>20</v>
      </c>
      <c r="D193" s="476">
        <v>0.2</v>
      </c>
      <c r="E193" s="476">
        <v>-0.1</v>
      </c>
      <c r="F193" s="488"/>
      <c r="G193" s="478">
        <f t="shared" ref="G193:G198" si="51">0.5*(MAX(D193:F193)-MIN(D193:F193))</f>
        <v>0.15000000000000002</v>
      </c>
      <c r="I193" s="422">
        <v>2</v>
      </c>
      <c r="J193" s="476">
        <v>40</v>
      </c>
      <c r="K193" s="476">
        <v>-2.9</v>
      </c>
      <c r="L193" s="476">
        <v>-0.2</v>
      </c>
      <c r="M193" s="488"/>
      <c r="N193" s="478">
        <f t="shared" ref="N193:N198" si="52">0.5*(MAX(K193:M193)-MIN(K193:M193))</f>
        <v>1.3499999999999999</v>
      </c>
      <c r="P193" s="422">
        <v>2</v>
      </c>
      <c r="Q193" s="476">
        <v>970</v>
      </c>
      <c r="R193" s="479">
        <v>4.4000000000000004</v>
      </c>
      <c r="S193" s="479">
        <v>-1.3</v>
      </c>
      <c r="T193" s="488"/>
      <c r="U193" s="478">
        <f t="shared" ref="U193:U198" si="53">0.5*(MAX(R193:T193)-MIN(R193:T193))</f>
        <v>2.85</v>
      </c>
    </row>
    <row r="194" spans="1:24" ht="13">
      <c r="A194" s="1212"/>
      <c r="B194" s="422">
        <v>3</v>
      </c>
      <c r="C194" s="476">
        <v>25</v>
      </c>
      <c r="D194" s="476">
        <v>0.2</v>
      </c>
      <c r="E194" s="476">
        <v>-0.2</v>
      </c>
      <c r="F194" s="488"/>
      <c r="G194" s="478">
        <f t="shared" si="51"/>
        <v>0.2</v>
      </c>
      <c r="I194" s="422">
        <v>3</v>
      </c>
      <c r="J194" s="476">
        <v>50</v>
      </c>
      <c r="K194" s="476">
        <v>-2.4</v>
      </c>
      <c r="L194" s="476">
        <v>-0.2</v>
      </c>
      <c r="M194" s="488"/>
      <c r="N194" s="478">
        <f t="shared" si="52"/>
        <v>1.0999999999999999</v>
      </c>
      <c r="P194" s="422">
        <v>3</v>
      </c>
      <c r="Q194" s="482">
        <v>980</v>
      </c>
      <c r="R194" s="483">
        <v>4.3</v>
      </c>
      <c r="S194" s="483">
        <v>-1.1000000000000001</v>
      </c>
      <c r="T194" s="488"/>
      <c r="U194" s="478">
        <f t="shared" si="53"/>
        <v>2.7</v>
      </c>
    </row>
    <row r="195" spans="1:24" ht="13">
      <c r="A195" s="1212"/>
      <c r="B195" s="422">
        <v>4</v>
      </c>
      <c r="C195" s="482">
        <v>30</v>
      </c>
      <c r="D195" s="482">
        <v>0.3</v>
      </c>
      <c r="E195" s="482">
        <v>-0.2</v>
      </c>
      <c r="F195" s="488"/>
      <c r="G195" s="478">
        <f t="shared" si="51"/>
        <v>0.25</v>
      </c>
      <c r="I195" s="422">
        <v>4</v>
      </c>
      <c r="J195" s="482">
        <v>60</v>
      </c>
      <c r="K195" s="482">
        <v>-2.1</v>
      </c>
      <c r="L195" s="482">
        <v>-0.2</v>
      </c>
      <c r="M195" s="488"/>
      <c r="N195" s="478">
        <f t="shared" si="52"/>
        <v>0.95000000000000007</v>
      </c>
      <c r="P195" s="422">
        <v>4</v>
      </c>
      <c r="Q195" s="482">
        <v>990</v>
      </c>
      <c r="R195" s="483">
        <v>4.3</v>
      </c>
      <c r="S195" s="483">
        <v>-0.9</v>
      </c>
      <c r="T195" s="488"/>
      <c r="U195" s="478">
        <f t="shared" si="53"/>
        <v>2.6</v>
      </c>
    </row>
    <row r="196" spans="1:24" ht="13">
      <c r="A196" s="1212"/>
      <c r="B196" s="422">
        <v>5</v>
      </c>
      <c r="C196" s="482">
        <v>35</v>
      </c>
      <c r="D196" s="482">
        <v>0.4</v>
      </c>
      <c r="E196" s="482">
        <v>-0.3</v>
      </c>
      <c r="F196" s="488"/>
      <c r="G196" s="478">
        <f t="shared" si="51"/>
        <v>0.35</v>
      </c>
      <c r="I196" s="422">
        <v>5</v>
      </c>
      <c r="J196" s="482">
        <v>70</v>
      </c>
      <c r="K196" s="482">
        <v>-2.2000000000000002</v>
      </c>
      <c r="L196" s="482">
        <v>-0.3</v>
      </c>
      <c r="M196" s="488"/>
      <c r="N196" s="478">
        <f t="shared" si="52"/>
        <v>0.95000000000000007</v>
      </c>
      <c r="P196" s="422">
        <v>5</v>
      </c>
      <c r="Q196" s="482">
        <v>1000</v>
      </c>
      <c r="R196" s="483">
        <v>4.3</v>
      </c>
      <c r="S196" s="483">
        <v>-0.8</v>
      </c>
      <c r="T196" s="488"/>
      <c r="U196" s="478">
        <f t="shared" si="53"/>
        <v>2.5499999999999998</v>
      </c>
    </row>
    <row r="197" spans="1:24" ht="13">
      <c r="A197" s="1212"/>
      <c r="B197" s="422">
        <v>6</v>
      </c>
      <c r="C197" s="482">
        <v>37</v>
      </c>
      <c r="D197" s="482">
        <v>0.4</v>
      </c>
      <c r="E197" s="482">
        <v>-0.3</v>
      </c>
      <c r="F197" s="488"/>
      <c r="G197" s="478">
        <f t="shared" si="51"/>
        <v>0.35</v>
      </c>
      <c r="I197" s="422">
        <v>6</v>
      </c>
      <c r="J197" s="482">
        <v>80</v>
      </c>
      <c r="K197" s="482">
        <v>-2.4</v>
      </c>
      <c r="L197" s="482">
        <v>-0.5</v>
      </c>
      <c r="M197" s="488"/>
      <c r="N197" s="478">
        <f t="shared" si="52"/>
        <v>0.95</v>
      </c>
      <c r="P197" s="422">
        <v>6</v>
      </c>
      <c r="Q197" s="482">
        <v>1010</v>
      </c>
      <c r="R197" s="483">
        <v>4.2</v>
      </c>
      <c r="S197" s="483">
        <v>-0.7</v>
      </c>
      <c r="T197" s="488"/>
      <c r="U197" s="478">
        <f t="shared" si="53"/>
        <v>2.4500000000000002</v>
      </c>
    </row>
    <row r="198" spans="1:24" ht="13">
      <c r="A198" s="1212"/>
      <c r="B198" s="422">
        <v>7</v>
      </c>
      <c r="C198" s="495">
        <v>40</v>
      </c>
      <c r="D198" s="482">
        <v>0.5</v>
      </c>
      <c r="E198" s="482">
        <v>-0.4</v>
      </c>
      <c r="F198" s="488"/>
      <c r="G198" s="478">
        <f t="shared" si="51"/>
        <v>0.45</v>
      </c>
      <c r="I198" s="422">
        <v>7</v>
      </c>
      <c r="J198" s="495">
        <v>90</v>
      </c>
      <c r="K198" s="482">
        <v>-3</v>
      </c>
      <c r="L198" s="482">
        <v>-0.8</v>
      </c>
      <c r="M198" s="488"/>
      <c r="N198" s="478">
        <f t="shared" si="52"/>
        <v>1.1000000000000001</v>
      </c>
      <c r="P198" s="422">
        <v>7</v>
      </c>
      <c r="Q198" s="482">
        <v>1020</v>
      </c>
      <c r="R198" s="483">
        <v>0</v>
      </c>
      <c r="S198" s="483">
        <v>9.9999999999999995E-7</v>
      </c>
      <c r="T198" s="488"/>
      <c r="U198" s="478">
        <f t="shared" si="53"/>
        <v>4.9999999999999998E-7</v>
      </c>
    </row>
    <row r="199" spans="1:24" ht="13" thickBot="1">
      <c r="A199" s="497"/>
      <c r="C199" s="498"/>
      <c r="D199" s="457"/>
      <c r="E199" s="499"/>
      <c r="F199" s="498"/>
      <c r="I199" s="498"/>
      <c r="J199" s="457"/>
      <c r="K199" s="499"/>
      <c r="L199" s="498"/>
      <c r="O199" s="457"/>
      <c r="P199" s="499"/>
      <c r="Q199" s="499"/>
      <c r="R199" s="498"/>
    </row>
    <row r="200" spans="1:24">
      <c r="A200" s="1212">
        <v>19</v>
      </c>
      <c r="B200" s="1213" t="s">
        <v>457</v>
      </c>
      <c r="C200" s="1213"/>
      <c r="D200" s="1213"/>
      <c r="E200" s="1213"/>
      <c r="F200" s="1213"/>
      <c r="G200" s="1213"/>
      <c r="I200" s="1213" t="str">
        <f>B200</f>
        <v>KOREKSI EXTECH A.100615</v>
      </c>
      <c r="J200" s="1213"/>
      <c r="K200" s="1213"/>
      <c r="L200" s="1213"/>
      <c r="M200" s="1213"/>
      <c r="N200" s="1213"/>
      <c r="P200" s="1213" t="str">
        <f>I200</f>
        <v>KOREKSI EXTECH A.100615</v>
      </c>
      <c r="Q200" s="1213"/>
      <c r="R200" s="1213"/>
      <c r="S200" s="1213"/>
      <c r="T200" s="1213"/>
      <c r="U200" s="1213"/>
      <c r="W200" s="1207" t="s">
        <v>397</v>
      </c>
      <c r="X200" s="1208"/>
    </row>
    <row r="201" spans="1:24" ht="13">
      <c r="A201" s="1212"/>
      <c r="B201" s="1209" t="s">
        <v>434</v>
      </c>
      <c r="C201" s="1209"/>
      <c r="D201" s="1209" t="s">
        <v>435</v>
      </c>
      <c r="E201" s="1209"/>
      <c r="F201" s="1209"/>
      <c r="G201" s="1209" t="s">
        <v>386</v>
      </c>
      <c r="I201" s="1209" t="s">
        <v>436</v>
      </c>
      <c r="J201" s="1209"/>
      <c r="K201" s="1209" t="s">
        <v>435</v>
      </c>
      <c r="L201" s="1209"/>
      <c r="M201" s="1209"/>
      <c r="N201" s="1209" t="s">
        <v>386</v>
      </c>
      <c r="P201" s="1209" t="s">
        <v>437</v>
      </c>
      <c r="Q201" s="1209"/>
      <c r="R201" s="1209" t="s">
        <v>435</v>
      </c>
      <c r="S201" s="1209"/>
      <c r="T201" s="1209"/>
      <c r="U201" s="1209" t="s">
        <v>386</v>
      </c>
      <c r="W201" s="473" t="s">
        <v>434</v>
      </c>
      <c r="X201" s="474">
        <v>0.5</v>
      </c>
    </row>
    <row r="202" spans="1:24" ht="14.5">
      <c r="A202" s="1212"/>
      <c r="B202" s="1210" t="s">
        <v>438</v>
      </c>
      <c r="C202" s="1210"/>
      <c r="D202" s="475">
        <v>2023</v>
      </c>
      <c r="E202" s="475">
        <v>2021</v>
      </c>
      <c r="F202" s="475">
        <v>2016</v>
      </c>
      <c r="G202" s="1209"/>
      <c r="I202" s="1211" t="s">
        <v>18</v>
      </c>
      <c r="J202" s="1210"/>
      <c r="K202" s="494">
        <f>D202</f>
        <v>2023</v>
      </c>
      <c r="L202" s="494">
        <f>E202</f>
        <v>2021</v>
      </c>
      <c r="M202" s="475">
        <v>2016</v>
      </c>
      <c r="N202" s="1209"/>
      <c r="P202" s="1211" t="s">
        <v>439</v>
      </c>
      <c r="Q202" s="1210"/>
      <c r="R202" s="494">
        <f>K202</f>
        <v>2023</v>
      </c>
      <c r="S202" s="494">
        <f>L202</f>
        <v>2021</v>
      </c>
      <c r="T202" s="475">
        <v>2016</v>
      </c>
      <c r="U202" s="1209"/>
      <c r="W202" s="473" t="s">
        <v>18</v>
      </c>
      <c r="X202" s="474">
        <v>2.2999999999999998</v>
      </c>
    </row>
    <row r="203" spans="1:24" ht="13.5" thickBot="1">
      <c r="A203" s="1212"/>
      <c r="B203" s="422">
        <v>1</v>
      </c>
      <c r="C203" s="476">
        <v>15</v>
      </c>
      <c r="D203" s="476">
        <v>0.2</v>
      </c>
      <c r="E203" s="476">
        <v>9.9999999999999995E-7</v>
      </c>
      <c r="F203" s="488"/>
      <c r="G203" s="478">
        <f>0.5*(MAX(D203:F203)-MIN(D203:F203))</f>
        <v>9.9999500000000005E-2</v>
      </c>
      <c r="I203" s="422">
        <v>1</v>
      </c>
      <c r="J203" s="476">
        <v>35</v>
      </c>
      <c r="K203" s="476">
        <v>-2.2000000000000002</v>
      </c>
      <c r="L203" s="476">
        <v>-1.5</v>
      </c>
      <c r="M203" s="488"/>
      <c r="N203" s="478">
        <f>0.5*(MAX(K203:M203)-MIN(K203:M203))</f>
        <v>0.35000000000000009</v>
      </c>
      <c r="P203" s="422">
        <v>1</v>
      </c>
      <c r="Q203" s="476">
        <v>750</v>
      </c>
      <c r="R203" s="479">
        <v>4.5</v>
      </c>
      <c r="S203" s="479">
        <v>2.5</v>
      </c>
      <c r="T203" s="488"/>
      <c r="U203" s="478">
        <f>0.5*(MAX(R203:T203)-MIN(R203:T203))</f>
        <v>1</v>
      </c>
      <c r="W203" s="480" t="s">
        <v>439</v>
      </c>
      <c r="X203" s="481">
        <v>2.1</v>
      </c>
    </row>
    <row r="204" spans="1:24" ht="13">
      <c r="A204" s="1212"/>
      <c r="B204" s="422">
        <v>2</v>
      </c>
      <c r="C204" s="476">
        <v>20</v>
      </c>
      <c r="D204" s="476">
        <v>0.3</v>
      </c>
      <c r="E204" s="476">
        <v>0.1</v>
      </c>
      <c r="F204" s="488"/>
      <c r="G204" s="478">
        <f t="shared" ref="G204:G209" si="54">0.5*(MAX(D204:F204)-MIN(D204:F204))</f>
        <v>9.9999999999999992E-2</v>
      </c>
      <c r="I204" s="422">
        <v>2</v>
      </c>
      <c r="J204" s="476">
        <v>40</v>
      </c>
      <c r="K204" s="476">
        <v>-2.4</v>
      </c>
      <c r="L204" s="476">
        <v>-0.8</v>
      </c>
      <c r="M204" s="488"/>
      <c r="N204" s="478">
        <f t="shared" ref="N204:N209" si="55">0.5*(MAX(K204:M204)-MIN(K204:M204))</f>
        <v>0.79999999999999993</v>
      </c>
      <c r="P204" s="422">
        <v>2</v>
      </c>
      <c r="Q204" s="476">
        <v>800</v>
      </c>
      <c r="R204" s="479">
        <v>4.5</v>
      </c>
      <c r="S204" s="479">
        <v>2.5</v>
      </c>
      <c r="T204" s="488"/>
      <c r="U204" s="478">
        <f t="shared" ref="U204:U209" si="56">0.5*(MAX(R204:T204)-MIN(R204:T204))</f>
        <v>1</v>
      </c>
    </row>
    <row r="205" spans="1:24" ht="13">
      <c r="A205" s="1212"/>
      <c r="B205" s="422">
        <v>3</v>
      </c>
      <c r="C205" s="476">
        <v>25</v>
      </c>
      <c r="D205" s="476">
        <v>0.4</v>
      </c>
      <c r="E205" s="476">
        <v>9.9999999999999995E-7</v>
      </c>
      <c r="F205" s="488"/>
      <c r="G205" s="478">
        <f t="shared" si="54"/>
        <v>0.19999950000000002</v>
      </c>
      <c r="I205" s="422">
        <v>3</v>
      </c>
      <c r="J205" s="476">
        <v>50</v>
      </c>
      <c r="K205" s="476">
        <v>-2.7</v>
      </c>
      <c r="L205" s="476">
        <v>-0.2</v>
      </c>
      <c r="M205" s="488"/>
      <c r="N205" s="478">
        <f t="shared" si="55"/>
        <v>1.25</v>
      </c>
      <c r="P205" s="422">
        <v>3</v>
      </c>
      <c r="Q205" s="476">
        <v>850</v>
      </c>
      <c r="R205" s="479">
        <v>4.4000000000000004</v>
      </c>
      <c r="S205" s="479">
        <v>2.4</v>
      </c>
      <c r="T205" s="488"/>
      <c r="U205" s="478">
        <f t="shared" si="56"/>
        <v>1.0000000000000002</v>
      </c>
    </row>
    <row r="206" spans="1:24" ht="13">
      <c r="A206" s="1212"/>
      <c r="B206" s="422">
        <v>4</v>
      </c>
      <c r="C206" s="482">
        <v>30</v>
      </c>
      <c r="D206" s="482">
        <v>0.5</v>
      </c>
      <c r="E206" s="482">
        <v>-0.1</v>
      </c>
      <c r="F206" s="488"/>
      <c r="G206" s="478">
        <f t="shared" si="54"/>
        <v>0.3</v>
      </c>
      <c r="I206" s="422">
        <v>4</v>
      </c>
      <c r="J206" s="482">
        <v>60</v>
      </c>
      <c r="K206" s="482">
        <v>-2.7</v>
      </c>
      <c r="L206" s="482">
        <v>0.4</v>
      </c>
      <c r="M206" s="488"/>
      <c r="N206" s="478">
        <f t="shared" si="55"/>
        <v>1.55</v>
      </c>
      <c r="P206" s="422">
        <v>4</v>
      </c>
      <c r="Q206" s="482">
        <v>900</v>
      </c>
      <c r="R206" s="483">
        <v>4.4000000000000004</v>
      </c>
      <c r="S206" s="483">
        <v>2.2999999999999998</v>
      </c>
      <c r="T206" s="488"/>
      <c r="U206" s="478">
        <f t="shared" si="56"/>
        <v>1.0500000000000003</v>
      </c>
    </row>
    <row r="207" spans="1:24" ht="13">
      <c r="A207" s="1212"/>
      <c r="B207" s="422">
        <v>5</v>
      </c>
      <c r="C207" s="482">
        <v>35</v>
      </c>
      <c r="D207" s="482">
        <v>0.5</v>
      </c>
      <c r="E207" s="482">
        <v>-0.1</v>
      </c>
      <c r="F207" s="488"/>
      <c r="G207" s="478">
        <f t="shared" si="54"/>
        <v>0.3</v>
      </c>
      <c r="I207" s="422">
        <v>5</v>
      </c>
      <c r="J207" s="482">
        <v>70</v>
      </c>
      <c r="K207" s="482">
        <v>-2.6</v>
      </c>
      <c r="L207" s="482">
        <v>-0.7</v>
      </c>
      <c r="M207" s="488"/>
      <c r="N207" s="478">
        <f t="shared" si="55"/>
        <v>0.95000000000000007</v>
      </c>
      <c r="P207" s="422">
        <v>5</v>
      </c>
      <c r="Q207" s="482">
        <v>950</v>
      </c>
      <c r="R207" s="483">
        <v>4.4000000000000004</v>
      </c>
      <c r="S207" s="483">
        <v>2.4</v>
      </c>
      <c r="T207" s="488"/>
      <c r="U207" s="478">
        <f t="shared" si="56"/>
        <v>1.0000000000000002</v>
      </c>
    </row>
    <row r="208" spans="1:24" ht="13">
      <c r="A208" s="1212"/>
      <c r="B208" s="422">
        <v>6</v>
      </c>
      <c r="C208" s="482">
        <v>37</v>
      </c>
      <c r="D208" s="482">
        <v>0.5</v>
      </c>
      <c r="E208" s="482">
        <v>9.9999999999999995E-7</v>
      </c>
      <c r="F208" s="488"/>
      <c r="G208" s="478">
        <f t="shared" si="54"/>
        <v>0.24999950000000001</v>
      </c>
      <c r="I208" s="422">
        <v>6</v>
      </c>
      <c r="J208" s="482">
        <v>80</v>
      </c>
      <c r="K208" s="482">
        <v>-2.2000000000000002</v>
      </c>
      <c r="L208" s="482">
        <v>-0.9</v>
      </c>
      <c r="M208" s="488"/>
      <c r="N208" s="478">
        <f t="shared" si="55"/>
        <v>0.65000000000000013</v>
      </c>
      <c r="P208" s="422">
        <v>6</v>
      </c>
      <c r="Q208" s="482">
        <v>1000</v>
      </c>
      <c r="R208" s="483">
        <v>4.3</v>
      </c>
      <c r="S208" s="483">
        <v>2.2000000000000002</v>
      </c>
      <c r="T208" s="488"/>
      <c r="U208" s="478">
        <f t="shared" si="56"/>
        <v>1.0499999999999998</v>
      </c>
    </row>
    <row r="209" spans="1:31" ht="13">
      <c r="A209" s="1212"/>
      <c r="B209" s="422">
        <v>7</v>
      </c>
      <c r="C209" s="495">
        <v>40</v>
      </c>
      <c r="D209" s="482">
        <v>0.6</v>
      </c>
      <c r="E209" s="482">
        <v>0.2</v>
      </c>
      <c r="F209" s="488"/>
      <c r="G209" s="478">
        <f t="shared" si="54"/>
        <v>0.19999999999999998</v>
      </c>
      <c r="I209" s="422">
        <v>7</v>
      </c>
      <c r="J209" s="495">
        <v>90</v>
      </c>
      <c r="K209" s="482">
        <v>-1.7</v>
      </c>
      <c r="L209" s="482">
        <v>-0.6</v>
      </c>
      <c r="M209" s="488"/>
      <c r="N209" s="478">
        <f t="shared" si="55"/>
        <v>0.55000000000000004</v>
      </c>
      <c r="P209" s="422">
        <v>7</v>
      </c>
      <c r="Q209" s="482">
        <v>1050</v>
      </c>
      <c r="R209" s="483">
        <v>0</v>
      </c>
      <c r="S209" s="483">
        <v>2.2999999999999998</v>
      </c>
      <c r="T209" s="488"/>
      <c r="U209" s="478">
        <f t="shared" si="56"/>
        <v>1.1499999999999999</v>
      </c>
    </row>
    <row r="210" spans="1:31" ht="13" thickBot="1">
      <c r="A210" s="497"/>
      <c r="C210" s="498"/>
      <c r="D210" s="457"/>
      <c r="E210" s="499"/>
      <c r="F210" s="498"/>
      <c r="J210" s="498"/>
      <c r="K210" s="457"/>
      <c r="L210" s="499"/>
      <c r="M210" s="498"/>
      <c r="Q210" s="457"/>
      <c r="R210" s="499"/>
      <c r="S210" s="499"/>
      <c r="T210" s="498"/>
    </row>
    <row r="211" spans="1:31">
      <c r="A211" s="1222">
        <v>20</v>
      </c>
      <c r="B211" s="1226">
        <v>20</v>
      </c>
      <c r="C211" s="1226"/>
      <c r="D211" s="1226"/>
      <c r="E211" s="1226"/>
      <c r="F211" s="1226"/>
      <c r="G211" s="1226"/>
      <c r="H211" s="298"/>
      <c r="I211" s="1226">
        <f>B211</f>
        <v>20</v>
      </c>
      <c r="J211" s="1226"/>
      <c r="K211" s="1226"/>
      <c r="L211" s="1226"/>
      <c r="M211" s="1226"/>
      <c r="N211" s="1226"/>
      <c r="O211" s="298"/>
      <c r="P211" s="1226">
        <f>I211</f>
        <v>20</v>
      </c>
      <c r="Q211" s="1226"/>
      <c r="R211" s="1226"/>
      <c r="S211" s="1226"/>
      <c r="T211" s="1226"/>
      <c r="U211" s="1226"/>
      <c r="W211" s="1207" t="s">
        <v>397</v>
      </c>
      <c r="X211" s="1208"/>
    </row>
    <row r="212" spans="1:31" ht="13">
      <c r="A212" s="1222"/>
      <c r="B212" s="1209" t="s">
        <v>434</v>
      </c>
      <c r="C212" s="1209"/>
      <c r="D212" s="1209" t="s">
        <v>435</v>
      </c>
      <c r="E212" s="1209"/>
      <c r="F212" s="1209"/>
      <c r="G212" s="1209" t="s">
        <v>386</v>
      </c>
      <c r="I212" s="1209" t="s">
        <v>436</v>
      </c>
      <c r="J212" s="1209"/>
      <c r="K212" s="1209" t="s">
        <v>435</v>
      </c>
      <c r="L212" s="1209"/>
      <c r="M212" s="1209"/>
      <c r="N212" s="1209" t="s">
        <v>386</v>
      </c>
      <c r="P212" s="1209" t="s">
        <v>437</v>
      </c>
      <c r="Q212" s="1209"/>
      <c r="R212" s="1209" t="s">
        <v>435</v>
      </c>
      <c r="S212" s="1209"/>
      <c r="T212" s="1209"/>
      <c r="U212" s="1209" t="s">
        <v>386</v>
      </c>
      <c r="W212" s="473" t="s">
        <v>434</v>
      </c>
      <c r="X212" s="474">
        <v>0</v>
      </c>
    </row>
    <row r="213" spans="1:31" ht="14.5">
      <c r="A213" s="1222"/>
      <c r="B213" s="1210" t="s">
        <v>438</v>
      </c>
      <c r="C213" s="1210"/>
      <c r="D213" s="475">
        <v>2017</v>
      </c>
      <c r="E213" s="493" t="s">
        <v>156</v>
      </c>
      <c r="F213" s="475">
        <v>2016</v>
      </c>
      <c r="G213" s="1209"/>
      <c r="I213" s="1211" t="s">
        <v>18</v>
      </c>
      <c r="J213" s="1210"/>
      <c r="K213" s="494">
        <f>D213</f>
        <v>2017</v>
      </c>
      <c r="L213" s="494" t="str">
        <f>E213</f>
        <v>-</v>
      </c>
      <c r="M213" s="475">
        <v>2016</v>
      </c>
      <c r="N213" s="1209"/>
      <c r="P213" s="1211" t="s">
        <v>439</v>
      </c>
      <c r="Q213" s="1210"/>
      <c r="R213" s="494">
        <f>K213</f>
        <v>2017</v>
      </c>
      <c r="S213" s="494" t="str">
        <f>L213</f>
        <v>-</v>
      </c>
      <c r="T213" s="475">
        <v>2016</v>
      </c>
      <c r="U213" s="1209"/>
      <c r="W213" s="473" t="s">
        <v>18</v>
      </c>
      <c r="X213" s="474">
        <v>0</v>
      </c>
    </row>
    <row r="214" spans="1:31" ht="13.5" thickBot="1">
      <c r="A214" s="1222"/>
      <c r="B214" s="422">
        <v>1</v>
      </c>
      <c r="C214" s="476">
        <v>14.8</v>
      </c>
      <c r="D214" s="476">
        <v>9.9999999999999995E-7</v>
      </c>
      <c r="E214" s="477" t="s">
        <v>156</v>
      </c>
      <c r="F214" s="476">
        <v>9.9999999999999995E-7</v>
      </c>
      <c r="G214" s="478">
        <f>0.5*(MAX(D214:F214)-MIN(D214:F214))</f>
        <v>0</v>
      </c>
      <c r="I214" s="422">
        <v>1</v>
      </c>
      <c r="J214" s="476">
        <v>45.7</v>
      </c>
      <c r="K214" s="476">
        <v>9.9999999999999995E-7</v>
      </c>
      <c r="L214" s="477" t="s">
        <v>156</v>
      </c>
      <c r="M214" s="488"/>
      <c r="N214" s="478">
        <f>0.5*(MAX(K214:M214)-MIN(K214:M214))</f>
        <v>0</v>
      </c>
      <c r="P214" s="422">
        <v>1</v>
      </c>
      <c r="Q214" s="476">
        <v>750</v>
      </c>
      <c r="R214" s="479">
        <v>9.9999999999999995E-7</v>
      </c>
      <c r="S214" s="477" t="s">
        <v>156</v>
      </c>
      <c r="T214" s="476">
        <v>9.9999999999999995E-7</v>
      </c>
      <c r="U214" s="478">
        <f>0.5*(MAX(R214:T214)-MIN(R214:T214))</f>
        <v>0</v>
      </c>
      <c r="W214" s="480" t="s">
        <v>439</v>
      </c>
      <c r="X214" s="481">
        <v>0</v>
      </c>
    </row>
    <row r="215" spans="1:31" ht="13">
      <c r="A215" s="1222"/>
      <c r="B215" s="422">
        <v>2</v>
      </c>
      <c r="C215" s="476">
        <v>19.7</v>
      </c>
      <c r="D215" s="476">
        <v>9.9999999999999995E-7</v>
      </c>
      <c r="E215" s="477" t="s">
        <v>156</v>
      </c>
      <c r="F215" s="476">
        <v>9.9999999999999995E-7</v>
      </c>
      <c r="G215" s="478">
        <f t="shared" ref="G215:G220" si="57">0.5*(MAX(D215:F215)-MIN(D215:F215))</f>
        <v>0</v>
      </c>
      <c r="I215" s="422">
        <v>2</v>
      </c>
      <c r="J215" s="476">
        <v>54.3</v>
      </c>
      <c r="K215" s="476">
        <v>9.9999999999999995E-7</v>
      </c>
      <c r="L215" s="477" t="s">
        <v>156</v>
      </c>
      <c r="M215" s="488"/>
      <c r="N215" s="478">
        <f t="shared" ref="N215:N220" si="58">0.5*(MAX(K215:M215)-MIN(K215:M215))</f>
        <v>0</v>
      </c>
      <c r="P215" s="422">
        <v>2</v>
      </c>
      <c r="Q215" s="476">
        <v>800</v>
      </c>
      <c r="R215" s="479">
        <v>9.9999999999999995E-7</v>
      </c>
      <c r="S215" s="477" t="s">
        <v>156</v>
      </c>
      <c r="T215" s="476">
        <v>9.9999999999999995E-7</v>
      </c>
      <c r="U215" s="478">
        <f t="shared" ref="U215:U220" si="59">0.5*(MAX(R215:T215)-MIN(R215:T215))</f>
        <v>0</v>
      </c>
    </row>
    <row r="216" spans="1:31" ht="13">
      <c r="A216" s="1222"/>
      <c r="B216" s="422">
        <v>3</v>
      </c>
      <c r="C216" s="476">
        <v>24.6</v>
      </c>
      <c r="D216" s="476">
        <v>9.9999999999999995E-7</v>
      </c>
      <c r="E216" s="477" t="s">
        <v>156</v>
      </c>
      <c r="F216" s="476">
        <v>9.9999999999999995E-7</v>
      </c>
      <c r="G216" s="478">
        <f t="shared" si="57"/>
        <v>0</v>
      </c>
      <c r="I216" s="422">
        <v>3</v>
      </c>
      <c r="J216" s="476">
        <v>62.5</v>
      </c>
      <c r="K216" s="476">
        <v>9.9999999999999995E-7</v>
      </c>
      <c r="L216" s="477" t="s">
        <v>156</v>
      </c>
      <c r="M216" s="488"/>
      <c r="N216" s="478">
        <f t="shared" si="58"/>
        <v>0</v>
      </c>
      <c r="P216" s="422">
        <v>3</v>
      </c>
      <c r="Q216" s="476">
        <v>850</v>
      </c>
      <c r="R216" s="479">
        <v>9.9999999999999995E-7</v>
      </c>
      <c r="S216" s="477" t="s">
        <v>156</v>
      </c>
      <c r="T216" s="476">
        <v>9.9999999999999995E-7</v>
      </c>
      <c r="U216" s="478">
        <f t="shared" si="59"/>
        <v>0</v>
      </c>
    </row>
    <row r="217" spans="1:31" ht="13">
      <c r="A217" s="1222"/>
      <c r="B217" s="422">
        <v>4</v>
      </c>
      <c r="C217" s="482">
        <v>29.5</v>
      </c>
      <c r="D217" s="476">
        <v>9.9999999999999995E-7</v>
      </c>
      <c r="E217" s="483" t="s">
        <v>156</v>
      </c>
      <c r="F217" s="476">
        <v>9.9999999999999995E-7</v>
      </c>
      <c r="G217" s="478">
        <f t="shared" si="57"/>
        <v>0</v>
      </c>
      <c r="I217" s="422">
        <v>4</v>
      </c>
      <c r="J217" s="482">
        <v>71.5</v>
      </c>
      <c r="K217" s="476">
        <v>9.9999999999999995E-7</v>
      </c>
      <c r="L217" s="483" t="s">
        <v>156</v>
      </c>
      <c r="M217" s="488"/>
      <c r="N217" s="478">
        <f t="shared" si="58"/>
        <v>0</v>
      </c>
      <c r="P217" s="422">
        <v>4</v>
      </c>
      <c r="Q217" s="482">
        <v>900</v>
      </c>
      <c r="R217" s="479">
        <v>9.9999999999999995E-7</v>
      </c>
      <c r="S217" s="483" t="s">
        <v>156</v>
      </c>
      <c r="T217" s="476">
        <v>9.9999999999999995E-7</v>
      </c>
      <c r="U217" s="478">
        <f t="shared" si="59"/>
        <v>0</v>
      </c>
    </row>
    <row r="218" spans="1:31" ht="13">
      <c r="A218" s="1222"/>
      <c r="B218" s="422">
        <v>5</v>
      </c>
      <c r="C218" s="482">
        <v>34.5</v>
      </c>
      <c r="D218" s="476">
        <v>9.9999999999999995E-7</v>
      </c>
      <c r="E218" s="483" t="s">
        <v>156</v>
      </c>
      <c r="F218" s="476">
        <v>9.9999999999999995E-7</v>
      </c>
      <c r="G218" s="478">
        <f t="shared" si="57"/>
        <v>0</v>
      </c>
      <c r="I218" s="422">
        <v>5</v>
      </c>
      <c r="J218" s="482">
        <v>80.8</v>
      </c>
      <c r="K218" s="476">
        <v>9.9999999999999995E-7</v>
      </c>
      <c r="L218" s="483" t="s">
        <v>156</v>
      </c>
      <c r="M218" s="488"/>
      <c r="N218" s="478">
        <f t="shared" si="58"/>
        <v>0</v>
      </c>
      <c r="P218" s="422">
        <v>5</v>
      </c>
      <c r="Q218" s="482">
        <v>1000</v>
      </c>
      <c r="R218" s="479">
        <v>9.9999999999999995E-7</v>
      </c>
      <c r="S218" s="483" t="s">
        <v>156</v>
      </c>
      <c r="T218" s="476">
        <v>9.9999999999999995E-7</v>
      </c>
      <c r="U218" s="478">
        <f t="shared" si="59"/>
        <v>0</v>
      </c>
    </row>
    <row r="219" spans="1:31" ht="13">
      <c r="A219" s="1222"/>
      <c r="B219" s="422">
        <v>6</v>
      </c>
      <c r="C219" s="482">
        <v>39.5</v>
      </c>
      <c r="D219" s="476">
        <v>9.9999999999999995E-7</v>
      </c>
      <c r="E219" s="483" t="s">
        <v>156</v>
      </c>
      <c r="F219" s="476">
        <v>9.9999999999999995E-7</v>
      </c>
      <c r="G219" s="478">
        <f t="shared" si="57"/>
        <v>0</v>
      </c>
      <c r="I219" s="422">
        <v>6</v>
      </c>
      <c r="J219" s="482">
        <v>88.7</v>
      </c>
      <c r="K219" s="476">
        <v>9.9999999999999995E-7</v>
      </c>
      <c r="L219" s="483" t="s">
        <v>156</v>
      </c>
      <c r="M219" s="488"/>
      <c r="N219" s="478">
        <f t="shared" si="58"/>
        <v>0</v>
      </c>
      <c r="P219" s="422">
        <v>6</v>
      </c>
      <c r="Q219" s="482">
        <v>1005</v>
      </c>
      <c r="R219" s="479">
        <v>9.9999999999999995E-7</v>
      </c>
      <c r="S219" s="483" t="s">
        <v>156</v>
      </c>
      <c r="T219" s="476">
        <v>9.9999999999999995E-7</v>
      </c>
      <c r="U219" s="478">
        <f t="shared" si="59"/>
        <v>0</v>
      </c>
    </row>
    <row r="220" spans="1:31" ht="13">
      <c r="A220" s="1222"/>
      <c r="B220" s="422">
        <v>7</v>
      </c>
      <c r="C220" s="495">
        <v>40</v>
      </c>
      <c r="D220" s="476">
        <v>9.9999999999999995E-7</v>
      </c>
      <c r="E220" s="483" t="s">
        <v>156</v>
      </c>
      <c r="F220" s="476">
        <v>9.9999999999999995E-7</v>
      </c>
      <c r="G220" s="478">
        <f t="shared" si="57"/>
        <v>0</v>
      </c>
      <c r="I220" s="422">
        <v>7</v>
      </c>
      <c r="J220" s="495">
        <v>90</v>
      </c>
      <c r="K220" s="476">
        <v>9.9999999999999995E-7</v>
      </c>
      <c r="L220" s="483" t="s">
        <v>156</v>
      </c>
      <c r="M220" s="488"/>
      <c r="N220" s="478">
        <f t="shared" si="58"/>
        <v>0</v>
      </c>
      <c r="P220" s="422">
        <v>7</v>
      </c>
      <c r="Q220" s="482">
        <v>1020</v>
      </c>
      <c r="R220" s="479">
        <v>9.9999999999999995E-7</v>
      </c>
      <c r="S220" s="483" t="s">
        <v>156</v>
      </c>
      <c r="T220" s="476">
        <v>9.9999999999999995E-7</v>
      </c>
      <c r="U220" s="478">
        <f t="shared" si="59"/>
        <v>0</v>
      </c>
    </row>
    <row r="221" spans="1:31" ht="13.5" thickBot="1">
      <c r="A221" s="500"/>
      <c r="B221" s="1242"/>
      <c r="C221" s="1242"/>
      <c r="D221" s="1242"/>
      <c r="E221" s="1242"/>
      <c r="F221" s="1242"/>
      <c r="G221" s="1242"/>
      <c r="H221" s="1242"/>
      <c r="I221" s="1242"/>
      <c r="J221" s="1242"/>
      <c r="K221" s="1242"/>
      <c r="L221" s="1242"/>
      <c r="M221" s="1242"/>
      <c r="N221" s="1242"/>
      <c r="O221" s="1242"/>
      <c r="P221" s="1242"/>
      <c r="Q221" s="1242"/>
      <c r="R221" s="1242"/>
      <c r="S221" s="1242"/>
      <c r="T221" s="1242"/>
      <c r="U221" s="1242"/>
    </row>
    <row r="222" spans="1:31" ht="13" hidden="1">
      <c r="A222" s="487"/>
      <c r="B222" s="487"/>
      <c r="C222" s="487"/>
      <c r="D222" s="487"/>
      <c r="E222" s="487"/>
      <c r="F222" s="487"/>
      <c r="G222" s="487"/>
      <c r="H222" s="487"/>
      <c r="I222" s="487"/>
      <c r="J222" s="487"/>
      <c r="K222" s="487"/>
      <c r="L222" s="487"/>
      <c r="M222" s="487"/>
      <c r="N222" s="487"/>
      <c r="O222" s="487"/>
      <c r="P222" s="487"/>
    </row>
    <row r="223" spans="1:31" ht="12.75" hidden="1" customHeight="1">
      <c r="A223" s="1227" t="s">
        <v>30</v>
      </c>
      <c r="B223" s="1228" t="s">
        <v>458</v>
      </c>
      <c r="C223" s="1213" t="s">
        <v>459</v>
      </c>
      <c r="D223" s="1213"/>
      <c r="E223" s="1213"/>
      <c r="F223" s="1213"/>
      <c r="G223" s="501"/>
      <c r="I223" s="1227" t="s">
        <v>30</v>
      </c>
      <c r="J223" s="1228" t="s">
        <v>458</v>
      </c>
      <c r="K223" s="1213" t="s">
        <v>459</v>
      </c>
      <c r="L223" s="1213"/>
      <c r="M223" s="1213"/>
      <c r="N223" s="1213"/>
      <c r="O223" s="502"/>
      <c r="Q223" s="1229" t="s">
        <v>30</v>
      </c>
      <c r="R223" s="1230" t="s">
        <v>458</v>
      </c>
      <c r="S223" s="1231" t="s">
        <v>459</v>
      </c>
      <c r="T223" s="1231"/>
      <c r="U223" s="1231"/>
      <c r="V223" s="1232"/>
      <c r="Y223" s="1233" t="s">
        <v>397</v>
      </c>
      <c r="Z223" s="1234"/>
      <c r="AE223" s="503"/>
    </row>
    <row r="224" spans="1:31" ht="13.5" hidden="1">
      <c r="A224" s="1227"/>
      <c r="B224" s="1228"/>
      <c r="C224" s="504" t="s">
        <v>434</v>
      </c>
      <c r="D224" s="1235" t="s">
        <v>435</v>
      </c>
      <c r="E224" s="1235"/>
      <c r="F224" s="1235"/>
      <c r="G224" s="1235" t="s">
        <v>386</v>
      </c>
      <c r="I224" s="1227"/>
      <c r="J224" s="1228"/>
      <c r="K224" s="504" t="s">
        <v>436</v>
      </c>
      <c r="L224" s="1235" t="s">
        <v>435</v>
      </c>
      <c r="M224" s="1235"/>
      <c r="N224" s="1235"/>
      <c r="O224" s="1235" t="s">
        <v>386</v>
      </c>
      <c r="Q224" s="1227"/>
      <c r="R224" s="1228"/>
      <c r="S224" s="504" t="s">
        <v>437</v>
      </c>
      <c r="T224" s="1236" t="s">
        <v>435</v>
      </c>
      <c r="U224" s="1237"/>
      <c r="V224" s="1238"/>
      <c r="W224" s="1239" t="s">
        <v>386</v>
      </c>
      <c r="Y224" s="1240" t="s">
        <v>434</v>
      </c>
      <c r="Z224" s="1241"/>
      <c r="AE224" s="487"/>
    </row>
    <row r="225" spans="1:38" ht="14" hidden="1">
      <c r="A225" s="1227"/>
      <c r="B225" s="1228"/>
      <c r="C225" s="505" t="s">
        <v>460</v>
      </c>
      <c r="D225" s="504"/>
      <c r="E225" s="504"/>
      <c r="F225" s="502"/>
      <c r="G225" s="1235"/>
      <c r="I225" s="1227"/>
      <c r="J225" s="1228"/>
      <c r="K225" s="505" t="s">
        <v>18</v>
      </c>
      <c r="L225" s="504"/>
      <c r="M225" s="504"/>
      <c r="N225" s="502"/>
      <c r="O225" s="1235"/>
      <c r="Q225" s="1227"/>
      <c r="R225" s="1228"/>
      <c r="S225" s="505" t="s">
        <v>439</v>
      </c>
      <c r="T225" s="504"/>
      <c r="U225" s="504"/>
      <c r="W225" s="1239"/>
      <c r="Y225" s="506">
        <v>1</v>
      </c>
      <c r="Z225" s="507">
        <f>X3</f>
        <v>0.5</v>
      </c>
      <c r="AE225" s="487"/>
    </row>
    <row r="226" spans="1:38" ht="13" hidden="1">
      <c r="A226" s="1243">
        <v>1</v>
      </c>
      <c r="B226" s="508">
        <v>1</v>
      </c>
      <c r="C226" s="508">
        <f>C5</f>
        <v>15</v>
      </c>
      <c r="D226" s="508">
        <f t="shared" ref="D226:F226" si="60">D5</f>
        <v>0.3</v>
      </c>
      <c r="E226" s="508">
        <f t="shared" si="60"/>
        <v>0.1</v>
      </c>
      <c r="F226" s="508">
        <f t="shared" si="60"/>
        <v>-0.5</v>
      </c>
      <c r="G226" s="508">
        <f>G5</f>
        <v>0.4</v>
      </c>
      <c r="I226" s="1243">
        <v>1</v>
      </c>
      <c r="J226" s="508">
        <v>1</v>
      </c>
      <c r="K226" s="508">
        <f>J5</f>
        <v>35</v>
      </c>
      <c r="L226" s="508">
        <f>K5</f>
        <v>-5</v>
      </c>
      <c r="M226" s="508">
        <f>L5</f>
        <v>-14.4</v>
      </c>
      <c r="N226" s="508">
        <f>M5</f>
        <v>-6</v>
      </c>
      <c r="O226" s="508">
        <f>N5</f>
        <v>4.7</v>
      </c>
      <c r="Q226" s="1246">
        <v>1</v>
      </c>
      <c r="R226" s="508">
        <v>1</v>
      </c>
      <c r="S226" s="508">
        <f>Q5</f>
        <v>750</v>
      </c>
      <c r="T226" s="508" t="str">
        <f>R5</f>
        <v>-</v>
      </c>
      <c r="U226" s="508" t="str">
        <f>S5</f>
        <v>-</v>
      </c>
      <c r="V226" s="508">
        <f>T5</f>
        <v>9.9999999999999995E-7</v>
      </c>
      <c r="W226" s="509">
        <f>U5</f>
        <v>0</v>
      </c>
      <c r="Y226" s="510">
        <v>2</v>
      </c>
      <c r="Z226" s="507">
        <f>X14</f>
        <v>0.5</v>
      </c>
      <c r="AE226" s="487"/>
    </row>
    <row r="227" spans="1:38" ht="13" hidden="1">
      <c r="A227" s="1243"/>
      <c r="B227" s="508">
        <v>2</v>
      </c>
      <c r="C227" s="508">
        <f>C16</f>
        <v>15</v>
      </c>
      <c r="D227" s="508">
        <f t="shared" ref="D227:F227" si="61">D16</f>
        <v>0.2</v>
      </c>
      <c r="E227" s="508">
        <f t="shared" si="61"/>
        <v>0.4</v>
      </c>
      <c r="F227" s="508">
        <f t="shared" si="61"/>
        <v>9.9999999999999995E-7</v>
      </c>
      <c r="G227" s="508">
        <f>G16</f>
        <v>0.19999950000000002</v>
      </c>
      <c r="I227" s="1243"/>
      <c r="J227" s="508">
        <v>2</v>
      </c>
      <c r="K227" s="508">
        <f>J16</f>
        <v>35</v>
      </c>
      <c r="L227" s="508">
        <f>K16</f>
        <v>-12.6</v>
      </c>
      <c r="M227" s="508">
        <f>L16</f>
        <v>-6.9</v>
      </c>
      <c r="N227" s="508">
        <f>M16</f>
        <v>-1.6</v>
      </c>
      <c r="O227" s="508">
        <f>N16</f>
        <v>5.5</v>
      </c>
      <c r="Q227" s="1247"/>
      <c r="R227" s="508">
        <v>2</v>
      </c>
      <c r="S227" s="508">
        <f>Q16</f>
        <v>750</v>
      </c>
      <c r="T227" s="508" t="str">
        <f>R16</f>
        <v>-</v>
      </c>
      <c r="U227" s="508" t="str">
        <f>S16</f>
        <v>-</v>
      </c>
      <c r="V227" s="508" t="str">
        <f>T16</f>
        <v>-</v>
      </c>
      <c r="W227" s="509">
        <f>U16</f>
        <v>0</v>
      </c>
      <c r="Y227" s="510">
        <v>3</v>
      </c>
      <c r="Z227" s="511">
        <f>X25</f>
        <v>0.5</v>
      </c>
      <c r="AE227" s="487"/>
    </row>
    <row r="228" spans="1:38" ht="13" hidden="1">
      <c r="A228" s="1243"/>
      <c r="B228" s="508">
        <v>3</v>
      </c>
      <c r="C228" s="508">
        <f>C27</f>
        <v>15</v>
      </c>
      <c r="D228" s="508">
        <f t="shared" ref="D228:F228" si="62">D27</f>
        <v>0.2</v>
      </c>
      <c r="E228" s="508">
        <f t="shared" si="62"/>
        <v>0.4</v>
      </c>
      <c r="F228" s="508">
        <f t="shared" si="62"/>
        <v>9.9999999999999995E-7</v>
      </c>
      <c r="G228" s="508">
        <f>G27</f>
        <v>0.19999950000000002</v>
      </c>
      <c r="I228" s="1243"/>
      <c r="J228" s="508">
        <v>3</v>
      </c>
      <c r="K228" s="508">
        <f>J27</f>
        <v>35</v>
      </c>
      <c r="L228" s="508">
        <f>K27</f>
        <v>-11.5</v>
      </c>
      <c r="M228" s="508">
        <f>L27</f>
        <v>-7.3</v>
      </c>
      <c r="N228" s="508">
        <f>M27</f>
        <v>-5.7</v>
      </c>
      <c r="O228" s="508">
        <f>N27</f>
        <v>2.9</v>
      </c>
      <c r="Q228" s="1247"/>
      <c r="R228" s="508">
        <v>3</v>
      </c>
      <c r="S228" s="508">
        <f>Q27</f>
        <v>750</v>
      </c>
      <c r="T228" s="508" t="str">
        <f>R27</f>
        <v>-</v>
      </c>
      <c r="U228" s="508" t="str">
        <f>S27</f>
        <v>-</v>
      </c>
      <c r="V228" s="508" t="str">
        <f>T27</f>
        <v>-</v>
      </c>
      <c r="W228" s="509">
        <f>U27</f>
        <v>0</v>
      </c>
      <c r="Y228" s="510">
        <v>4</v>
      </c>
      <c r="Z228" s="511">
        <f>X36</f>
        <v>0.3</v>
      </c>
      <c r="AE228" s="487"/>
    </row>
    <row r="229" spans="1:38" ht="13" hidden="1">
      <c r="A229" s="1243"/>
      <c r="B229" s="508">
        <v>4</v>
      </c>
      <c r="C229" s="512">
        <f>C38</f>
        <v>15</v>
      </c>
      <c r="D229" s="512">
        <f t="shared" ref="D229:F229" si="63">D38</f>
        <v>-0.2</v>
      </c>
      <c r="E229" s="512">
        <f t="shared" si="63"/>
        <v>-0.1</v>
      </c>
      <c r="F229" s="512">
        <f t="shared" si="63"/>
        <v>0</v>
      </c>
      <c r="G229" s="512">
        <f>G38</f>
        <v>0.05</v>
      </c>
      <c r="I229" s="1243"/>
      <c r="J229" s="508">
        <v>4</v>
      </c>
      <c r="K229" s="512">
        <f>J38</f>
        <v>35</v>
      </c>
      <c r="L229" s="512">
        <f>K38</f>
        <v>-4.5</v>
      </c>
      <c r="M229" s="512">
        <f>L38</f>
        <v>-1.7</v>
      </c>
      <c r="N229" s="512">
        <f>M38</f>
        <v>0</v>
      </c>
      <c r="O229" s="512">
        <f>N38</f>
        <v>1.4</v>
      </c>
      <c r="Q229" s="1247"/>
      <c r="R229" s="508">
        <v>4</v>
      </c>
      <c r="S229" s="512">
        <f>Q38</f>
        <v>750</v>
      </c>
      <c r="T229" s="512" t="str">
        <f>R38</f>
        <v>-</v>
      </c>
      <c r="U229" s="512" t="str">
        <f>S38</f>
        <v>-</v>
      </c>
      <c r="V229" s="512">
        <f>T38</f>
        <v>9.9999999999999995E-7</v>
      </c>
      <c r="W229" s="513">
        <f>U38</f>
        <v>0</v>
      </c>
      <c r="Y229" s="510">
        <v>5</v>
      </c>
      <c r="Z229" s="511">
        <f>X47</f>
        <v>0.3</v>
      </c>
      <c r="AE229" s="487"/>
    </row>
    <row r="230" spans="1:38" ht="13" hidden="1">
      <c r="A230" s="1243"/>
      <c r="B230" s="508">
        <v>5</v>
      </c>
      <c r="C230" s="512">
        <f>C49</f>
        <v>15</v>
      </c>
      <c r="D230" s="512">
        <f t="shared" ref="D230:F230" si="64">D49</f>
        <v>0.3</v>
      </c>
      <c r="E230" s="512">
        <f t="shared" si="64"/>
        <v>-0.1</v>
      </c>
      <c r="F230" s="512">
        <f t="shared" si="64"/>
        <v>-0.3</v>
      </c>
      <c r="G230" s="512">
        <f>G49</f>
        <v>0.3</v>
      </c>
      <c r="I230" s="1243"/>
      <c r="J230" s="508">
        <v>5</v>
      </c>
      <c r="K230" s="512">
        <f>J49</f>
        <v>35</v>
      </c>
      <c r="L230" s="512">
        <f>K49</f>
        <v>-10.5</v>
      </c>
      <c r="M230" s="512">
        <f>L49</f>
        <v>-9.6999999999999993</v>
      </c>
      <c r="N230" s="512">
        <f>M49</f>
        <v>-7.7</v>
      </c>
      <c r="O230" s="512">
        <f>N49</f>
        <v>1.4</v>
      </c>
      <c r="Q230" s="1247"/>
      <c r="R230" s="508">
        <v>5</v>
      </c>
      <c r="S230" s="512">
        <f>Q49</f>
        <v>750</v>
      </c>
      <c r="T230" s="512" t="str">
        <f>R49</f>
        <v>-</v>
      </c>
      <c r="U230" s="512" t="str">
        <f>S49</f>
        <v>-</v>
      </c>
      <c r="V230" s="512" t="str">
        <f>T49</f>
        <v>-</v>
      </c>
      <c r="W230" s="513">
        <f>U49</f>
        <v>0</v>
      </c>
      <c r="Y230" s="506">
        <v>6</v>
      </c>
      <c r="Z230" s="507">
        <f>X58</f>
        <v>0.8</v>
      </c>
      <c r="AE230" s="487"/>
    </row>
    <row r="231" spans="1:38" ht="13" hidden="1">
      <c r="A231" s="1243"/>
      <c r="B231" s="508">
        <v>6</v>
      </c>
      <c r="C231" s="512">
        <f>C60</f>
        <v>15</v>
      </c>
      <c r="D231" s="512">
        <f t="shared" ref="D231:F231" si="65">D60</f>
        <v>0.4</v>
      </c>
      <c r="E231" s="512">
        <f t="shared" si="65"/>
        <v>0.4</v>
      </c>
      <c r="F231" s="512">
        <f t="shared" si="65"/>
        <v>0</v>
      </c>
      <c r="G231" s="512">
        <f>G60</f>
        <v>0</v>
      </c>
      <c r="I231" s="1243"/>
      <c r="J231" s="508">
        <v>6</v>
      </c>
      <c r="K231" s="512">
        <f>J60</f>
        <v>30</v>
      </c>
      <c r="L231" s="512">
        <f>K60</f>
        <v>-1.5</v>
      </c>
      <c r="M231" s="512">
        <f>L60</f>
        <v>1.7</v>
      </c>
      <c r="N231" s="512">
        <f>M60</f>
        <v>0</v>
      </c>
      <c r="O231" s="512">
        <f>N60</f>
        <v>1.6</v>
      </c>
      <c r="Q231" s="1247"/>
      <c r="R231" s="508">
        <v>6</v>
      </c>
      <c r="S231" s="512">
        <f>Q60</f>
        <v>750</v>
      </c>
      <c r="T231" s="512">
        <f>R60</f>
        <v>0.9</v>
      </c>
      <c r="U231" s="512">
        <f>S60</f>
        <v>2.1</v>
      </c>
      <c r="V231" s="512">
        <f>T60</f>
        <v>9.9999999999999995E-7</v>
      </c>
      <c r="W231" s="513">
        <f>U60</f>
        <v>1.0499995</v>
      </c>
      <c r="Y231" s="506">
        <v>7</v>
      </c>
      <c r="Z231" s="507">
        <f>X69</f>
        <v>0.2</v>
      </c>
      <c r="AE231" s="487"/>
    </row>
    <row r="232" spans="1:38" ht="13" hidden="1">
      <c r="A232" s="1243"/>
      <c r="B232" s="508">
        <v>7</v>
      </c>
      <c r="C232" s="512">
        <f>C71</f>
        <v>15</v>
      </c>
      <c r="D232" s="512">
        <f t="shared" ref="D232:F232" si="66">D71</f>
        <v>0.1</v>
      </c>
      <c r="E232" s="512">
        <f t="shared" si="66"/>
        <v>0.3</v>
      </c>
      <c r="F232" s="512">
        <f t="shared" si="66"/>
        <v>0</v>
      </c>
      <c r="G232" s="512">
        <f>G71</f>
        <v>9.9999999999999992E-2</v>
      </c>
      <c r="I232" s="1243"/>
      <c r="J232" s="508">
        <v>7</v>
      </c>
      <c r="K232" s="512">
        <f>J71</f>
        <v>30</v>
      </c>
      <c r="L232" s="512">
        <f>K71</f>
        <v>-1.9</v>
      </c>
      <c r="M232" s="512">
        <f>L71</f>
        <v>1.8</v>
      </c>
      <c r="N232" s="512">
        <f>M71</f>
        <v>0</v>
      </c>
      <c r="O232" s="512">
        <f>N71</f>
        <v>1.85</v>
      </c>
      <c r="Q232" s="1247"/>
      <c r="R232" s="508">
        <v>7</v>
      </c>
      <c r="S232" s="512">
        <f>Q71</f>
        <v>750</v>
      </c>
      <c r="T232" s="512">
        <f>R71</f>
        <v>9.9999999999999995E-7</v>
      </c>
      <c r="U232" s="512">
        <f>S71</f>
        <v>3.2</v>
      </c>
      <c r="V232" s="512">
        <f>T71</f>
        <v>9.9999999999999995E-7</v>
      </c>
      <c r="W232" s="513">
        <f>U71</f>
        <v>1.5999995</v>
      </c>
      <c r="Y232" s="506">
        <v>8</v>
      </c>
      <c r="Z232" s="507">
        <f>X80</f>
        <v>0.8</v>
      </c>
      <c r="AE232" s="487"/>
    </row>
    <row r="233" spans="1:38" ht="13" hidden="1">
      <c r="A233" s="1243"/>
      <c r="B233" s="508">
        <v>8</v>
      </c>
      <c r="C233" s="512">
        <f>C82</f>
        <v>15</v>
      </c>
      <c r="D233" s="512">
        <f t="shared" ref="D233:F233" si="67">D82</f>
        <v>0.4</v>
      </c>
      <c r="E233" s="512">
        <f t="shared" si="67"/>
        <v>0.1</v>
      </c>
      <c r="F233" s="512">
        <f t="shared" si="67"/>
        <v>9.9999999999999995E-7</v>
      </c>
      <c r="G233" s="512">
        <f>G82</f>
        <v>0.19999950000000002</v>
      </c>
      <c r="I233" s="1243"/>
      <c r="J233" s="508">
        <v>8</v>
      </c>
      <c r="K233" s="512">
        <f>J82</f>
        <v>30</v>
      </c>
      <c r="L233" s="512">
        <f>K82</f>
        <v>0</v>
      </c>
      <c r="M233" s="512">
        <f>L82</f>
        <v>-4</v>
      </c>
      <c r="N233" s="512">
        <f>M82</f>
        <v>-1.4</v>
      </c>
      <c r="O233" s="512">
        <f>N82</f>
        <v>1.3</v>
      </c>
      <c r="Q233" s="1247"/>
      <c r="R233" s="508">
        <v>8</v>
      </c>
      <c r="S233" s="512">
        <f>Q82</f>
        <v>960</v>
      </c>
      <c r="T233" s="512">
        <f>R82</f>
        <v>-1.5</v>
      </c>
      <c r="U233" s="512">
        <f>S82</f>
        <v>-4</v>
      </c>
      <c r="V233" s="512">
        <f>T82</f>
        <v>9.9999999999999995E-7</v>
      </c>
      <c r="W233" s="513">
        <f>U82</f>
        <v>2.0000005000000001</v>
      </c>
      <c r="Y233" s="506">
        <v>9</v>
      </c>
      <c r="Z233" s="507">
        <f>X91</f>
        <v>0.3</v>
      </c>
      <c r="AE233" s="487"/>
    </row>
    <row r="234" spans="1:38" ht="13" hidden="1">
      <c r="A234" s="1243"/>
      <c r="B234" s="508">
        <v>9</v>
      </c>
      <c r="C234" s="512">
        <f>C93</f>
        <v>15</v>
      </c>
      <c r="D234" s="512">
        <f t="shared" ref="D234:F234" si="68">D93</f>
        <v>9.9999999999999995E-7</v>
      </c>
      <c r="E234" s="512" t="str">
        <f t="shared" si="68"/>
        <v>-</v>
      </c>
      <c r="F234" s="512">
        <f t="shared" si="68"/>
        <v>0</v>
      </c>
      <c r="G234" s="512">
        <f>G93</f>
        <v>0</v>
      </c>
      <c r="I234" s="1243"/>
      <c r="J234" s="508">
        <v>9</v>
      </c>
      <c r="K234" s="512">
        <f>J93</f>
        <v>30</v>
      </c>
      <c r="L234" s="512">
        <f>K93</f>
        <v>-1.2</v>
      </c>
      <c r="M234" s="512" t="str">
        <f>L93</f>
        <v>-</v>
      </c>
      <c r="N234" s="512">
        <f>M93</f>
        <v>0</v>
      </c>
      <c r="O234" s="512">
        <f>N93</f>
        <v>0</v>
      </c>
      <c r="Q234" s="1247"/>
      <c r="R234" s="508">
        <v>9</v>
      </c>
      <c r="S234" s="512">
        <f>Q93</f>
        <v>750</v>
      </c>
      <c r="T234" s="512">
        <f>R93</f>
        <v>9.9999999999999995E-7</v>
      </c>
      <c r="U234" s="512" t="str">
        <f>S93</f>
        <v>-</v>
      </c>
      <c r="V234" s="512">
        <f>T93</f>
        <v>9.9999999999999995E-7</v>
      </c>
      <c r="W234" s="513">
        <f>U93</f>
        <v>0</v>
      </c>
      <c r="Y234" s="506">
        <v>10</v>
      </c>
      <c r="Z234" s="507">
        <f>X102</f>
        <v>0.3</v>
      </c>
      <c r="AE234" s="487"/>
    </row>
    <row r="235" spans="1:38" ht="13" hidden="1">
      <c r="A235" s="1243"/>
      <c r="B235" s="508">
        <v>10</v>
      </c>
      <c r="C235" s="512">
        <f>C104</f>
        <v>15</v>
      </c>
      <c r="D235" s="512">
        <f t="shared" ref="D235:F235" si="69">D104</f>
        <v>0.2</v>
      </c>
      <c r="E235" s="512">
        <f t="shared" si="69"/>
        <v>0.2</v>
      </c>
      <c r="F235" s="512">
        <f t="shared" si="69"/>
        <v>0</v>
      </c>
      <c r="G235" s="512">
        <f>G104</f>
        <v>0</v>
      </c>
      <c r="I235" s="1243"/>
      <c r="J235" s="508">
        <v>10</v>
      </c>
      <c r="K235" s="512">
        <f>J104</f>
        <v>30</v>
      </c>
      <c r="L235" s="512">
        <f>K104</f>
        <v>-2.9</v>
      </c>
      <c r="M235" s="512">
        <f>L104</f>
        <v>-5.8</v>
      </c>
      <c r="N235" s="512">
        <f>M104</f>
        <v>0</v>
      </c>
      <c r="O235" s="512">
        <f>N104</f>
        <v>1.45</v>
      </c>
      <c r="Q235" s="1247"/>
      <c r="R235" s="508">
        <v>10</v>
      </c>
      <c r="S235" s="512">
        <f>Q104</f>
        <v>750</v>
      </c>
      <c r="T235" s="512" t="str">
        <f>R104</f>
        <v>-</v>
      </c>
      <c r="U235" s="512" t="str">
        <f>S104</f>
        <v>-</v>
      </c>
      <c r="V235" s="512">
        <f>T104</f>
        <v>9.9999999999999995E-7</v>
      </c>
      <c r="W235" s="513">
        <f>U104</f>
        <v>0</v>
      </c>
      <c r="Y235" s="506">
        <v>11</v>
      </c>
      <c r="Z235" s="507">
        <f>X113</f>
        <v>0.3</v>
      </c>
      <c r="AE235" s="487"/>
    </row>
    <row r="236" spans="1:38" ht="13" hidden="1">
      <c r="A236" s="1243"/>
      <c r="B236" s="508">
        <v>11</v>
      </c>
      <c r="C236" s="512">
        <f>C115</f>
        <v>15</v>
      </c>
      <c r="D236" s="512">
        <f t="shared" ref="D236:F236" si="70">D115</f>
        <v>0.3</v>
      </c>
      <c r="E236" s="512">
        <f t="shared" si="70"/>
        <v>0.3</v>
      </c>
      <c r="F236" s="512">
        <f t="shared" si="70"/>
        <v>0</v>
      </c>
      <c r="G236" s="512">
        <f>G115</f>
        <v>0</v>
      </c>
      <c r="I236" s="1243"/>
      <c r="J236" s="508">
        <v>11</v>
      </c>
      <c r="K236" s="512">
        <f>J115</f>
        <v>30</v>
      </c>
      <c r="L236" s="512">
        <f>K115</f>
        <v>-5.2</v>
      </c>
      <c r="M236" s="512">
        <f>L115</f>
        <v>-6.4</v>
      </c>
      <c r="N236" s="512">
        <f>M115</f>
        <v>0</v>
      </c>
      <c r="O236" s="512">
        <f>N115</f>
        <v>0.60000000000000009</v>
      </c>
      <c r="Q236" s="1247"/>
      <c r="R236" s="508">
        <v>11</v>
      </c>
      <c r="S236" s="512">
        <f>Q115</f>
        <v>750</v>
      </c>
      <c r="T236" s="512" t="str">
        <f>R115</f>
        <v>-</v>
      </c>
      <c r="U236" s="512" t="str">
        <f>S115</f>
        <v>-</v>
      </c>
      <c r="V236" s="512">
        <f>T115</f>
        <v>9.9999999999999995E-7</v>
      </c>
      <c r="W236" s="513">
        <f>U115</f>
        <v>0</v>
      </c>
      <c r="Y236" s="506">
        <v>12</v>
      </c>
      <c r="Z236" s="507">
        <f>X124</f>
        <v>0.5</v>
      </c>
      <c r="AE236" s="487"/>
    </row>
    <row r="237" spans="1:38" ht="13" hidden="1">
      <c r="A237" s="1243"/>
      <c r="B237" s="508">
        <v>12</v>
      </c>
      <c r="C237" s="512">
        <f>C126</f>
        <v>15</v>
      </c>
      <c r="D237" s="512">
        <f t="shared" ref="D237:F237" si="71">D126</f>
        <v>0.2</v>
      </c>
      <c r="E237" s="512">
        <f t="shared" si="71"/>
        <v>9.9999999999999995E-7</v>
      </c>
      <c r="F237" s="512">
        <f t="shared" si="71"/>
        <v>0</v>
      </c>
      <c r="G237" s="512">
        <f>G126</f>
        <v>9.9999500000000005E-2</v>
      </c>
      <c r="I237" s="1243"/>
      <c r="J237" s="508">
        <v>12</v>
      </c>
      <c r="K237" s="512">
        <f>J126</f>
        <v>35</v>
      </c>
      <c r="L237" s="512">
        <f>K126</f>
        <v>-3.1</v>
      </c>
      <c r="M237" s="512">
        <f>L126</f>
        <v>-0.4</v>
      </c>
      <c r="N237" s="512">
        <f>M126</f>
        <v>0</v>
      </c>
      <c r="O237" s="512">
        <f>N126</f>
        <v>1.35</v>
      </c>
      <c r="Q237" s="1247"/>
      <c r="R237" s="508">
        <v>12</v>
      </c>
      <c r="S237" s="512">
        <f>Q126</f>
        <v>960</v>
      </c>
      <c r="T237" s="512">
        <f>R126</f>
        <v>4.0999999999999996</v>
      </c>
      <c r="U237" s="512">
        <f>S126</f>
        <v>-0.4</v>
      </c>
      <c r="V237" s="512">
        <f>T126</f>
        <v>0</v>
      </c>
      <c r="W237" s="513">
        <f>U126</f>
        <v>2.25</v>
      </c>
      <c r="Y237" s="506">
        <v>13</v>
      </c>
      <c r="Z237" s="514">
        <f>X135</f>
        <v>0.5</v>
      </c>
      <c r="AE237" s="487"/>
      <c r="AL237" s="487"/>
    </row>
    <row r="238" spans="1:38" ht="13" hidden="1">
      <c r="A238" s="1243"/>
      <c r="B238" s="508">
        <v>13</v>
      </c>
      <c r="C238" s="512">
        <f>C137</f>
        <v>15</v>
      </c>
      <c r="D238" s="512">
        <f t="shared" ref="D238:F238" si="72">D137</f>
        <v>0.1</v>
      </c>
      <c r="E238" s="512">
        <f t="shared" si="72"/>
        <v>0.5</v>
      </c>
      <c r="F238" s="512">
        <f t="shared" si="72"/>
        <v>-0.7</v>
      </c>
      <c r="G238" s="512">
        <f>G137</f>
        <v>0.6</v>
      </c>
      <c r="I238" s="1243"/>
      <c r="J238" s="508">
        <v>13</v>
      </c>
      <c r="K238" s="512">
        <f>J137</f>
        <v>30</v>
      </c>
      <c r="L238" s="512">
        <f>K137</f>
        <v>0</v>
      </c>
      <c r="M238" s="512">
        <f>L137</f>
        <v>-2.2000000000000002</v>
      </c>
      <c r="N238" s="512">
        <f>M137</f>
        <v>-1.4</v>
      </c>
      <c r="O238" s="512">
        <f>N137</f>
        <v>0.40000000000000013</v>
      </c>
      <c r="Q238" s="1247"/>
      <c r="R238" s="508">
        <v>13</v>
      </c>
      <c r="S238" s="512">
        <f>Q137</f>
        <v>985</v>
      </c>
      <c r="T238" s="512">
        <f>R137</f>
        <v>0</v>
      </c>
      <c r="U238" s="512">
        <f>S137</f>
        <v>3.8</v>
      </c>
      <c r="V238" s="512">
        <f>T137</f>
        <v>0.9</v>
      </c>
      <c r="W238" s="513">
        <f>U137</f>
        <v>1.45</v>
      </c>
      <c r="Y238" s="506">
        <v>14</v>
      </c>
      <c r="Z238" s="514">
        <f>X146</f>
        <v>0.6</v>
      </c>
      <c r="AE238" s="487"/>
      <c r="AL238" s="487"/>
    </row>
    <row r="239" spans="1:38" ht="13" hidden="1">
      <c r="A239" s="1243"/>
      <c r="B239" s="508">
        <v>14</v>
      </c>
      <c r="C239" s="512">
        <f>C148</f>
        <v>15</v>
      </c>
      <c r="D239" s="512">
        <f t="shared" ref="D239:F239" si="73">D148</f>
        <v>0.1</v>
      </c>
      <c r="E239" s="512">
        <f t="shared" si="73"/>
        <v>0.5</v>
      </c>
      <c r="F239" s="512">
        <f t="shared" si="73"/>
        <v>-0.2</v>
      </c>
      <c r="G239" s="512">
        <f>G148</f>
        <v>0.35</v>
      </c>
      <c r="I239" s="1243"/>
      <c r="J239" s="508">
        <v>14</v>
      </c>
      <c r="K239" s="512">
        <f>J148</f>
        <v>30</v>
      </c>
      <c r="L239" s="512">
        <f>K148</f>
        <v>0</v>
      </c>
      <c r="M239" s="512">
        <f>L148</f>
        <v>-0.8</v>
      </c>
      <c r="N239" s="512">
        <f>M148</f>
        <v>0.6</v>
      </c>
      <c r="O239" s="512">
        <f>N148</f>
        <v>0.7</v>
      </c>
      <c r="Q239" s="1247"/>
      <c r="R239" s="508">
        <v>14</v>
      </c>
      <c r="S239" s="512">
        <f>Q148</f>
        <v>985</v>
      </c>
      <c r="T239" s="512">
        <f>R148</f>
        <v>0</v>
      </c>
      <c r="U239" s="512">
        <f>S148</f>
        <v>3.9</v>
      </c>
      <c r="V239" s="512">
        <f>T148</f>
        <v>0.9</v>
      </c>
      <c r="W239" s="513">
        <f>U148</f>
        <v>1.5</v>
      </c>
      <c r="Y239" s="506">
        <v>15</v>
      </c>
      <c r="Z239" s="514">
        <f>X157</f>
        <v>0.5</v>
      </c>
      <c r="AE239" s="487"/>
      <c r="AL239" s="487"/>
    </row>
    <row r="240" spans="1:38" ht="13" hidden="1">
      <c r="A240" s="1243"/>
      <c r="B240" s="508">
        <v>15</v>
      </c>
      <c r="C240" s="512">
        <f>C159</f>
        <v>15</v>
      </c>
      <c r="D240" s="512">
        <f t="shared" ref="D240:F240" si="74">D159</f>
        <v>0.1</v>
      </c>
      <c r="E240" s="512">
        <f t="shared" si="74"/>
        <v>0.6</v>
      </c>
      <c r="F240" s="512">
        <f t="shared" si="74"/>
        <v>-0.6</v>
      </c>
      <c r="G240" s="512">
        <f>G159</f>
        <v>0.6</v>
      </c>
      <c r="I240" s="1243"/>
      <c r="J240" s="508">
        <v>15</v>
      </c>
      <c r="K240" s="512">
        <f>J159</f>
        <v>30</v>
      </c>
      <c r="L240" s="512">
        <f>K159</f>
        <v>-4.0999999999999996</v>
      </c>
      <c r="M240" s="512">
        <f>L159</f>
        <v>-2</v>
      </c>
      <c r="N240" s="512">
        <f>M159</f>
        <v>-0.4</v>
      </c>
      <c r="O240" s="512">
        <f>N159</f>
        <v>1.8499999999999999</v>
      </c>
      <c r="Q240" s="1247"/>
      <c r="R240" s="508">
        <v>15</v>
      </c>
      <c r="S240" s="512">
        <f>Q159</f>
        <v>980</v>
      </c>
      <c r="T240" s="512">
        <f>R159</f>
        <v>4.0999999999999996</v>
      </c>
      <c r="U240" s="512">
        <f>S159</f>
        <v>4.3</v>
      </c>
      <c r="V240" s="512">
        <f>T159</f>
        <v>0.9</v>
      </c>
      <c r="W240" s="513">
        <f>U159</f>
        <v>1.7</v>
      </c>
      <c r="Y240" s="506">
        <v>16</v>
      </c>
      <c r="Z240" s="514">
        <f>X168</f>
        <v>0.5</v>
      </c>
      <c r="AE240" s="487"/>
      <c r="AL240" s="487"/>
    </row>
    <row r="241" spans="1:38" ht="13" hidden="1">
      <c r="A241" s="1243"/>
      <c r="B241" s="508">
        <v>16</v>
      </c>
      <c r="C241" s="512">
        <f>C170</f>
        <v>15</v>
      </c>
      <c r="D241" s="512">
        <f t="shared" ref="D241:F241" si="75">D170</f>
        <v>0.1</v>
      </c>
      <c r="E241" s="512">
        <f t="shared" si="75"/>
        <v>0.1</v>
      </c>
      <c r="F241" s="512">
        <f t="shared" si="75"/>
        <v>0</v>
      </c>
      <c r="G241" s="512">
        <f>G170</f>
        <v>0</v>
      </c>
      <c r="I241" s="1243"/>
      <c r="J241" s="508">
        <v>16</v>
      </c>
      <c r="K241" s="512">
        <f>J170</f>
        <v>35</v>
      </c>
      <c r="L241" s="512">
        <f>K170</f>
        <v>-2.5</v>
      </c>
      <c r="M241" s="512">
        <f>L170</f>
        <v>-1.6</v>
      </c>
      <c r="N241" s="512">
        <f>M170</f>
        <v>0</v>
      </c>
      <c r="O241" s="512">
        <f>N170</f>
        <v>0.44999999999999996</v>
      </c>
      <c r="Q241" s="1247"/>
      <c r="R241" s="508">
        <v>16</v>
      </c>
      <c r="S241" s="512">
        <f>Q170</f>
        <v>960</v>
      </c>
      <c r="T241" s="512">
        <f>R170</f>
        <v>4.5999999999999996</v>
      </c>
      <c r="U241" s="512">
        <f>S170</f>
        <v>-2.9</v>
      </c>
      <c r="V241" s="512">
        <f>T170</f>
        <v>0</v>
      </c>
      <c r="W241" s="513">
        <f>U170</f>
        <v>3.75</v>
      </c>
      <c r="Y241" s="506">
        <v>17</v>
      </c>
      <c r="Z241" s="514">
        <f>X179</f>
        <v>0.8</v>
      </c>
      <c r="AE241" s="487"/>
      <c r="AL241" s="487"/>
    </row>
    <row r="242" spans="1:38" ht="13" hidden="1">
      <c r="A242" s="1243"/>
      <c r="B242" s="508">
        <v>17</v>
      </c>
      <c r="C242" s="512">
        <f>C181</f>
        <v>15</v>
      </c>
      <c r="D242" s="512">
        <f>D181</f>
        <v>0.2</v>
      </c>
      <c r="E242" s="512">
        <f>E181</f>
        <v>0.1</v>
      </c>
      <c r="F242" s="512">
        <f t="shared" ref="F242" si="76">F181</f>
        <v>0</v>
      </c>
      <c r="G242" s="512">
        <f>G181</f>
        <v>0.05</v>
      </c>
      <c r="I242" s="1243"/>
      <c r="J242" s="508">
        <v>17</v>
      </c>
      <c r="K242" s="512">
        <f>J181</f>
        <v>35</v>
      </c>
      <c r="L242" s="512">
        <f>K181</f>
        <v>-2.7</v>
      </c>
      <c r="M242" s="512">
        <f>L181</f>
        <v>0.1</v>
      </c>
      <c r="N242" s="512">
        <f>M181</f>
        <v>0</v>
      </c>
      <c r="O242" s="512">
        <f>N181</f>
        <v>1.4000000000000001</v>
      </c>
      <c r="Q242" s="1247"/>
      <c r="R242" s="508">
        <v>17</v>
      </c>
      <c r="S242" s="512">
        <f>Q181</f>
        <v>960</v>
      </c>
      <c r="T242" s="512">
        <f>R181</f>
        <v>4.5999999999999996</v>
      </c>
      <c r="U242" s="512">
        <f>S181</f>
        <v>-0.6</v>
      </c>
      <c r="V242" s="512">
        <f>T181</f>
        <v>0</v>
      </c>
      <c r="W242" s="513">
        <f>U181</f>
        <v>2.5999999999999996</v>
      </c>
      <c r="Y242" s="506">
        <v>18</v>
      </c>
      <c r="Z242" s="514">
        <f>X190</f>
        <v>0.6</v>
      </c>
      <c r="AE242" s="487"/>
      <c r="AL242" s="487"/>
    </row>
    <row r="243" spans="1:38" ht="13" hidden="1">
      <c r="A243" s="1243"/>
      <c r="B243" s="508">
        <v>18</v>
      </c>
      <c r="C243" s="512">
        <f>C192</f>
        <v>15</v>
      </c>
      <c r="D243" s="512">
        <f t="shared" ref="D243:F243" si="77">D192</f>
        <v>0.3</v>
      </c>
      <c r="E243" s="512">
        <f t="shared" si="77"/>
        <v>9.9999999999999995E-7</v>
      </c>
      <c r="F243" s="512">
        <f t="shared" si="77"/>
        <v>0</v>
      </c>
      <c r="G243" s="512">
        <f>G192</f>
        <v>0.14999950000000001</v>
      </c>
      <c r="I243" s="1243"/>
      <c r="J243" s="508">
        <v>18</v>
      </c>
      <c r="K243" s="512">
        <f>J192</f>
        <v>35</v>
      </c>
      <c r="L243" s="512">
        <f>K192</f>
        <v>-3.2</v>
      </c>
      <c r="M243" s="512">
        <f>L192</f>
        <v>-0.4</v>
      </c>
      <c r="N243" s="512">
        <f>M192</f>
        <v>0</v>
      </c>
      <c r="O243" s="512">
        <f>N192</f>
        <v>1.4000000000000001</v>
      </c>
      <c r="Q243" s="1247"/>
      <c r="R243" s="508">
        <v>18</v>
      </c>
      <c r="S243" s="512">
        <f>Q192</f>
        <v>960</v>
      </c>
      <c r="T243" s="512">
        <f>R192</f>
        <v>4.4000000000000004</v>
      </c>
      <c r="U243" s="512">
        <f>S192</f>
        <v>-1.5</v>
      </c>
      <c r="V243" s="512">
        <f>T192</f>
        <v>0</v>
      </c>
      <c r="W243" s="513">
        <f>U192</f>
        <v>2.95</v>
      </c>
      <c r="Y243" s="506">
        <v>19</v>
      </c>
      <c r="Z243" s="514">
        <f>X201</f>
        <v>0.5</v>
      </c>
      <c r="AE243" s="487"/>
      <c r="AL243" s="487"/>
    </row>
    <row r="244" spans="1:38" ht="13.5" hidden="1" thickBot="1">
      <c r="A244" s="1243"/>
      <c r="B244" s="508">
        <v>19</v>
      </c>
      <c r="C244" s="512">
        <f>C203</f>
        <v>15</v>
      </c>
      <c r="D244" s="512">
        <f t="shared" ref="D244:F244" si="78">D203</f>
        <v>0.2</v>
      </c>
      <c r="E244" s="512">
        <f t="shared" si="78"/>
        <v>9.9999999999999995E-7</v>
      </c>
      <c r="F244" s="512">
        <f t="shared" si="78"/>
        <v>0</v>
      </c>
      <c r="G244" s="512">
        <f>G203</f>
        <v>9.9999500000000005E-2</v>
      </c>
      <c r="I244" s="1243"/>
      <c r="J244" s="508">
        <v>19</v>
      </c>
      <c r="K244" s="512">
        <f>J203</f>
        <v>35</v>
      </c>
      <c r="L244" s="512">
        <f>K203</f>
        <v>-2.2000000000000002</v>
      </c>
      <c r="M244" s="512">
        <f>L203</f>
        <v>-1.5</v>
      </c>
      <c r="N244" s="512">
        <f>M203</f>
        <v>0</v>
      </c>
      <c r="O244" s="512">
        <f>N203</f>
        <v>0.35000000000000009</v>
      </c>
      <c r="Q244" s="1247"/>
      <c r="R244" s="508">
        <v>19</v>
      </c>
      <c r="S244" s="512">
        <f>Q203</f>
        <v>750</v>
      </c>
      <c r="T244" s="512">
        <f>R203</f>
        <v>4.5</v>
      </c>
      <c r="U244" s="512">
        <f>S203</f>
        <v>2.5</v>
      </c>
      <c r="V244" s="512">
        <f>T203</f>
        <v>0</v>
      </c>
      <c r="W244" s="513">
        <f>U203</f>
        <v>1</v>
      </c>
      <c r="Y244" s="515">
        <v>20</v>
      </c>
      <c r="Z244" s="516">
        <f>X212</f>
        <v>0</v>
      </c>
      <c r="AE244" s="487"/>
      <c r="AL244" s="487"/>
    </row>
    <row r="245" spans="1:38" ht="13.5" hidden="1" thickBot="1">
      <c r="A245" s="1243"/>
      <c r="B245" s="508">
        <v>20</v>
      </c>
      <c r="C245" s="512">
        <f>C214</f>
        <v>14.8</v>
      </c>
      <c r="D245" s="512">
        <f t="shared" ref="D245:F245" si="79">D214</f>
        <v>9.9999999999999995E-7</v>
      </c>
      <c r="E245" s="512" t="str">
        <f t="shared" si="79"/>
        <v>-</v>
      </c>
      <c r="F245" s="512">
        <f t="shared" si="79"/>
        <v>9.9999999999999995E-7</v>
      </c>
      <c r="G245" s="512">
        <f>G214</f>
        <v>0</v>
      </c>
      <c r="I245" s="1243"/>
      <c r="J245" s="508">
        <v>20</v>
      </c>
      <c r="K245" s="512">
        <f>J214</f>
        <v>45.7</v>
      </c>
      <c r="L245" s="512">
        <f>K214</f>
        <v>9.9999999999999995E-7</v>
      </c>
      <c r="M245" s="512" t="str">
        <f>L214</f>
        <v>-</v>
      </c>
      <c r="N245" s="512">
        <f>M214</f>
        <v>0</v>
      </c>
      <c r="O245" s="512">
        <f>N214</f>
        <v>0</v>
      </c>
      <c r="Q245" s="1248"/>
      <c r="R245" s="517">
        <v>20</v>
      </c>
      <c r="S245" s="518">
        <f>Q214</f>
        <v>750</v>
      </c>
      <c r="T245" s="518">
        <f>R214</f>
        <v>9.9999999999999995E-7</v>
      </c>
      <c r="U245" s="518" t="str">
        <f>S214</f>
        <v>-</v>
      </c>
      <c r="V245" s="518">
        <f>T214</f>
        <v>9.9999999999999995E-7</v>
      </c>
      <c r="W245" s="519">
        <f>U214</f>
        <v>0</v>
      </c>
      <c r="Y245" s="520"/>
      <c r="AE245" s="521"/>
      <c r="AL245" s="487"/>
    </row>
    <row r="246" spans="1:38" ht="13" hidden="1">
      <c r="A246" s="522"/>
      <c r="B246" s="522"/>
      <c r="C246" s="295"/>
      <c r="D246" s="295"/>
      <c r="E246" s="295"/>
      <c r="F246" s="502"/>
      <c r="G246" s="295"/>
      <c r="I246" s="522"/>
      <c r="J246" s="522"/>
      <c r="K246" s="295"/>
      <c r="L246" s="295"/>
      <c r="M246" s="295"/>
      <c r="N246" s="502"/>
      <c r="O246" s="295"/>
      <c r="Q246" s="523"/>
      <c r="R246" s="523"/>
      <c r="S246" s="524"/>
      <c r="T246" s="524"/>
      <c r="U246" s="524"/>
      <c r="W246" s="525"/>
      <c r="Y246" s="526"/>
      <c r="AE246" s="526"/>
      <c r="AL246" s="526"/>
    </row>
    <row r="247" spans="1:38" ht="13" hidden="1">
      <c r="A247" s="1243">
        <v>2</v>
      </c>
      <c r="B247" s="508">
        <v>1</v>
      </c>
      <c r="C247" s="512">
        <f>C6</f>
        <v>20</v>
      </c>
      <c r="D247" s="512">
        <f t="shared" ref="D247:F247" si="80">D6</f>
        <v>0</v>
      </c>
      <c r="E247" s="512">
        <f t="shared" si="80"/>
        <v>0.1</v>
      </c>
      <c r="F247" s="512">
        <f t="shared" si="80"/>
        <v>-0.2</v>
      </c>
      <c r="G247" s="512">
        <f>G6</f>
        <v>0.15000000000000002</v>
      </c>
      <c r="I247" s="1243">
        <v>2</v>
      </c>
      <c r="J247" s="508">
        <v>1</v>
      </c>
      <c r="K247" s="512">
        <f>J6</f>
        <v>40</v>
      </c>
      <c r="L247" s="512">
        <f>K6</f>
        <v>-5.9</v>
      </c>
      <c r="M247" s="512">
        <f>L6</f>
        <v>-11.5</v>
      </c>
      <c r="N247" s="512">
        <f>M6</f>
        <v>-5.8</v>
      </c>
      <c r="O247" s="512">
        <f>N6</f>
        <v>2.85</v>
      </c>
      <c r="Q247" s="1244">
        <v>2</v>
      </c>
      <c r="R247" s="527">
        <v>1</v>
      </c>
      <c r="S247" s="528">
        <f>Q6</f>
        <v>800</v>
      </c>
      <c r="T247" s="528" t="str">
        <f>R6</f>
        <v>-</v>
      </c>
      <c r="U247" s="528" t="str">
        <f>S6</f>
        <v>-</v>
      </c>
      <c r="V247" s="528">
        <f>T6</f>
        <v>9.9999999999999995E-7</v>
      </c>
      <c r="W247" s="529">
        <f>U6</f>
        <v>0</v>
      </c>
      <c r="Y247" s="1233" t="s">
        <v>397</v>
      </c>
      <c r="Z247" s="1234"/>
      <c r="AE247" s="530"/>
    </row>
    <row r="248" spans="1:38" ht="13" hidden="1">
      <c r="A248" s="1243"/>
      <c r="B248" s="508">
        <v>2</v>
      </c>
      <c r="C248" s="512">
        <f>C17</f>
        <v>20</v>
      </c>
      <c r="D248" s="512">
        <f t="shared" ref="D248:F248" si="81">D17</f>
        <v>0.2</v>
      </c>
      <c r="E248" s="512">
        <f t="shared" si="81"/>
        <v>0.7</v>
      </c>
      <c r="F248" s="512">
        <f t="shared" si="81"/>
        <v>-0.1</v>
      </c>
      <c r="G248" s="512">
        <f>G17</f>
        <v>0.39999999999999997</v>
      </c>
      <c r="I248" s="1243"/>
      <c r="J248" s="508">
        <v>2</v>
      </c>
      <c r="K248" s="512">
        <f>J17</f>
        <v>40</v>
      </c>
      <c r="L248" s="512">
        <f>K17</f>
        <v>-10.3</v>
      </c>
      <c r="M248" s="512">
        <f>L17</f>
        <v>-6.2</v>
      </c>
      <c r="N248" s="512">
        <f>M17</f>
        <v>-1.6</v>
      </c>
      <c r="O248" s="512">
        <f>N17</f>
        <v>4.3500000000000005</v>
      </c>
      <c r="Q248" s="1243"/>
      <c r="R248" s="508">
        <v>2</v>
      </c>
      <c r="S248" s="512">
        <f>Q17</f>
        <v>800</v>
      </c>
      <c r="T248" s="512" t="str">
        <f>R17</f>
        <v>-</v>
      </c>
      <c r="U248" s="512" t="str">
        <f>S17</f>
        <v>-</v>
      </c>
      <c r="V248" s="512" t="str">
        <f>T17</f>
        <v>-</v>
      </c>
      <c r="W248" s="513">
        <f>U17</f>
        <v>0</v>
      </c>
      <c r="Y248" s="1240" t="s">
        <v>436</v>
      </c>
      <c r="Z248" s="1241"/>
      <c r="AE248" s="487"/>
    </row>
    <row r="249" spans="1:38" ht="13" hidden="1">
      <c r="A249" s="1243"/>
      <c r="B249" s="508">
        <v>3</v>
      </c>
      <c r="C249" s="508">
        <f>C28</f>
        <v>20</v>
      </c>
      <c r="D249" s="508">
        <f t="shared" ref="D249:F249" si="82">D28</f>
        <v>0.2</v>
      </c>
      <c r="E249" s="508">
        <f t="shared" si="82"/>
        <v>1</v>
      </c>
      <c r="F249" s="508">
        <f t="shared" si="82"/>
        <v>9.9999999999999995E-7</v>
      </c>
      <c r="G249" s="508">
        <f>G28</f>
        <v>0.49999949999999999</v>
      </c>
      <c r="I249" s="1243"/>
      <c r="J249" s="508">
        <v>3</v>
      </c>
      <c r="K249" s="508">
        <f>J28</f>
        <v>40</v>
      </c>
      <c r="L249" s="508">
        <f>K28</f>
        <v>-9.6999999999999993</v>
      </c>
      <c r="M249" s="508">
        <f>L28</f>
        <v>-5.9</v>
      </c>
      <c r="N249" s="508">
        <f>M28</f>
        <v>-5.3</v>
      </c>
      <c r="O249" s="508">
        <f>N28</f>
        <v>2.1999999999999997</v>
      </c>
      <c r="Q249" s="1243"/>
      <c r="R249" s="508">
        <v>3</v>
      </c>
      <c r="S249" s="508">
        <f>Q28</f>
        <v>800</v>
      </c>
      <c r="T249" s="508" t="str">
        <f>R28</f>
        <v>-</v>
      </c>
      <c r="U249" s="508" t="str">
        <f>S28</f>
        <v>-</v>
      </c>
      <c r="V249" s="508" t="str">
        <f>T28</f>
        <v>-</v>
      </c>
      <c r="W249" s="509">
        <f>U28</f>
        <v>0</v>
      </c>
      <c r="Y249" s="506">
        <v>1</v>
      </c>
      <c r="Z249" s="507">
        <f>X4</f>
        <v>2.6</v>
      </c>
      <c r="AE249" s="487"/>
    </row>
    <row r="250" spans="1:38" ht="13" hidden="1">
      <c r="A250" s="1243"/>
      <c r="B250" s="508">
        <v>4</v>
      </c>
      <c r="C250" s="508">
        <f>C39</f>
        <v>20</v>
      </c>
      <c r="D250" s="508">
        <f t="shared" ref="D250:F250" si="83">D39</f>
        <v>-0.1</v>
      </c>
      <c r="E250" s="508">
        <f t="shared" si="83"/>
        <v>-0.3</v>
      </c>
      <c r="F250" s="508">
        <f t="shared" si="83"/>
        <v>0</v>
      </c>
      <c r="G250" s="508">
        <f>G39</f>
        <v>9.9999999999999992E-2</v>
      </c>
      <c r="I250" s="1243"/>
      <c r="J250" s="508">
        <v>4</v>
      </c>
      <c r="K250" s="508">
        <f>J39</f>
        <v>40</v>
      </c>
      <c r="L250" s="508">
        <f>K39</f>
        <v>-4.4000000000000004</v>
      </c>
      <c r="M250" s="508">
        <f>L39</f>
        <v>-1.5</v>
      </c>
      <c r="N250" s="508">
        <f>M39</f>
        <v>0</v>
      </c>
      <c r="O250" s="508">
        <f>N39</f>
        <v>1.4500000000000002</v>
      </c>
      <c r="Q250" s="1243"/>
      <c r="R250" s="508">
        <v>4</v>
      </c>
      <c r="S250" s="508">
        <f>Q39</f>
        <v>800</v>
      </c>
      <c r="T250" s="508" t="str">
        <f>R39</f>
        <v>-</v>
      </c>
      <c r="U250" s="508" t="str">
        <f>S39</f>
        <v>-</v>
      </c>
      <c r="V250" s="508">
        <f>T39</f>
        <v>9.9999999999999995E-7</v>
      </c>
      <c r="W250" s="509">
        <f>U39</f>
        <v>0</v>
      </c>
      <c r="Y250" s="510">
        <v>2</v>
      </c>
      <c r="Z250" s="507">
        <f>X15</f>
        <v>3.3</v>
      </c>
      <c r="AE250" s="487"/>
    </row>
    <row r="251" spans="1:38" ht="13" hidden="1">
      <c r="A251" s="1243"/>
      <c r="B251" s="508">
        <v>5</v>
      </c>
      <c r="C251" s="508">
        <f>C50</f>
        <v>20</v>
      </c>
      <c r="D251" s="508">
        <f t="shared" ref="D251:F251" si="84">D50</f>
        <v>0.4</v>
      </c>
      <c r="E251" s="508">
        <f t="shared" si="84"/>
        <v>0.1</v>
      </c>
      <c r="F251" s="508">
        <f t="shared" si="84"/>
        <v>0.1</v>
      </c>
      <c r="G251" s="508">
        <f>G50</f>
        <v>0.15000000000000002</v>
      </c>
      <c r="I251" s="1243"/>
      <c r="J251" s="508">
        <v>5</v>
      </c>
      <c r="K251" s="508">
        <f>J50</f>
        <v>40</v>
      </c>
      <c r="L251" s="508">
        <f>K50</f>
        <v>-9.6</v>
      </c>
      <c r="M251" s="508">
        <f>L50</f>
        <v>-9.6999999999999993</v>
      </c>
      <c r="N251" s="508">
        <f>M50</f>
        <v>-7.2</v>
      </c>
      <c r="O251" s="508">
        <f>N50</f>
        <v>1.2499999999999996</v>
      </c>
      <c r="Q251" s="1243"/>
      <c r="R251" s="508">
        <v>5</v>
      </c>
      <c r="S251" s="508">
        <f>Q50</f>
        <v>800</v>
      </c>
      <c r="T251" s="508" t="str">
        <f>R50</f>
        <v>-</v>
      </c>
      <c r="U251" s="508" t="str">
        <f>S50</f>
        <v>-</v>
      </c>
      <c r="V251" s="508" t="str">
        <f>T50</f>
        <v>-</v>
      </c>
      <c r="W251" s="509">
        <f>U50</f>
        <v>0</v>
      </c>
      <c r="Y251" s="510">
        <v>3</v>
      </c>
      <c r="Z251" s="511">
        <f>X26</f>
        <v>2.4</v>
      </c>
      <c r="AE251" s="487"/>
    </row>
    <row r="252" spans="1:38" ht="13" hidden="1">
      <c r="A252" s="1243"/>
      <c r="B252" s="508">
        <v>6</v>
      </c>
      <c r="C252" s="508">
        <f>C61</f>
        <v>20</v>
      </c>
      <c r="D252" s="508">
        <f t="shared" ref="D252:F252" si="85">D61</f>
        <v>0.3</v>
      </c>
      <c r="E252" s="508">
        <f t="shared" si="85"/>
        <v>0.2</v>
      </c>
      <c r="F252" s="508">
        <f t="shared" si="85"/>
        <v>0</v>
      </c>
      <c r="G252" s="508">
        <f>G61</f>
        <v>4.9999999999999989E-2</v>
      </c>
      <c r="I252" s="1243"/>
      <c r="J252" s="508">
        <v>6</v>
      </c>
      <c r="K252" s="508">
        <f>J61</f>
        <v>40</v>
      </c>
      <c r="L252" s="508">
        <f>K61</f>
        <v>-3.8</v>
      </c>
      <c r="M252" s="508">
        <f>L61</f>
        <v>1.5</v>
      </c>
      <c r="N252" s="508">
        <f>M61</f>
        <v>0</v>
      </c>
      <c r="O252" s="508">
        <f>N61</f>
        <v>2.65</v>
      </c>
      <c r="Q252" s="1243"/>
      <c r="R252" s="508">
        <v>6</v>
      </c>
      <c r="S252" s="508">
        <f>Q61</f>
        <v>800</v>
      </c>
      <c r="T252" s="508">
        <f>R61</f>
        <v>0.9</v>
      </c>
      <c r="U252" s="508">
        <f>S61</f>
        <v>1.6</v>
      </c>
      <c r="V252" s="508">
        <f>T61</f>
        <v>9.9999999999999995E-7</v>
      </c>
      <c r="W252" s="509">
        <f>U61</f>
        <v>0.79999950000000009</v>
      </c>
      <c r="Y252" s="510">
        <v>4</v>
      </c>
      <c r="Z252" s="511">
        <f>X37</f>
        <v>1.3</v>
      </c>
      <c r="AE252" s="487"/>
    </row>
    <row r="253" spans="1:38" ht="13" hidden="1">
      <c r="A253" s="1243"/>
      <c r="B253" s="508">
        <v>7</v>
      </c>
      <c r="C253" s="508">
        <f>C72</f>
        <v>20</v>
      </c>
      <c r="D253" s="508">
        <f t="shared" ref="D253:F253" si="86">D72</f>
        <v>9.9999999999999995E-7</v>
      </c>
      <c r="E253" s="508">
        <f t="shared" si="86"/>
        <v>0.1</v>
      </c>
      <c r="F253" s="508">
        <f t="shared" si="86"/>
        <v>0</v>
      </c>
      <c r="G253" s="508">
        <f>G72</f>
        <v>4.9999500000000002E-2</v>
      </c>
      <c r="I253" s="1243"/>
      <c r="J253" s="508">
        <v>7</v>
      </c>
      <c r="K253" s="508">
        <f>J72</f>
        <v>40</v>
      </c>
      <c r="L253" s="508">
        <f>K72</f>
        <v>-1.9</v>
      </c>
      <c r="M253" s="508">
        <f>L72</f>
        <v>1.2</v>
      </c>
      <c r="N253" s="508">
        <f>M72</f>
        <v>0</v>
      </c>
      <c r="O253" s="508">
        <f>N72</f>
        <v>1.5499999999999998</v>
      </c>
      <c r="Q253" s="1243"/>
      <c r="R253" s="508">
        <v>7</v>
      </c>
      <c r="S253" s="508">
        <f>Q72</f>
        <v>800</v>
      </c>
      <c r="T253" s="508">
        <f>R72</f>
        <v>9.9999999999999995E-7</v>
      </c>
      <c r="U253" s="508">
        <f>S72</f>
        <v>2.5</v>
      </c>
      <c r="V253" s="508">
        <f>T72</f>
        <v>9.9999999999999995E-7</v>
      </c>
      <c r="W253" s="509">
        <f>U72</f>
        <v>1.2499994999999999</v>
      </c>
      <c r="Y253" s="510">
        <v>5</v>
      </c>
      <c r="Z253" s="511">
        <f>X48</f>
        <v>2.2999999999999998</v>
      </c>
      <c r="AE253" s="487"/>
    </row>
    <row r="254" spans="1:38" ht="13" hidden="1">
      <c r="A254" s="1243"/>
      <c r="B254" s="508">
        <v>8</v>
      </c>
      <c r="C254" s="508">
        <f>C83</f>
        <v>20</v>
      </c>
      <c r="D254" s="508">
        <f t="shared" ref="D254:F254" si="87">D83</f>
        <v>0.2</v>
      </c>
      <c r="E254" s="508">
        <f t="shared" si="87"/>
        <v>9.9999999999999995E-7</v>
      </c>
      <c r="F254" s="508">
        <f t="shared" si="87"/>
        <v>-0.2</v>
      </c>
      <c r="G254" s="508">
        <f>G83</f>
        <v>0.2</v>
      </c>
      <c r="I254" s="1243"/>
      <c r="J254" s="508">
        <v>8</v>
      </c>
      <c r="K254" s="508">
        <f>J83</f>
        <v>40</v>
      </c>
      <c r="L254" s="508">
        <f>K83</f>
        <v>-4.5999999999999996</v>
      </c>
      <c r="M254" s="508">
        <f>L83</f>
        <v>-3.8</v>
      </c>
      <c r="N254" s="508">
        <f>M83</f>
        <v>-1.2</v>
      </c>
      <c r="O254" s="508">
        <f>N83</f>
        <v>1.6999999999999997</v>
      </c>
      <c r="Q254" s="1243"/>
      <c r="R254" s="508">
        <v>8</v>
      </c>
      <c r="S254" s="508">
        <f>Q83</f>
        <v>970</v>
      </c>
      <c r="T254" s="508">
        <f>R83</f>
        <v>-1</v>
      </c>
      <c r="U254" s="508">
        <f>S83</f>
        <v>-3.9</v>
      </c>
      <c r="V254" s="508">
        <f>T83</f>
        <v>9.9999999999999995E-7</v>
      </c>
      <c r="W254" s="509">
        <f>U83</f>
        <v>1.9500005</v>
      </c>
      <c r="Y254" s="506">
        <v>6</v>
      </c>
      <c r="Z254" s="507">
        <f>X59</f>
        <v>2.6</v>
      </c>
      <c r="AE254" s="487"/>
    </row>
    <row r="255" spans="1:38" ht="13" hidden="1">
      <c r="A255" s="1243"/>
      <c r="B255" s="508">
        <v>9</v>
      </c>
      <c r="C255" s="508">
        <f>C94</f>
        <v>20</v>
      </c>
      <c r="D255" s="508">
        <f t="shared" ref="D255:F255" si="88">D94</f>
        <v>-0.2</v>
      </c>
      <c r="E255" s="508" t="str">
        <f t="shared" si="88"/>
        <v>-</v>
      </c>
      <c r="F255" s="508">
        <f t="shared" si="88"/>
        <v>0</v>
      </c>
      <c r="G255" s="508">
        <f>G94</f>
        <v>0</v>
      </c>
      <c r="I255" s="1243"/>
      <c r="J255" s="508">
        <v>9</v>
      </c>
      <c r="K255" s="508">
        <f>J94</f>
        <v>40</v>
      </c>
      <c r="L255" s="508">
        <f>K94</f>
        <v>-1</v>
      </c>
      <c r="M255" s="508" t="str">
        <f>L94</f>
        <v>-</v>
      </c>
      <c r="N255" s="508">
        <f>M94</f>
        <v>0</v>
      </c>
      <c r="O255" s="508">
        <f>N94</f>
        <v>0</v>
      </c>
      <c r="Q255" s="1243"/>
      <c r="R255" s="508">
        <v>9</v>
      </c>
      <c r="S255" s="508">
        <f>Q94</f>
        <v>800</v>
      </c>
      <c r="T255" s="508">
        <f>R94</f>
        <v>9.9999999999999995E-7</v>
      </c>
      <c r="U255" s="508" t="str">
        <f>S94</f>
        <v>-</v>
      </c>
      <c r="V255" s="508">
        <f>T94</f>
        <v>9.9999999999999995E-7</v>
      </c>
      <c r="W255" s="509">
        <f>U94</f>
        <v>0</v>
      </c>
      <c r="Y255" s="506">
        <v>7</v>
      </c>
      <c r="Z255" s="507">
        <f>X70</f>
        <v>2.4</v>
      </c>
      <c r="AE255" s="487"/>
    </row>
    <row r="256" spans="1:38" ht="13" hidden="1">
      <c r="A256" s="1243"/>
      <c r="B256" s="508">
        <v>10</v>
      </c>
      <c r="C256" s="508">
        <f>C105</f>
        <v>20</v>
      </c>
      <c r="D256" s="508">
        <f t="shared" ref="D256:F256" si="89">D105</f>
        <v>0.2</v>
      </c>
      <c r="E256" s="508">
        <f t="shared" si="89"/>
        <v>-0.7</v>
      </c>
      <c r="F256" s="508">
        <f t="shared" si="89"/>
        <v>0</v>
      </c>
      <c r="G256" s="508">
        <f>G105</f>
        <v>0.44999999999999996</v>
      </c>
      <c r="I256" s="1243"/>
      <c r="J256" s="508">
        <v>10</v>
      </c>
      <c r="K256" s="508">
        <f>J105</f>
        <v>40</v>
      </c>
      <c r="L256" s="508">
        <f>K105</f>
        <v>-3.3</v>
      </c>
      <c r="M256" s="508">
        <f>L105</f>
        <v>-6.4</v>
      </c>
      <c r="N256" s="508">
        <f>M105</f>
        <v>0</v>
      </c>
      <c r="O256" s="508">
        <f>N105</f>
        <v>1.5500000000000003</v>
      </c>
      <c r="Q256" s="1243"/>
      <c r="R256" s="508">
        <v>10</v>
      </c>
      <c r="S256" s="508">
        <f>Q105</f>
        <v>800</v>
      </c>
      <c r="T256" s="508" t="str">
        <f>R105</f>
        <v>-</v>
      </c>
      <c r="U256" s="508" t="str">
        <f>S105</f>
        <v>-</v>
      </c>
      <c r="V256" s="508">
        <f>T105</f>
        <v>9.9999999999999995E-7</v>
      </c>
      <c r="W256" s="509">
        <f>U105</f>
        <v>0</v>
      </c>
      <c r="Y256" s="506">
        <v>8</v>
      </c>
      <c r="Z256" s="507">
        <f>X81</f>
        <v>2.2999999999999998</v>
      </c>
      <c r="AE256" s="487"/>
    </row>
    <row r="257" spans="1:31" ht="13" hidden="1">
      <c r="A257" s="1243"/>
      <c r="B257" s="508">
        <v>11</v>
      </c>
      <c r="C257" s="508">
        <f>C116</f>
        <v>20</v>
      </c>
      <c r="D257" s="508">
        <f t="shared" ref="D257:F257" si="90">D116</f>
        <v>0.4</v>
      </c>
      <c r="E257" s="508">
        <f t="shared" si="90"/>
        <v>0.5</v>
      </c>
      <c r="F257" s="508">
        <f t="shared" si="90"/>
        <v>0</v>
      </c>
      <c r="G257" s="508">
        <f>G116</f>
        <v>4.9999999999999989E-2</v>
      </c>
      <c r="I257" s="1243"/>
      <c r="J257" s="508">
        <v>11</v>
      </c>
      <c r="K257" s="508">
        <f>J116</f>
        <v>40</v>
      </c>
      <c r="L257" s="508">
        <f>K116</f>
        <v>-5.5</v>
      </c>
      <c r="M257" s="508">
        <f>L116</f>
        <v>-5.9</v>
      </c>
      <c r="N257" s="508">
        <f>M116</f>
        <v>0</v>
      </c>
      <c r="O257" s="508">
        <f>N116</f>
        <v>0.20000000000000018</v>
      </c>
      <c r="Q257" s="1243"/>
      <c r="R257" s="508">
        <v>11</v>
      </c>
      <c r="S257" s="508">
        <f>Q116</f>
        <v>800</v>
      </c>
      <c r="T257" s="508" t="str">
        <f>R116</f>
        <v>-</v>
      </c>
      <c r="U257" s="508" t="str">
        <f>S116</f>
        <v>-</v>
      </c>
      <c r="V257" s="508">
        <f>T116</f>
        <v>9.9999999999999995E-7</v>
      </c>
      <c r="W257" s="509">
        <f>U116</f>
        <v>0</v>
      </c>
      <c r="Y257" s="506">
        <v>9</v>
      </c>
      <c r="Z257" s="507">
        <f>X92</f>
        <v>2.4</v>
      </c>
      <c r="AE257" s="487"/>
    </row>
    <row r="258" spans="1:31" ht="13" hidden="1">
      <c r="A258" s="1243"/>
      <c r="B258" s="508">
        <v>12</v>
      </c>
      <c r="C258" s="508">
        <f>C127</f>
        <v>20</v>
      </c>
      <c r="D258" s="508">
        <f t="shared" ref="D258:F258" si="91">D127</f>
        <v>0.3</v>
      </c>
      <c r="E258" s="508">
        <f t="shared" si="91"/>
        <v>9.9999999999999995E-7</v>
      </c>
      <c r="F258" s="508">
        <f t="shared" si="91"/>
        <v>0</v>
      </c>
      <c r="G258" s="508">
        <f>G127</f>
        <v>0.14999950000000001</v>
      </c>
      <c r="I258" s="1243"/>
      <c r="J258" s="508">
        <v>12</v>
      </c>
      <c r="K258" s="508">
        <f>J127</f>
        <v>40</v>
      </c>
      <c r="L258" s="508">
        <f>K127</f>
        <v>-3.1</v>
      </c>
      <c r="M258" s="508">
        <f>L127</f>
        <v>-0.1</v>
      </c>
      <c r="N258" s="508">
        <f>M127</f>
        <v>0</v>
      </c>
      <c r="O258" s="508">
        <f>N127</f>
        <v>1.5</v>
      </c>
      <c r="Q258" s="1243"/>
      <c r="R258" s="508">
        <v>12</v>
      </c>
      <c r="S258" s="508">
        <f>Q127</f>
        <v>970</v>
      </c>
      <c r="T258" s="508">
        <f>R127</f>
        <v>4.0999999999999996</v>
      </c>
      <c r="U258" s="508">
        <f>S127</f>
        <v>-0.5</v>
      </c>
      <c r="V258" s="508">
        <f>T127</f>
        <v>0</v>
      </c>
      <c r="W258" s="509">
        <f>U127</f>
        <v>2.2999999999999998</v>
      </c>
      <c r="Y258" s="506">
        <v>10</v>
      </c>
      <c r="Z258" s="507">
        <f>X103</f>
        <v>1.5</v>
      </c>
      <c r="AE258" s="487"/>
    </row>
    <row r="259" spans="1:31" ht="13" hidden="1">
      <c r="A259" s="1243"/>
      <c r="B259" s="508">
        <v>13</v>
      </c>
      <c r="C259" s="508">
        <f>C138</f>
        <v>20</v>
      </c>
      <c r="D259" s="508">
        <f t="shared" ref="D259:F259" si="92">D138</f>
        <v>0.2</v>
      </c>
      <c r="E259" s="508">
        <f t="shared" si="92"/>
        <v>0.2</v>
      </c>
      <c r="F259" s="508">
        <f t="shared" si="92"/>
        <v>-0.4</v>
      </c>
      <c r="G259" s="508">
        <f>G138</f>
        <v>0.30000000000000004</v>
      </c>
      <c r="I259" s="1243"/>
      <c r="J259" s="508">
        <v>13</v>
      </c>
      <c r="K259" s="508">
        <f>J138</f>
        <v>40</v>
      </c>
      <c r="L259" s="508">
        <f>K138</f>
        <v>-4</v>
      </c>
      <c r="M259" s="508">
        <f>L138</f>
        <v>-2</v>
      </c>
      <c r="N259" s="508">
        <f>M138</f>
        <v>-1.3</v>
      </c>
      <c r="O259" s="508">
        <f>N138</f>
        <v>1.35</v>
      </c>
      <c r="Q259" s="1243"/>
      <c r="R259" s="508">
        <v>13</v>
      </c>
      <c r="S259" s="508">
        <f>Q138</f>
        <v>990</v>
      </c>
      <c r="T259" s="508">
        <f>R138</f>
        <v>3.9</v>
      </c>
      <c r="U259" s="508">
        <f>S138</f>
        <v>3.8</v>
      </c>
      <c r="V259" s="508">
        <f>T138</f>
        <v>1</v>
      </c>
      <c r="W259" s="509">
        <f>U138</f>
        <v>1.45</v>
      </c>
      <c r="Y259" s="506">
        <v>11</v>
      </c>
      <c r="Z259" s="507">
        <f>X114</f>
        <v>1.8</v>
      </c>
      <c r="AE259" s="487"/>
    </row>
    <row r="260" spans="1:31" ht="13" hidden="1">
      <c r="A260" s="1243"/>
      <c r="B260" s="508">
        <v>14</v>
      </c>
      <c r="C260" s="508">
        <f>C149</f>
        <v>20</v>
      </c>
      <c r="D260" s="508">
        <f t="shared" ref="D260:F260" si="93">D149</f>
        <v>0.2</v>
      </c>
      <c r="E260" s="508">
        <f t="shared" si="93"/>
        <v>0.2</v>
      </c>
      <c r="F260" s="508">
        <f t="shared" si="93"/>
        <v>-0.1</v>
      </c>
      <c r="G260" s="508">
        <f>G149</f>
        <v>0.15000000000000002</v>
      </c>
      <c r="I260" s="1243"/>
      <c r="J260" s="508">
        <v>14</v>
      </c>
      <c r="K260" s="508">
        <f>J149</f>
        <v>40</v>
      </c>
      <c r="L260" s="508">
        <f>K149</f>
        <v>-3.8</v>
      </c>
      <c r="M260" s="508">
        <f>L149</f>
        <v>-0.4</v>
      </c>
      <c r="N260" s="508">
        <f>M149</f>
        <v>0.3</v>
      </c>
      <c r="O260" s="508">
        <f>N149</f>
        <v>2.0499999999999998</v>
      </c>
      <c r="Q260" s="1243"/>
      <c r="R260" s="508">
        <v>14</v>
      </c>
      <c r="S260" s="508">
        <f>Q149</f>
        <v>990</v>
      </c>
      <c r="T260" s="508">
        <f>R149</f>
        <v>4</v>
      </c>
      <c r="U260" s="508">
        <f>S149</f>
        <v>3.9</v>
      </c>
      <c r="V260" s="508">
        <f>T149</f>
        <v>1</v>
      </c>
      <c r="W260" s="509">
        <f>U149</f>
        <v>1.5</v>
      </c>
      <c r="Y260" s="506">
        <v>12</v>
      </c>
      <c r="Z260" s="531">
        <f>X125</f>
        <v>2.2999999999999998</v>
      </c>
      <c r="AE260" s="487"/>
    </row>
    <row r="261" spans="1:31" ht="13" hidden="1">
      <c r="A261" s="1243"/>
      <c r="B261" s="508">
        <v>15</v>
      </c>
      <c r="C261" s="508">
        <f>C160</f>
        <v>20</v>
      </c>
      <c r="D261" s="508">
        <f t="shared" ref="D261:F261" si="94">D160</f>
        <v>0.2</v>
      </c>
      <c r="E261" s="508">
        <f t="shared" si="94"/>
        <v>0.3</v>
      </c>
      <c r="F261" s="508">
        <f t="shared" si="94"/>
        <v>-0.5</v>
      </c>
      <c r="G261" s="508">
        <f>G160</f>
        <v>0.4</v>
      </c>
      <c r="I261" s="1243"/>
      <c r="J261" s="508">
        <v>15</v>
      </c>
      <c r="K261" s="508">
        <f>J160</f>
        <v>40</v>
      </c>
      <c r="L261" s="508">
        <f>K160</f>
        <v>-3.8</v>
      </c>
      <c r="M261" s="508">
        <f>L160</f>
        <v>-1.7</v>
      </c>
      <c r="N261" s="508">
        <f>M160</f>
        <v>-0.3</v>
      </c>
      <c r="O261" s="508">
        <f>N160</f>
        <v>1.75</v>
      </c>
      <c r="Q261" s="1243"/>
      <c r="R261" s="508">
        <v>15</v>
      </c>
      <c r="S261" s="508">
        <f>Q160</f>
        <v>990</v>
      </c>
      <c r="T261" s="508">
        <f>R160</f>
        <v>4.3</v>
      </c>
      <c r="U261" s="508">
        <f>S160</f>
        <v>4.2</v>
      </c>
      <c r="V261" s="508">
        <f>T160</f>
        <v>1</v>
      </c>
      <c r="W261" s="509">
        <f>U160</f>
        <v>1.65</v>
      </c>
      <c r="Y261" s="506">
        <v>13</v>
      </c>
      <c r="Z261" s="507">
        <f>X136</f>
        <v>2.2999999999999998</v>
      </c>
      <c r="AE261" s="487"/>
    </row>
    <row r="262" spans="1:31" ht="13" hidden="1">
      <c r="A262" s="1243"/>
      <c r="B262" s="508">
        <v>16</v>
      </c>
      <c r="C262" s="508">
        <f>C171</f>
        <v>20</v>
      </c>
      <c r="D262" s="508">
        <f t="shared" ref="D262:F262" si="95">D171</f>
        <v>0.3</v>
      </c>
      <c r="E262" s="508">
        <f t="shared" si="95"/>
        <v>0.2</v>
      </c>
      <c r="F262" s="508">
        <f t="shared" si="95"/>
        <v>0</v>
      </c>
      <c r="G262" s="508">
        <f>G171</f>
        <v>4.9999999999999989E-2</v>
      </c>
      <c r="I262" s="1243"/>
      <c r="J262" s="508">
        <v>16</v>
      </c>
      <c r="K262" s="508">
        <f>J171</f>
        <v>40</v>
      </c>
      <c r="L262" s="508">
        <f>K171</f>
        <v>-2.2999999999999998</v>
      </c>
      <c r="M262" s="508">
        <f>L171</f>
        <v>-1.4</v>
      </c>
      <c r="N262" s="508">
        <f>M171</f>
        <v>0</v>
      </c>
      <c r="O262" s="508">
        <f>N171</f>
        <v>0.44999999999999996</v>
      </c>
      <c r="Q262" s="1243"/>
      <c r="R262" s="508">
        <v>16</v>
      </c>
      <c r="S262" s="508">
        <f>Q171</f>
        <v>970</v>
      </c>
      <c r="T262" s="508">
        <f>R171</f>
        <v>4.5</v>
      </c>
      <c r="U262" s="508">
        <f>S171</f>
        <v>-2.2999999999999998</v>
      </c>
      <c r="V262" s="508">
        <f>T171</f>
        <v>0</v>
      </c>
      <c r="W262" s="509">
        <f>U171</f>
        <v>3.4</v>
      </c>
      <c r="Y262" s="506">
        <v>14</v>
      </c>
      <c r="Z262" s="507">
        <f>X147</f>
        <v>2.2999999999999998</v>
      </c>
      <c r="AE262" s="487"/>
    </row>
    <row r="263" spans="1:31" ht="13" hidden="1">
      <c r="A263" s="1243"/>
      <c r="B263" s="508">
        <v>17</v>
      </c>
      <c r="C263" s="508">
        <f>C182</f>
        <v>20</v>
      </c>
      <c r="D263" s="508">
        <f>D182</f>
        <v>0.4</v>
      </c>
      <c r="E263" s="508">
        <f>E182</f>
        <v>0.1</v>
      </c>
      <c r="F263" s="508">
        <f t="shared" ref="F263" si="96">F182</f>
        <v>0</v>
      </c>
      <c r="G263" s="508">
        <f>G182</f>
        <v>0.15000000000000002</v>
      </c>
      <c r="I263" s="1243"/>
      <c r="J263" s="508">
        <v>17</v>
      </c>
      <c r="K263" s="508">
        <f>J182</f>
        <v>40</v>
      </c>
      <c r="L263" s="508">
        <f>K182</f>
        <v>-2.4</v>
      </c>
      <c r="M263" s="508">
        <f>L182</f>
        <v>0.2</v>
      </c>
      <c r="N263" s="508">
        <f>M182</f>
        <v>0</v>
      </c>
      <c r="O263" s="508">
        <f>N182</f>
        <v>1.3</v>
      </c>
      <c r="Q263" s="1243"/>
      <c r="R263" s="508">
        <v>17</v>
      </c>
      <c r="S263" s="508">
        <f>Q182</f>
        <v>970</v>
      </c>
      <c r="T263" s="508">
        <f>R182</f>
        <v>4.5</v>
      </c>
      <c r="U263" s="508">
        <f>S182</f>
        <v>-0.6</v>
      </c>
      <c r="V263" s="508">
        <f>T182</f>
        <v>0</v>
      </c>
      <c r="W263" s="509">
        <f>U182</f>
        <v>2.5499999999999998</v>
      </c>
      <c r="Y263" s="506">
        <v>15</v>
      </c>
      <c r="Z263" s="507">
        <f>X158</f>
        <v>2.2999999999999998</v>
      </c>
      <c r="AE263" s="487"/>
    </row>
    <row r="264" spans="1:31" ht="13" hidden="1">
      <c r="A264" s="1243"/>
      <c r="B264" s="508">
        <v>18</v>
      </c>
      <c r="C264" s="508">
        <f>C193</f>
        <v>20</v>
      </c>
      <c r="D264" s="508">
        <f t="shared" ref="D264:F264" si="97">D193</f>
        <v>0.2</v>
      </c>
      <c r="E264" s="508">
        <f t="shared" si="97"/>
        <v>-0.1</v>
      </c>
      <c r="F264" s="508">
        <f t="shared" si="97"/>
        <v>0</v>
      </c>
      <c r="G264" s="508">
        <f>G193</f>
        <v>0.15000000000000002</v>
      </c>
      <c r="I264" s="1243"/>
      <c r="J264" s="508">
        <v>18</v>
      </c>
      <c r="K264" s="508">
        <f>J193</f>
        <v>40</v>
      </c>
      <c r="L264" s="508">
        <f>K193</f>
        <v>-2.9</v>
      </c>
      <c r="M264" s="508">
        <f>L193</f>
        <v>-0.2</v>
      </c>
      <c r="N264" s="508">
        <f>M193</f>
        <v>0</v>
      </c>
      <c r="O264" s="508">
        <f>N193</f>
        <v>1.3499999999999999</v>
      </c>
      <c r="Q264" s="1243"/>
      <c r="R264" s="508">
        <v>18</v>
      </c>
      <c r="S264" s="508">
        <f>Q193</f>
        <v>970</v>
      </c>
      <c r="T264" s="508">
        <f>R193</f>
        <v>4.4000000000000004</v>
      </c>
      <c r="U264" s="508">
        <f>S193</f>
        <v>-1.3</v>
      </c>
      <c r="V264" s="508">
        <f>T193</f>
        <v>0</v>
      </c>
      <c r="W264" s="509">
        <f>U193</f>
        <v>2.85</v>
      </c>
      <c r="Y264" s="506">
        <v>16</v>
      </c>
      <c r="Z264" s="507">
        <f>X169</f>
        <v>2.2999999999999998</v>
      </c>
      <c r="AE264" s="487"/>
    </row>
    <row r="265" spans="1:31" ht="13" hidden="1">
      <c r="A265" s="1243"/>
      <c r="B265" s="508">
        <v>19</v>
      </c>
      <c r="C265" s="508">
        <f>C204</f>
        <v>20</v>
      </c>
      <c r="D265" s="508">
        <f t="shared" ref="D265:F265" si="98">D204</f>
        <v>0.3</v>
      </c>
      <c r="E265" s="508">
        <f t="shared" si="98"/>
        <v>0.1</v>
      </c>
      <c r="F265" s="508">
        <f t="shared" si="98"/>
        <v>0</v>
      </c>
      <c r="G265" s="508">
        <f>G204</f>
        <v>9.9999999999999992E-2</v>
      </c>
      <c r="I265" s="1243"/>
      <c r="J265" s="508">
        <v>19</v>
      </c>
      <c r="K265" s="508">
        <f>J204</f>
        <v>40</v>
      </c>
      <c r="L265" s="508">
        <f>K204</f>
        <v>-2.4</v>
      </c>
      <c r="M265" s="508">
        <f>L204</f>
        <v>-0.8</v>
      </c>
      <c r="N265" s="508">
        <f>M204</f>
        <v>0</v>
      </c>
      <c r="O265" s="508">
        <f>N204</f>
        <v>0.79999999999999993</v>
      </c>
      <c r="Q265" s="1243"/>
      <c r="R265" s="508">
        <v>19</v>
      </c>
      <c r="S265" s="508">
        <f>Q204</f>
        <v>800</v>
      </c>
      <c r="T265" s="508">
        <f>R204</f>
        <v>4.5</v>
      </c>
      <c r="U265" s="508">
        <f>S204</f>
        <v>2.5</v>
      </c>
      <c r="V265" s="508">
        <f>T204</f>
        <v>0</v>
      </c>
      <c r="W265" s="509">
        <f>U204</f>
        <v>1</v>
      </c>
      <c r="Y265" s="506">
        <v>17</v>
      </c>
      <c r="Z265" s="507">
        <f>X180</f>
        <v>2.2999999999999998</v>
      </c>
      <c r="AE265" s="487"/>
    </row>
    <row r="266" spans="1:31" ht="13.5" hidden="1" thickBot="1">
      <c r="A266" s="1243"/>
      <c r="B266" s="508">
        <v>20</v>
      </c>
      <c r="C266" s="508">
        <f>C215</f>
        <v>19.7</v>
      </c>
      <c r="D266" s="508">
        <f t="shared" ref="D266:F266" si="99">D215</f>
        <v>9.9999999999999995E-7</v>
      </c>
      <c r="E266" s="508" t="str">
        <f t="shared" si="99"/>
        <v>-</v>
      </c>
      <c r="F266" s="508">
        <f t="shared" si="99"/>
        <v>9.9999999999999995E-7</v>
      </c>
      <c r="G266" s="508">
        <f>G215</f>
        <v>0</v>
      </c>
      <c r="I266" s="1243"/>
      <c r="J266" s="508">
        <v>20</v>
      </c>
      <c r="K266" s="508">
        <f>J215</f>
        <v>54.3</v>
      </c>
      <c r="L266" s="508">
        <f>K215</f>
        <v>9.9999999999999995E-7</v>
      </c>
      <c r="M266" s="508" t="str">
        <f>L215</f>
        <v>-</v>
      </c>
      <c r="N266" s="508">
        <f>M215</f>
        <v>0</v>
      </c>
      <c r="O266" s="508">
        <f>N215</f>
        <v>0</v>
      </c>
      <c r="Q266" s="1245"/>
      <c r="R266" s="517">
        <v>20</v>
      </c>
      <c r="S266" s="517">
        <f>Q215</f>
        <v>800</v>
      </c>
      <c r="T266" s="517">
        <f>R215</f>
        <v>9.9999999999999995E-7</v>
      </c>
      <c r="U266" s="517" t="str">
        <f>S215</f>
        <v>-</v>
      </c>
      <c r="V266" s="517">
        <f>T215</f>
        <v>9.9999999999999995E-7</v>
      </c>
      <c r="W266" s="532">
        <f>U215</f>
        <v>0</v>
      </c>
      <c r="Y266" s="506">
        <v>18</v>
      </c>
      <c r="Z266" s="507">
        <f>X191</f>
        <v>2.2999999999999998</v>
      </c>
      <c r="AE266" s="521"/>
    </row>
    <row r="267" spans="1:31" ht="13" hidden="1">
      <c r="A267" s="522"/>
      <c r="B267" s="522"/>
      <c r="C267" s="522"/>
      <c r="D267" s="522"/>
      <c r="E267" s="522"/>
      <c r="F267" s="502"/>
      <c r="G267" s="522"/>
      <c r="I267" s="522"/>
      <c r="J267" s="522"/>
      <c r="K267" s="522"/>
      <c r="L267" s="522"/>
      <c r="M267" s="522"/>
      <c r="N267" s="502"/>
      <c r="O267" s="522"/>
      <c r="Q267" s="533"/>
      <c r="R267" s="523"/>
      <c r="S267" s="296"/>
      <c r="T267" s="296"/>
      <c r="U267" s="296"/>
      <c r="W267" s="297"/>
      <c r="Y267" s="506">
        <v>19</v>
      </c>
      <c r="Z267" s="514">
        <f>X202</f>
        <v>2.2999999999999998</v>
      </c>
      <c r="AE267" s="487"/>
    </row>
    <row r="268" spans="1:31" ht="13.5" hidden="1" thickBot="1">
      <c r="A268" s="1243">
        <v>3</v>
      </c>
      <c r="B268" s="508">
        <v>1</v>
      </c>
      <c r="C268" s="508">
        <f>C7</f>
        <v>25</v>
      </c>
      <c r="D268" s="508">
        <f t="shared" ref="D268:F268" si="100">D7</f>
        <v>-0.1</v>
      </c>
      <c r="E268" s="508">
        <f t="shared" si="100"/>
        <v>0.1</v>
      </c>
      <c r="F268" s="508">
        <f t="shared" si="100"/>
        <v>9.9999999999999995E-7</v>
      </c>
      <c r="G268" s="508">
        <f>G7</f>
        <v>0.1</v>
      </c>
      <c r="I268" s="1243">
        <v>3</v>
      </c>
      <c r="J268" s="508">
        <v>1</v>
      </c>
      <c r="K268" s="508">
        <f>J7</f>
        <v>50</v>
      </c>
      <c r="L268" s="508">
        <f>K7</f>
        <v>-6.6</v>
      </c>
      <c r="M268" s="508">
        <f>L7</f>
        <v>-9.1</v>
      </c>
      <c r="N268" s="508">
        <f>M7</f>
        <v>-5.3</v>
      </c>
      <c r="O268" s="508">
        <f>N7</f>
        <v>1.9</v>
      </c>
      <c r="Q268" s="1244">
        <v>3</v>
      </c>
      <c r="R268" s="527">
        <v>1</v>
      </c>
      <c r="S268" s="527">
        <f>Q7</f>
        <v>850</v>
      </c>
      <c r="T268" s="527" t="str">
        <f>R7</f>
        <v>-</v>
      </c>
      <c r="U268" s="527" t="str">
        <f>S7</f>
        <v>-</v>
      </c>
      <c r="V268" s="527">
        <f>T7</f>
        <v>9.9999999999999995E-7</v>
      </c>
      <c r="W268" s="534">
        <f>U7</f>
        <v>0</v>
      </c>
      <c r="Y268" s="515">
        <v>20</v>
      </c>
      <c r="Z268" s="516">
        <f>X213</f>
        <v>0</v>
      </c>
      <c r="AE268" s="530"/>
    </row>
    <row r="269" spans="1:31" ht="13" hidden="1">
      <c r="A269" s="1243"/>
      <c r="B269" s="508">
        <v>2</v>
      </c>
      <c r="C269" s="508">
        <f>C18</f>
        <v>25</v>
      </c>
      <c r="D269" s="508">
        <f t="shared" ref="D269:F269" si="101">D18</f>
        <v>0.3</v>
      </c>
      <c r="E269" s="508">
        <f t="shared" si="101"/>
        <v>0.5</v>
      </c>
      <c r="F269" s="508">
        <f t="shared" si="101"/>
        <v>-0.2</v>
      </c>
      <c r="G269" s="508">
        <f>G18</f>
        <v>0.35</v>
      </c>
      <c r="I269" s="1243"/>
      <c r="J269" s="508">
        <v>2</v>
      </c>
      <c r="K269" s="508">
        <f>J18</f>
        <v>50</v>
      </c>
      <c r="L269" s="508">
        <f>K18</f>
        <v>-8</v>
      </c>
      <c r="M269" s="508">
        <f>L18</f>
        <v>-5.3</v>
      </c>
      <c r="N269" s="508">
        <f>M18</f>
        <v>-1.5</v>
      </c>
      <c r="O269" s="508">
        <f>N18</f>
        <v>3.25</v>
      </c>
      <c r="Q269" s="1243"/>
      <c r="R269" s="508">
        <v>2</v>
      </c>
      <c r="S269" s="508">
        <f>Q18</f>
        <v>850</v>
      </c>
      <c r="T269" s="508" t="str">
        <f>R18</f>
        <v>-</v>
      </c>
      <c r="U269" s="508" t="str">
        <f>S18</f>
        <v>-</v>
      </c>
      <c r="V269" s="508" t="str">
        <f>T18</f>
        <v>-</v>
      </c>
      <c r="W269" s="509">
        <f>U18</f>
        <v>0</v>
      </c>
      <c r="AE269" s="487"/>
    </row>
    <row r="270" spans="1:31" ht="13" hidden="1">
      <c r="A270" s="1243"/>
      <c r="B270" s="508">
        <v>3</v>
      </c>
      <c r="C270" s="508">
        <f>C29</f>
        <v>25</v>
      </c>
      <c r="D270" s="508">
        <f t="shared" ref="D270:F270" si="102">D29</f>
        <v>0.3</v>
      </c>
      <c r="E270" s="508">
        <f t="shared" si="102"/>
        <v>0.7</v>
      </c>
      <c r="F270" s="508">
        <f t="shared" si="102"/>
        <v>-0.1</v>
      </c>
      <c r="G270" s="508">
        <f>G29</f>
        <v>0.39999999999999997</v>
      </c>
      <c r="I270" s="1243"/>
      <c r="J270" s="508">
        <v>3</v>
      </c>
      <c r="K270" s="508">
        <f>J29</f>
        <v>50</v>
      </c>
      <c r="L270" s="508">
        <f>K29</f>
        <v>-7.9</v>
      </c>
      <c r="M270" s="508">
        <f>L29</f>
        <v>-4.5</v>
      </c>
      <c r="N270" s="508">
        <f>M29</f>
        <v>-4.9000000000000004</v>
      </c>
      <c r="O270" s="508">
        <f>N29</f>
        <v>1.7000000000000002</v>
      </c>
      <c r="Q270" s="1243"/>
      <c r="R270" s="508">
        <v>3</v>
      </c>
      <c r="S270" s="508">
        <f>Q29</f>
        <v>850</v>
      </c>
      <c r="T270" s="508" t="str">
        <f>R29</f>
        <v>-</v>
      </c>
      <c r="U270" s="508" t="str">
        <f>S29</f>
        <v>-</v>
      </c>
      <c r="V270" s="508" t="str">
        <f>T29</f>
        <v>-</v>
      </c>
      <c r="W270" s="509">
        <f>U29</f>
        <v>0</v>
      </c>
      <c r="AE270" s="487"/>
    </row>
    <row r="271" spans="1:31" ht="13" hidden="1">
      <c r="A271" s="1243"/>
      <c r="B271" s="508">
        <v>4</v>
      </c>
      <c r="C271" s="508">
        <f>C40</f>
        <v>25</v>
      </c>
      <c r="D271" s="508">
        <f t="shared" ref="D271:F271" si="103">D40</f>
        <v>-0.1</v>
      </c>
      <c r="E271" s="508">
        <f t="shared" si="103"/>
        <v>-0.5</v>
      </c>
      <c r="F271" s="508">
        <f t="shared" si="103"/>
        <v>0</v>
      </c>
      <c r="G271" s="508">
        <f>G40</f>
        <v>0.2</v>
      </c>
      <c r="I271" s="1243"/>
      <c r="J271" s="508">
        <v>4</v>
      </c>
      <c r="K271" s="508">
        <f>J40</f>
        <v>50</v>
      </c>
      <c r="L271" s="508">
        <f>K40</f>
        <v>-4.3</v>
      </c>
      <c r="M271" s="508">
        <f>L40</f>
        <v>-1</v>
      </c>
      <c r="N271" s="508">
        <f>M40</f>
        <v>0</v>
      </c>
      <c r="O271" s="508">
        <f>N40</f>
        <v>1.65</v>
      </c>
      <c r="Q271" s="1243"/>
      <c r="R271" s="508">
        <v>4</v>
      </c>
      <c r="S271" s="508">
        <f>Q40</f>
        <v>850</v>
      </c>
      <c r="T271" s="508" t="str">
        <f>R40</f>
        <v>-</v>
      </c>
      <c r="U271" s="508" t="str">
        <f>S40</f>
        <v>-</v>
      </c>
      <c r="V271" s="508">
        <f>T40</f>
        <v>9.9999999999999995E-7</v>
      </c>
      <c r="W271" s="509">
        <f>U40</f>
        <v>0</v>
      </c>
      <c r="Y271" s="1233" t="s">
        <v>397</v>
      </c>
      <c r="Z271" s="1234"/>
      <c r="AE271" s="487"/>
    </row>
    <row r="272" spans="1:31" ht="13" hidden="1">
      <c r="A272" s="1243"/>
      <c r="B272" s="508">
        <v>5</v>
      </c>
      <c r="C272" s="508">
        <f>C51</f>
        <v>25</v>
      </c>
      <c r="D272" s="508">
        <f t="shared" ref="D272:F272" si="104">D51</f>
        <v>0.4</v>
      </c>
      <c r="E272" s="508">
        <f t="shared" si="104"/>
        <v>0.2</v>
      </c>
      <c r="F272" s="508">
        <f t="shared" si="104"/>
        <v>0.4</v>
      </c>
      <c r="G272" s="508">
        <f>G51</f>
        <v>0.1</v>
      </c>
      <c r="I272" s="1243"/>
      <c r="J272" s="508">
        <v>5</v>
      </c>
      <c r="K272" s="508">
        <f>J51</f>
        <v>50</v>
      </c>
      <c r="L272" s="508">
        <f>K51</f>
        <v>-8.8000000000000007</v>
      </c>
      <c r="M272" s="508">
        <f>L51</f>
        <v>-9.1</v>
      </c>
      <c r="N272" s="508">
        <f>M51</f>
        <v>-6.2</v>
      </c>
      <c r="O272" s="508">
        <f>N51</f>
        <v>1.4499999999999997</v>
      </c>
      <c r="Q272" s="1243"/>
      <c r="R272" s="508">
        <v>5</v>
      </c>
      <c r="S272" s="508">
        <f>Q51</f>
        <v>850</v>
      </c>
      <c r="T272" s="508" t="str">
        <f>R51</f>
        <v>-</v>
      </c>
      <c r="U272" s="508" t="str">
        <f>S51</f>
        <v>-</v>
      </c>
      <c r="V272" s="508" t="str">
        <f>T51</f>
        <v>-</v>
      </c>
      <c r="W272" s="509">
        <f>U51</f>
        <v>0</v>
      </c>
      <c r="Y272" s="1240" t="s">
        <v>437</v>
      </c>
      <c r="Z272" s="1241"/>
      <c r="AE272" s="487"/>
    </row>
    <row r="273" spans="1:31" ht="13" hidden="1">
      <c r="A273" s="1243"/>
      <c r="B273" s="508">
        <v>6</v>
      </c>
      <c r="C273" s="508">
        <f>C62</f>
        <v>25</v>
      </c>
      <c r="D273" s="508">
        <f t="shared" ref="D273:F273" si="105">D62</f>
        <v>0.2</v>
      </c>
      <c r="E273" s="508">
        <f t="shared" si="105"/>
        <v>-0.1</v>
      </c>
      <c r="F273" s="508">
        <f t="shared" si="105"/>
        <v>0</v>
      </c>
      <c r="G273" s="508">
        <f>G62</f>
        <v>0.15000000000000002</v>
      </c>
      <c r="I273" s="1243"/>
      <c r="J273" s="508">
        <v>6</v>
      </c>
      <c r="K273" s="508">
        <f>J62</f>
        <v>50</v>
      </c>
      <c r="L273" s="508">
        <f>K62</f>
        <v>-5.4</v>
      </c>
      <c r="M273" s="508">
        <f>L62</f>
        <v>1.2</v>
      </c>
      <c r="N273" s="508">
        <f>M62</f>
        <v>0</v>
      </c>
      <c r="O273" s="508">
        <f>N62</f>
        <v>3.3000000000000003</v>
      </c>
      <c r="Q273" s="1243"/>
      <c r="R273" s="508">
        <v>6</v>
      </c>
      <c r="S273" s="508">
        <f>Q62</f>
        <v>850</v>
      </c>
      <c r="T273" s="508">
        <f>R62</f>
        <v>0.9</v>
      </c>
      <c r="U273" s="508">
        <f>S62</f>
        <v>1.1000000000000001</v>
      </c>
      <c r="V273" s="508">
        <f>T62</f>
        <v>9.9999999999999995E-7</v>
      </c>
      <c r="W273" s="509">
        <f>U62</f>
        <v>0.54999950000000009</v>
      </c>
      <c r="Y273" s="506">
        <v>1</v>
      </c>
      <c r="Z273" s="507">
        <f>X5</f>
        <v>0</v>
      </c>
      <c r="AE273" s="487"/>
    </row>
    <row r="274" spans="1:31" ht="13" hidden="1">
      <c r="A274" s="1243"/>
      <c r="B274" s="508">
        <v>7</v>
      </c>
      <c r="C274" s="508">
        <f>C73</f>
        <v>25</v>
      </c>
      <c r="D274" s="508">
        <f t="shared" ref="D274:F274" si="106">D73</f>
        <v>9.9999999999999995E-7</v>
      </c>
      <c r="E274" s="508">
        <f t="shared" si="106"/>
        <v>-0.2</v>
      </c>
      <c r="F274" s="508">
        <f t="shared" si="106"/>
        <v>0</v>
      </c>
      <c r="G274" s="508">
        <f>G73</f>
        <v>0.10000050000000001</v>
      </c>
      <c r="I274" s="1243"/>
      <c r="J274" s="508">
        <v>7</v>
      </c>
      <c r="K274" s="508">
        <f>J73</f>
        <v>50</v>
      </c>
      <c r="L274" s="508">
        <f>K73</f>
        <v>-1.9</v>
      </c>
      <c r="M274" s="508">
        <f>L73</f>
        <v>0.8</v>
      </c>
      <c r="N274" s="508">
        <f>M73</f>
        <v>0</v>
      </c>
      <c r="O274" s="508">
        <f>N73</f>
        <v>1.35</v>
      </c>
      <c r="Q274" s="1243"/>
      <c r="R274" s="508">
        <v>7</v>
      </c>
      <c r="S274" s="508">
        <f>Q73</f>
        <v>850</v>
      </c>
      <c r="T274" s="508">
        <f>R73</f>
        <v>9.9999999999999995E-7</v>
      </c>
      <c r="U274" s="508">
        <f>S73</f>
        <v>1.7</v>
      </c>
      <c r="V274" s="508">
        <f>T73</f>
        <v>9.9999999999999995E-7</v>
      </c>
      <c r="W274" s="509">
        <f>U73</f>
        <v>0.84999950000000002</v>
      </c>
      <c r="Y274" s="510">
        <v>2</v>
      </c>
      <c r="Z274" s="507">
        <f>X16</f>
        <v>0</v>
      </c>
      <c r="AE274" s="487"/>
    </row>
    <row r="275" spans="1:31" ht="13" hidden="1">
      <c r="A275" s="1243"/>
      <c r="B275" s="508">
        <v>8</v>
      </c>
      <c r="C275" s="508">
        <f>C84</f>
        <v>25</v>
      </c>
      <c r="D275" s="508">
        <f t="shared" ref="D275:F275" si="107">D84</f>
        <v>0</v>
      </c>
      <c r="E275" s="508">
        <f t="shared" si="107"/>
        <v>-0.1</v>
      </c>
      <c r="F275" s="508">
        <f t="shared" si="107"/>
        <v>-0.4</v>
      </c>
      <c r="G275" s="508">
        <f>G84</f>
        <v>0.2</v>
      </c>
      <c r="I275" s="1243"/>
      <c r="J275" s="508">
        <v>8</v>
      </c>
      <c r="K275" s="508">
        <f>J84</f>
        <v>50</v>
      </c>
      <c r="L275" s="508">
        <f>K84</f>
        <v>-5</v>
      </c>
      <c r="M275" s="508">
        <f>L84</f>
        <v>-3.8</v>
      </c>
      <c r="N275" s="508">
        <f>M84</f>
        <v>-1.2</v>
      </c>
      <c r="O275" s="508">
        <f>N84</f>
        <v>1.9</v>
      </c>
      <c r="Q275" s="1243"/>
      <c r="R275" s="508">
        <v>8</v>
      </c>
      <c r="S275" s="508">
        <f>Q84</f>
        <v>980</v>
      </c>
      <c r="T275" s="508">
        <f>R84</f>
        <v>-0.6</v>
      </c>
      <c r="U275" s="508">
        <f>S84</f>
        <v>-3.8</v>
      </c>
      <c r="V275" s="508">
        <f>T84</f>
        <v>9.9999999999999995E-7</v>
      </c>
      <c r="W275" s="509">
        <f>U84</f>
        <v>1.9000005</v>
      </c>
      <c r="Y275" s="510">
        <v>3</v>
      </c>
      <c r="Z275" s="511">
        <f>X27</f>
        <v>0</v>
      </c>
      <c r="AE275" s="487"/>
    </row>
    <row r="276" spans="1:31" ht="13" hidden="1">
      <c r="A276" s="1243"/>
      <c r="B276" s="508">
        <v>9</v>
      </c>
      <c r="C276" s="508">
        <f>C95</f>
        <v>25</v>
      </c>
      <c r="D276" s="508">
        <f t="shared" ref="D276:F276" si="108">D95</f>
        <v>-0.4</v>
      </c>
      <c r="E276" s="508" t="str">
        <f t="shared" si="108"/>
        <v>-</v>
      </c>
      <c r="F276" s="508">
        <f t="shared" si="108"/>
        <v>0</v>
      </c>
      <c r="G276" s="508">
        <f>G95</f>
        <v>0</v>
      </c>
      <c r="I276" s="1243"/>
      <c r="J276" s="508">
        <v>9</v>
      </c>
      <c r="K276" s="508">
        <f>J95</f>
        <v>50</v>
      </c>
      <c r="L276" s="508">
        <f>K95</f>
        <v>-0.9</v>
      </c>
      <c r="M276" s="508" t="str">
        <f>L95</f>
        <v>-</v>
      </c>
      <c r="N276" s="508">
        <f>M95</f>
        <v>0</v>
      </c>
      <c r="O276" s="508">
        <f>N95</f>
        <v>0</v>
      </c>
      <c r="Q276" s="1243"/>
      <c r="R276" s="508">
        <v>9</v>
      </c>
      <c r="S276" s="508">
        <f>Q95</f>
        <v>850</v>
      </c>
      <c r="T276" s="508">
        <f>R95</f>
        <v>9.9999999999999995E-7</v>
      </c>
      <c r="U276" s="508" t="str">
        <f>S95</f>
        <v>-</v>
      </c>
      <c r="V276" s="508">
        <f>T95</f>
        <v>9.9999999999999995E-7</v>
      </c>
      <c r="W276" s="509">
        <f>U95</f>
        <v>0</v>
      </c>
      <c r="Y276" s="510">
        <v>4</v>
      </c>
      <c r="Z276" s="511">
        <f>X38</f>
        <v>0</v>
      </c>
      <c r="AE276" s="487"/>
    </row>
    <row r="277" spans="1:31" ht="13" hidden="1">
      <c r="A277" s="1243"/>
      <c r="B277" s="508">
        <v>10</v>
      </c>
      <c r="C277" s="508">
        <f>C106</f>
        <v>25</v>
      </c>
      <c r="D277" s="508">
        <f t="shared" ref="D277:F277" si="109">D106</f>
        <v>0.1</v>
      </c>
      <c r="E277" s="508">
        <f t="shared" si="109"/>
        <v>-0.5</v>
      </c>
      <c r="F277" s="508">
        <f t="shared" si="109"/>
        <v>0</v>
      </c>
      <c r="G277" s="508">
        <f>G106</f>
        <v>0.3</v>
      </c>
      <c r="I277" s="1243"/>
      <c r="J277" s="508">
        <v>10</v>
      </c>
      <c r="K277" s="508">
        <f>J106</f>
        <v>50</v>
      </c>
      <c r="L277" s="508">
        <f>K106</f>
        <v>-3.1</v>
      </c>
      <c r="M277" s="508">
        <f>L106</f>
        <v>-6.1</v>
      </c>
      <c r="N277" s="508">
        <f>M106</f>
        <v>0</v>
      </c>
      <c r="O277" s="508">
        <f>N106</f>
        <v>1.4999999999999998</v>
      </c>
      <c r="Q277" s="1243"/>
      <c r="R277" s="508">
        <v>10</v>
      </c>
      <c r="S277" s="508">
        <f>Q106</f>
        <v>850</v>
      </c>
      <c r="T277" s="508" t="str">
        <f>R106</f>
        <v>-</v>
      </c>
      <c r="U277" s="508" t="str">
        <f>S106</f>
        <v>-</v>
      </c>
      <c r="V277" s="508">
        <f>T106</f>
        <v>9.9999999999999995E-7</v>
      </c>
      <c r="W277" s="509">
        <f>U106</f>
        <v>0</v>
      </c>
      <c r="Y277" s="510">
        <v>5</v>
      </c>
      <c r="Z277" s="511">
        <f>X49</f>
        <v>0</v>
      </c>
      <c r="AE277" s="487"/>
    </row>
    <row r="278" spans="1:31" ht="13" hidden="1">
      <c r="A278" s="1243"/>
      <c r="B278" s="508">
        <v>11</v>
      </c>
      <c r="C278" s="508">
        <f>C117</f>
        <v>25</v>
      </c>
      <c r="D278" s="508">
        <f t="shared" ref="D278:F278" si="110">D117</f>
        <v>0.4</v>
      </c>
      <c r="E278" s="508">
        <f t="shared" si="110"/>
        <v>0.5</v>
      </c>
      <c r="F278" s="508">
        <f t="shared" si="110"/>
        <v>0</v>
      </c>
      <c r="G278" s="508">
        <f>G117</f>
        <v>4.9999999999999989E-2</v>
      </c>
      <c r="I278" s="1243"/>
      <c r="J278" s="508">
        <v>11</v>
      </c>
      <c r="K278" s="508">
        <f>J117</f>
        <v>50</v>
      </c>
      <c r="L278" s="508">
        <f>K117</f>
        <v>-5.5</v>
      </c>
      <c r="M278" s="508">
        <f>L117</f>
        <v>-5.6</v>
      </c>
      <c r="N278" s="508">
        <f>M117</f>
        <v>0</v>
      </c>
      <c r="O278" s="508">
        <f>N117</f>
        <v>4.9999999999999822E-2</v>
      </c>
      <c r="Q278" s="1243"/>
      <c r="R278" s="508">
        <v>11</v>
      </c>
      <c r="S278" s="508">
        <f>Q117</f>
        <v>850</v>
      </c>
      <c r="T278" s="508" t="str">
        <f>R117</f>
        <v>-</v>
      </c>
      <c r="U278" s="508" t="str">
        <f>S117</f>
        <v>-</v>
      </c>
      <c r="V278" s="508">
        <f>T117</f>
        <v>9.9999999999999995E-7</v>
      </c>
      <c r="W278" s="509">
        <f>U117</f>
        <v>0</v>
      </c>
      <c r="Y278" s="506">
        <v>6</v>
      </c>
      <c r="Z278" s="507">
        <f>X60</f>
        <v>1.6</v>
      </c>
      <c r="AE278" s="487"/>
    </row>
    <row r="279" spans="1:31" ht="13" hidden="1">
      <c r="A279" s="1243"/>
      <c r="B279" s="508">
        <v>12</v>
      </c>
      <c r="C279" s="508">
        <f>C128</f>
        <v>25</v>
      </c>
      <c r="D279" s="508">
        <f t="shared" ref="D279:F279" si="111">D128</f>
        <v>0.4</v>
      </c>
      <c r="E279" s="508">
        <f t="shared" si="111"/>
        <v>9.9999999999999995E-7</v>
      </c>
      <c r="F279" s="508">
        <f t="shared" si="111"/>
        <v>0</v>
      </c>
      <c r="G279" s="508">
        <f>G128</f>
        <v>0.19999950000000002</v>
      </c>
      <c r="I279" s="1243"/>
      <c r="J279" s="508">
        <v>12</v>
      </c>
      <c r="K279" s="508">
        <f>J128</f>
        <v>50</v>
      </c>
      <c r="L279" s="508">
        <f>K128</f>
        <v>-3.2</v>
      </c>
      <c r="M279" s="508">
        <f>L128</f>
        <v>9.9999999999999995E-7</v>
      </c>
      <c r="N279" s="508">
        <f>M128</f>
        <v>0</v>
      </c>
      <c r="O279" s="508">
        <f>N128</f>
        <v>1.6000005000000002</v>
      </c>
      <c r="Q279" s="1243"/>
      <c r="R279" s="508">
        <v>12</v>
      </c>
      <c r="S279" s="508">
        <f>Q128</f>
        <v>980</v>
      </c>
      <c r="T279" s="508">
        <f>R128</f>
        <v>4.0999999999999996</v>
      </c>
      <c r="U279" s="508">
        <f>S128</f>
        <v>-0.6</v>
      </c>
      <c r="V279" s="508">
        <f>T128</f>
        <v>0</v>
      </c>
      <c r="W279" s="509">
        <f>U128</f>
        <v>2.3499999999999996</v>
      </c>
      <c r="Y279" s="506">
        <v>7</v>
      </c>
      <c r="Z279" s="507">
        <f>X71</f>
        <v>2.4</v>
      </c>
      <c r="AE279" s="487"/>
    </row>
    <row r="280" spans="1:31" ht="13" hidden="1">
      <c r="A280" s="1243"/>
      <c r="B280" s="508">
        <v>13</v>
      </c>
      <c r="C280" s="508">
        <f>C139</f>
        <v>25</v>
      </c>
      <c r="D280" s="508">
        <f t="shared" ref="D280:F280" si="112">D139</f>
        <v>0.3</v>
      </c>
      <c r="E280" s="508">
        <f t="shared" si="112"/>
        <v>0.1</v>
      </c>
      <c r="F280" s="508">
        <f t="shared" si="112"/>
        <v>-0.2</v>
      </c>
      <c r="G280" s="508">
        <f>G139</f>
        <v>0.25</v>
      </c>
      <c r="I280" s="1243"/>
      <c r="J280" s="508">
        <v>13</v>
      </c>
      <c r="K280" s="508">
        <f>J139</f>
        <v>50</v>
      </c>
      <c r="L280" s="508">
        <f>K139</f>
        <v>-3.6</v>
      </c>
      <c r="M280" s="508">
        <f>L139</f>
        <v>-1.8</v>
      </c>
      <c r="N280" s="508">
        <f>M139</f>
        <v>-1.3</v>
      </c>
      <c r="O280" s="508">
        <f>N139</f>
        <v>1.1499999999999999</v>
      </c>
      <c r="Q280" s="1243"/>
      <c r="R280" s="508">
        <v>13</v>
      </c>
      <c r="S280" s="508">
        <f>Q139</f>
        <v>995</v>
      </c>
      <c r="T280" s="508">
        <f>R139</f>
        <v>0</v>
      </c>
      <c r="U280" s="508">
        <f>S139</f>
        <v>3.7</v>
      </c>
      <c r="V280" s="508">
        <f>T139</f>
        <v>1</v>
      </c>
      <c r="W280" s="509">
        <f>U139</f>
        <v>1.35</v>
      </c>
      <c r="Y280" s="506">
        <v>8</v>
      </c>
      <c r="Z280" s="507">
        <f>X82</f>
        <v>2.5</v>
      </c>
      <c r="AE280" s="487"/>
    </row>
    <row r="281" spans="1:31" ht="13" hidden="1">
      <c r="A281" s="1243"/>
      <c r="B281" s="508">
        <v>14</v>
      </c>
      <c r="C281" s="508">
        <f>C150</f>
        <v>25</v>
      </c>
      <c r="D281" s="508">
        <f t="shared" ref="D281:F281" si="113">D150</f>
        <v>0.2</v>
      </c>
      <c r="E281" s="508">
        <f t="shared" si="113"/>
        <v>-0.1</v>
      </c>
      <c r="F281" s="508">
        <f t="shared" si="113"/>
        <v>-0.1</v>
      </c>
      <c r="G281" s="508">
        <f>G150</f>
        <v>0.15000000000000002</v>
      </c>
      <c r="I281" s="1243"/>
      <c r="J281" s="508">
        <v>14</v>
      </c>
      <c r="K281" s="508">
        <f>J151</f>
        <v>60</v>
      </c>
      <c r="L281" s="508">
        <f>K151</f>
        <v>-1.8</v>
      </c>
      <c r="M281" s="508">
        <f>L151</f>
        <v>0.3</v>
      </c>
      <c r="N281" s="508">
        <f>M151</f>
        <v>-0.6</v>
      </c>
      <c r="O281" s="508">
        <f>N151</f>
        <v>1.05</v>
      </c>
      <c r="Q281" s="1243"/>
      <c r="R281" s="508">
        <v>14</v>
      </c>
      <c r="S281" s="508">
        <f>Q150</f>
        <v>995</v>
      </c>
      <c r="T281" s="508">
        <f>R150</f>
        <v>0</v>
      </c>
      <c r="U281" s="508">
        <f>S150</f>
        <v>3.8</v>
      </c>
      <c r="V281" s="508">
        <f>T150</f>
        <v>1</v>
      </c>
      <c r="W281" s="509">
        <f>U150</f>
        <v>1.4</v>
      </c>
      <c r="Y281" s="506">
        <v>9</v>
      </c>
      <c r="Z281" s="507">
        <f>X93</f>
        <v>2.2000000000000002</v>
      </c>
      <c r="AE281" s="487"/>
    </row>
    <row r="282" spans="1:31" ht="13" hidden="1">
      <c r="A282" s="1243"/>
      <c r="B282" s="508">
        <v>15</v>
      </c>
      <c r="C282" s="508">
        <f>C161</f>
        <v>25</v>
      </c>
      <c r="D282" s="508">
        <f t="shared" ref="D282:F282" si="114">D161</f>
        <v>0.3</v>
      </c>
      <c r="E282" s="508">
        <f t="shared" si="114"/>
        <v>0.2</v>
      </c>
      <c r="F282" s="508">
        <f t="shared" si="114"/>
        <v>-0.4</v>
      </c>
      <c r="G282" s="508">
        <f>G161</f>
        <v>0.35</v>
      </c>
      <c r="I282" s="1243"/>
      <c r="J282" s="508">
        <v>15</v>
      </c>
      <c r="K282" s="508">
        <f>J161</f>
        <v>50</v>
      </c>
      <c r="L282" s="508">
        <f>K161</f>
        <v>-3.1</v>
      </c>
      <c r="M282" s="508">
        <f>L161</f>
        <v>-1.4</v>
      </c>
      <c r="N282" s="508">
        <f>M161</f>
        <v>-0.3</v>
      </c>
      <c r="O282" s="508">
        <f>N161</f>
        <v>1.4000000000000001</v>
      </c>
      <c r="Q282" s="1243"/>
      <c r="R282" s="508">
        <v>15</v>
      </c>
      <c r="S282" s="508">
        <f>Q161</f>
        <v>995</v>
      </c>
      <c r="T282" s="508">
        <f>R161</f>
        <v>0</v>
      </c>
      <c r="U282" s="508">
        <f>S161</f>
        <v>4.0999999999999996</v>
      </c>
      <c r="V282" s="508">
        <f>T161</f>
        <v>1</v>
      </c>
      <c r="W282" s="509">
        <f>U161</f>
        <v>1.5499999999999998</v>
      </c>
      <c r="Y282" s="506">
        <v>10</v>
      </c>
      <c r="Z282" s="507">
        <f>X104</f>
        <v>0</v>
      </c>
      <c r="AE282" s="487"/>
    </row>
    <row r="283" spans="1:31" ht="13" hidden="1">
      <c r="A283" s="1243"/>
      <c r="B283" s="508">
        <v>16</v>
      </c>
      <c r="C283" s="508">
        <f>C172</f>
        <v>25</v>
      </c>
      <c r="D283" s="508">
        <f t="shared" ref="D283:F283" si="115">D172</f>
        <v>0.5</v>
      </c>
      <c r="E283" s="508">
        <f t="shared" si="115"/>
        <v>0.2</v>
      </c>
      <c r="F283" s="508">
        <f t="shared" si="115"/>
        <v>0</v>
      </c>
      <c r="G283" s="508">
        <f>G172</f>
        <v>0.15</v>
      </c>
      <c r="I283" s="1243"/>
      <c r="J283" s="508">
        <v>16</v>
      </c>
      <c r="K283" s="508">
        <f>J172</f>
        <v>50</v>
      </c>
      <c r="L283" s="508">
        <f>K172</f>
        <v>-2</v>
      </c>
      <c r="M283" s="508">
        <f>L172</f>
        <v>-1.4</v>
      </c>
      <c r="N283" s="508">
        <f>M172</f>
        <v>0</v>
      </c>
      <c r="O283" s="508">
        <f>N172</f>
        <v>0.30000000000000004</v>
      </c>
      <c r="Q283" s="1243"/>
      <c r="R283" s="508">
        <v>16</v>
      </c>
      <c r="S283" s="508">
        <f>Q172</f>
        <v>980</v>
      </c>
      <c r="T283" s="508">
        <f>R172</f>
        <v>4.5</v>
      </c>
      <c r="U283" s="508">
        <f>S172</f>
        <v>-1.7</v>
      </c>
      <c r="V283" s="508">
        <f>T172</f>
        <v>0</v>
      </c>
      <c r="W283" s="509">
        <f>U172</f>
        <v>3.1</v>
      </c>
      <c r="Y283" s="506">
        <v>11</v>
      </c>
      <c r="Z283" s="507">
        <f>X115</f>
        <v>0</v>
      </c>
      <c r="AE283" s="487"/>
    </row>
    <row r="284" spans="1:31" ht="13" hidden="1">
      <c r="A284" s="1243"/>
      <c r="B284" s="508">
        <v>17</v>
      </c>
      <c r="C284" s="508">
        <f>C183</f>
        <v>25</v>
      </c>
      <c r="D284" s="508">
        <f>D183</f>
        <v>0.5</v>
      </c>
      <c r="E284" s="508">
        <f>E183</f>
        <v>9.9999999999999995E-7</v>
      </c>
      <c r="F284" s="508">
        <f t="shared" ref="F284" si="116">F183</f>
        <v>0</v>
      </c>
      <c r="G284" s="508">
        <f>G183</f>
        <v>0.24999950000000001</v>
      </c>
      <c r="I284" s="1243"/>
      <c r="J284" s="508">
        <v>17</v>
      </c>
      <c r="K284" s="508">
        <f>J183</f>
        <v>50</v>
      </c>
      <c r="L284" s="508">
        <f>K183</f>
        <v>-1.9</v>
      </c>
      <c r="M284" s="508">
        <f>L183</f>
        <v>0.2</v>
      </c>
      <c r="N284" s="508">
        <f>M183</f>
        <v>0</v>
      </c>
      <c r="O284" s="508">
        <f>N183</f>
        <v>1.05</v>
      </c>
      <c r="Q284" s="1243"/>
      <c r="R284" s="508">
        <v>17</v>
      </c>
      <c r="S284" s="508">
        <f>Q183</f>
        <v>980</v>
      </c>
      <c r="T284" s="508">
        <f>R183</f>
        <v>4.5</v>
      </c>
      <c r="U284" s="508">
        <f>S183</f>
        <v>-0.6</v>
      </c>
      <c r="V284" s="508">
        <f>T183</f>
        <v>0</v>
      </c>
      <c r="W284" s="509">
        <f>U183</f>
        <v>2.5499999999999998</v>
      </c>
      <c r="Y284" s="506">
        <v>12</v>
      </c>
      <c r="Z284" s="531">
        <f>X126</f>
        <v>2.1</v>
      </c>
      <c r="AE284" s="487"/>
    </row>
    <row r="285" spans="1:31" ht="13" hidden="1">
      <c r="A285" s="1243"/>
      <c r="B285" s="508">
        <v>18</v>
      </c>
      <c r="C285" s="508">
        <f>C194</f>
        <v>25</v>
      </c>
      <c r="D285" s="508">
        <f t="shared" ref="D285:F285" si="117">D194</f>
        <v>0.2</v>
      </c>
      <c r="E285" s="508">
        <f t="shared" si="117"/>
        <v>-0.2</v>
      </c>
      <c r="F285" s="508">
        <f t="shared" si="117"/>
        <v>0</v>
      </c>
      <c r="G285" s="508">
        <f>G194</f>
        <v>0.2</v>
      </c>
      <c r="I285" s="1243"/>
      <c r="J285" s="508">
        <v>18</v>
      </c>
      <c r="K285" s="508">
        <f>J194</f>
        <v>50</v>
      </c>
      <c r="L285" s="508">
        <f>K194</f>
        <v>-2.4</v>
      </c>
      <c r="M285" s="508">
        <f>L194</f>
        <v>-0.2</v>
      </c>
      <c r="N285" s="508">
        <f>M194</f>
        <v>0</v>
      </c>
      <c r="O285" s="508">
        <f>N194</f>
        <v>1.0999999999999999</v>
      </c>
      <c r="Q285" s="1243"/>
      <c r="R285" s="508">
        <v>18</v>
      </c>
      <c r="S285" s="508">
        <f>Q194</f>
        <v>980</v>
      </c>
      <c r="T285" s="508">
        <f>R194</f>
        <v>4.3</v>
      </c>
      <c r="U285" s="508">
        <f>S194</f>
        <v>-1.1000000000000001</v>
      </c>
      <c r="V285" s="508">
        <f>T194</f>
        <v>0</v>
      </c>
      <c r="W285" s="509">
        <f>U194</f>
        <v>2.7</v>
      </c>
      <c r="Y285" s="506">
        <v>13</v>
      </c>
      <c r="Z285" s="507">
        <f>X137</f>
        <v>2.4</v>
      </c>
      <c r="AE285" s="487"/>
    </row>
    <row r="286" spans="1:31" ht="13" hidden="1">
      <c r="A286" s="1243"/>
      <c r="B286" s="508">
        <v>19</v>
      </c>
      <c r="C286" s="508">
        <f>C194</f>
        <v>25</v>
      </c>
      <c r="D286" s="508">
        <f t="shared" ref="D286:F286" si="118">D194</f>
        <v>0.2</v>
      </c>
      <c r="E286" s="508">
        <f t="shared" si="118"/>
        <v>-0.2</v>
      </c>
      <c r="F286" s="508">
        <f t="shared" si="118"/>
        <v>0</v>
      </c>
      <c r="G286" s="508">
        <f>G194</f>
        <v>0.2</v>
      </c>
      <c r="I286" s="1243"/>
      <c r="J286" s="508">
        <v>19</v>
      </c>
      <c r="K286" s="508">
        <f>J205</f>
        <v>50</v>
      </c>
      <c r="L286" s="508">
        <f>K205</f>
        <v>-2.7</v>
      </c>
      <c r="M286" s="508">
        <f>L205</f>
        <v>-0.2</v>
      </c>
      <c r="N286" s="508">
        <f>M205</f>
        <v>0</v>
      </c>
      <c r="O286" s="508">
        <f>N205</f>
        <v>1.25</v>
      </c>
      <c r="Q286" s="1243"/>
      <c r="R286" s="508">
        <v>19</v>
      </c>
      <c r="S286" s="508">
        <f>Q205</f>
        <v>850</v>
      </c>
      <c r="T286" s="508">
        <f>R205</f>
        <v>4.4000000000000004</v>
      </c>
      <c r="U286" s="508">
        <f>S205</f>
        <v>2.4</v>
      </c>
      <c r="V286" s="508">
        <f>T205</f>
        <v>0</v>
      </c>
      <c r="W286" s="509">
        <f>U205</f>
        <v>1.0000000000000002</v>
      </c>
      <c r="Y286" s="506">
        <v>14</v>
      </c>
      <c r="Z286" s="507">
        <f>X148</f>
        <v>2.5</v>
      </c>
      <c r="AE286" s="487"/>
    </row>
    <row r="287" spans="1:31" ht="13.5" hidden="1" thickBot="1">
      <c r="A287" s="1243"/>
      <c r="B287" s="508">
        <v>20</v>
      </c>
      <c r="C287" s="508">
        <f>C216</f>
        <v>24.6</v>
      </c>
      <c r="D287" s="508">
        <f t="shared" ref="D287:F287" si="119">D216</f>
        <v>9.9999999999999995E-7</v>
      </c>
      <c r="E287" s="508" t="str">
        <f t="shared" si="119"/>
        <v>-</v>
      </c>
      <c r="F287" s="508">
        <f t="shared" si="119"/>
        <v>9.9999999999999995E-7</v>
      </c>
      <c r="G287" s="508">
        <f>G216</f>
        <v>0</v>
      </c>
      <c r="I287" s="1243"/>
      <c r="J287" s="508">
        <v>20</v>
      </c>
      <c r="K287" s="508">
        <f>J216</f>
        <v>62.5</v>
      </c>
      <c r="L287" s="508">
        <f>K216</f>
        <v>9.9999999999999995E-7</v>
      </c>
      <c r="M287" s="508" t="str">
        <f>L216</f>
        <v>-</v>
      </c>
      <c r="N287" s="508">
        <f>M216</f>
        <v>0</v>
      </c>
      <c r="O287" s="508">
        <f>N216</f>
        <v>0</v>
      </c>
      <c r="Q287" s="1245"/>
      <c r="R287" s="517">
        <v>20</v>
      </c>
      <c r="S287" s="517">
        <f>Q216</f>
        <v>850</v>
      </c>
      <c r="T287" s="517">
        <f>R216</f>
        <v>9.9999999999999995E-7</v>
      </c>
      <c r="U287" s="517" t="str">
        <f>S216</f>
        <v>-</v>
      </c>
      <c r="V287" s="517">
        <f>T216</f>
        <v>9.9999999999999995E-7</v>
      </c>
      <c r="W287" s="532">
        <f>U216</f>
        <v>0</v>
      </c>
      <c r="Y287" s="506">
        <v>15</v>
      </c>
      <c r="Z287" s="507">
        <f>X159</f>
        <v>2.2999999999999998</v>
      </c>
      <c r="AE287" s="521"/>
    </row>
    <row r="288" spans="1:31" ht="13" hidden="1">
      <c r="A288" s="522"/>
      <c r="B288" s="522"/>
      <c r="C288" s="522"/>
      <c r="D288" s="522"/>
      <c r="E288" s="522"/>
      <c r="F288" s="502"/>
      <c r="G288" s="522"/>
      <c r="I288" s="522"/>
      <c r="J288" s="522"/>
      <c r="K288" s="522"/>
      <c r="L288" s="522"/>
      <c r="M288" s="522"/>
      <c r="N288" s="502"/>
      <c r="O288" s="522"/>
      <c r="Q288" s="533"/>
      <c r="R288" s="535"/>
      <c r="S288" s="296"/>
      <c r="T288" s="296"/>
      <c r="U288" s="296"/>
      <c r="W288" s="297"/>
      <c r="Y288" s="506">
        <v>16</v>
      </c>
      <c r="Z288" s="514">
        <f>X170</f>
        <v>2.2000000000000002</v>
      </c>
      <c r="AE288" s="487"/>
    </row>
    <row r="289" spans="1:31" ht="13" hidden="1">
      <c r="A289" s="1243">
        <v>4</v>
      </c>
      <c r="B289" s="508">
        <v>1</v>
      </c>
      <c r="C289" s="508">
        <f>C8</f>
        <v>30</v>
      </c>
      <c r="D289" s="508">
        <f t="shared" ref="D289:F289" si="120">D8</f>
        <v>-0.1</v>
      </c>
      <c r="E289" s="508">
        <f t="shared" si="120"/>
        <v>0</v>
      </c>
      <c r="F289" s="508">
        <f t="shared" si="120"/>
        <v>9.9999999999999995E-7</v>
      </c>
      <c r="G289" s="508">
        <f>G8</f>
        <v>5.0000500000000003E-2</v>
      </c>
      <c r="I289" s="1243">
        <v>4</v>
      </c>
      <c r="J289" s="508">
        <v>1</v>
      </c>
      <c r="K289" s="508">
        <f>J8</f>
        <v>60</v>
      </c>
      <c r="L289" s="508">
        <f>K8</f>
        <v>-6</v>
      </c>
      <c r="M289" s="508">
        <f>L8</f>
        <v>-6.9</v>
      </c>
      <c r="N289" s="508">
        <f>M8</f>
        <v>-4.4000000000000004</v>
      </c>
      <c r="O289" s="508">
        <f>N8</f>
        <v>1.25</v>
      </c>
      <c r="Q289" s="1244">
        <v>4</v>
      </c>
      <c r="R289" s="527">
        <v>1</v>
      </c>
      <c r="S289" s="527">
        <f>Q8</f>
        <v>900</v>
      </c>
      <c r="T289" s="527" t="str">
        <f>R8</f>
        <v>-</v>
      </c>
      <c r="U289" s="527" t="str">
        <f>S8</f>
        <v>-</v>
      </c>
      <c r="V289" s="527">
        <f>T8</f>
        <v>9.9999999999999995E-7</v>
      </c>
      <c r="W289" s="534">
        <f>U8</f>
        <v>0</v>
      </c>
      <c r="Y289" s="506">
        <v>17</v>
      </c>
      <c r="Z289" s="514">
        <f>X181</f>
        <v>2.1</v>
      </c>
      <c r="AE289" s="530"/>
    </row>
    <row r="290" spans="1:31" ht="13" hidden="1">
      <c r="A290" s="1243"/>
      <c r="B290" s="508">
        <v>2</v>
      </c>
      <c r="C290" s="508">
        <f>C19</f>
        <v>30</v>
      </c>
      <c r="D290" s="508">
        <f t="shared" ref="D290:F290" si="121">D19</f>
        <v>0.4</v>
      </c>
      <c r="E290" s="508">
        <f t="shared" si="121"/>
        <v>0.2</v>
      </c>
      <c r="F290" s="508">
        <f t="shared" si="121"/>
        <v>-0.3</v>
      </c>
      <c r="G290" s="508">
        <f>G19</f>
        <v>0.35</v>
      </c>
      <c r="I290" s="1243"/>
      <c r="J290" s="508">
        <v>2</v>
      </c>
      <c r="K290" s="508">
        <f>J19</f>
        <v>60</v>
      </c>
      <c r="L290" s="508">
        <f>K19</f>
        <v>-5.7</v>
      </c>
      <c r="M290" s="508">
        <f>L19</f>
        <v>-4</v>
      </c>
      <c r="N290" s="508">
        <f>M19</f>
        <v>-1.3</v>
      </c>
      <c r="O290" s="508">
        <f>N19</f>
        <v>2.2000000000000002</v>
      </c>
      <c r="Q290" s="1243"/>
      <c r="R290" s="508">
        <v>2</v>
      </c>
      <c r="S290" s="508">
        <f>Q19</f>
        <v>900</v>
      </c>
      <c r="T290" s="508" t="str">
        <f>R19</f>
        <v>-</v>
      </c>
      <c r="U290" s="508" t="str">
        <f>S19</f>
        <v>-</v>
      </c>
      <c r="V290" s="508" t="str">
        <f>T19</f>
        <v>-</v>
      </c>
      <c r="W290" s="509">
        <f>U19</f>
        <v>0</v>
      </c>
      <c r="Y290" s="506">
        <v>18</v>
      </c>
      <c r="Z290" s="514">
        <f>X192</f>
        <v>2.1</v>
      </c>
      <c r="AE290" s="487"/>
    </row>
    <row r="291" spans="1:31" ht="13" hidden="1">
      <c r="A291" s="1243"/>
      <c r="B291" s="508">
        <v>3</v>
      </c>
      <c r="C291" s="508">
        <f>C30</f>
        <v>30</v>
      </c>
      <c r="D291" s="508">
        <f t="shared" ref="D291:F291" si="122">D30</f>
        <v>0.3</v>
      </c>
      <c r="E291" s="508">
        <f t="shared" si="122"/>
        <v>9.9999999999999995E-7</v>
      </c>
      <c r="F291" s="508">
        <f t="shared" si="122"/>
        <v>-0.3</v>
      </c>
      <c r="G291" s="508">
        <f>G30</f>
        <v>0.3</v>
      </c>
      <c r="I291" s="1243"/>
      <c r="J291" s="508">
        <v>3</v>
      </c>
      <c r="K291" s="508">
        <f>J30</f>
        <v>60</v>
      </c>
      <c r="L291" s="508">
        <f>K30</f>
        <v>-6.2</v>
      </c>
      <c r="M291" s="508">
        <f>L30</f>
        <v>-3.2</v>
      </c>
      <c r="N291" s="508">
        <f>M30</f>
        <v>-4.3</v>
      </c>
      <c r="O291" s="508">
        <f>N30</f>
        <v>1.5</v>
      </c>
      <c r="Q291" s="1243"/>
      <c r="R291" s="508">
        <v>3</v>
      </c>
      <c r="S291" s="508">
        <f>Q30</f>
        <v>900</v>
      </c>
      <c r="T291" s="508" t="str">
        <f>R30</f>
        <v>-</v>
      </c>
      <c r="U291" s="508" t="str">
        <f>S30</f>
        <v>-</v>
      </c>
      <c r="V291" s="508" t="str">
        <f>T30</f>
        <v>-</v>
      </c>
      <c r="W291" s="509">
        <f>U30</f>
        <v>0</v>
      </c>
      <c r="Y291" s="506">
        <v>19</v>
      </c>
      <c r="Z291" s="514">
        <f>X203</f>
        <v>2.1</v>
      </c>
      <c r="AE291" s="487"/>
    </row>
    <row r="292" spans="1:31" ht="13.5" hidden="1" thickBot="1">
      <c r="A292" s="1243"/>
      <c r="B292" s="508">
        <v>4</v>
      </c>
      <c r="C292" s="508">
        <f>C41</f>
        <v>30</v>
      </c>
      <c r="D292" s="508">
        <f t="shared" ref="D292:F292" si="123">D41</f>
        <v>-0.1</v>
      </c>
      <c r="E292" s="508">
        <f t="shared" si="123"/>
        <v>-0.6</v>
      </c>
      <c r="F292" s="508">
        <f t="shared" si="123"/>
        <v>0</v>
      </c>
      <c r="G292" s="508">
        <f>G41</f>
        <v>0.25</v>
      </c>
      <c r="I292" s="1243"/>
      <c r="J292" s="508">
        <v>4</v>
      </c>
      <c r="K292" s="508">
        <f>J41</f>
        <v>60</v>
      </c>
      <c r="L292" s="508">
        <f>K41</f>
        <v>-4.2</v>
      </c>
      <c r="M292" s="508">
        <f>L41</f>
        <v>-0.3</v>
      </c>
      <c r="N292" s="508">
        <f>M41</f>
        <v>0</v>
      </c>
      <c r="O292" s="508">
        <f>N41</f>
        <v>1.9500000000000002</v>
      </c>
      <c r="Q292" s="1243"/>
      <c r="R292" s="508">
        <v>4</v>
      </c>
      <c r="S292" s="508">
        <f>Q41</f>
        <v>900</v>
      </c>
      <c r="T292" s="508" t="str">
        <f>R41</f>
        <v>-</v>
      </c>
      <c r="U292" s="508" t="str">
        <f>S41</f>
        <v>-</v>
      </c>
      <c r="V292" s="508">
        <f>T41</f>
        <v>9.9999999999999995E-7</v>
      </c>
      <c r="W292" s="509">
        <f>U41</f>
        <v>0</v>
      </c>
      <c r="Y292" s="515">
        <v>20</v>
      </c>
      <c r="Z292" s="516">
        <f>X214</f>
        <v>0</v>
      </c>
      <c r="AE292" s="487"/>
    </row>
    <row r="293" spans="1:31" ht="13" hidden="1">
      <c r="A293" s="1243"/>
      <c r="B293" s="508">
        <v>5</v>
      </c>
      <c r="C293" s="508">
        <f>C52</f>
        <v>30</v>
      </c>
      <c r="D293" s="508">
        <f t="shared" ref="D293:F293" si="124">D52</f>
        <v>0.4</v>
      </c>
      <c r="E293" s="508">
        <f t="shared" si="124"/>
        <v>0.1</v>
      </c>
      <c r="F293" s="508">
        <f t="shared" si="124"/>
        <v>0.6</v>
      </c>
      <c r="G293" s="508">
        <f>G52</f>
        <v>0.25</v>
      </c>
      <c r="I293" s="1243"/>
      <c r="J293" s="508">
        <v>5</v>
      </c>
      <c r="K293" s="508">
        <f>J52</f>
        <v>60</v>
      </c>
      <c r="L293" s="508">
        <f>K52</f>
        <v>-8</v>
      </c>
      <c r="M293" s="508">
        <f>L52</f>
        <v>-7.9</v>
      </c>
      <c r="N293" s="508">
        <f>M52</f>
        <v>-5.2</v>
      </c>
      <c r="O293" s="508">
        <f>N52</f>
        <v>1.4</v>
      </c>
      <c r="Q293" s="1243"/>
      <c r="R293" s="508">
        <v>5</v>
      </c>
      <c r="S293" s="508">
        <f>Q52</f>
        <v>900</v>
      </c>
      <c r="T293" s="508" t="str">
        <f>R52</f>
        <v>-</v>
      </c>
      <c r="U293" s="508" t="str">
        <f>S52</f>
        <v>-</v>
      </c>
      <c r="V293" s="508" t="str">
        <f>T52</f>
        <v>-</v>
      </c>
      <c r="W293" s="509">
        <f>U52</f>
        <v>0</v>
      </c>
      <c r="AE293" s="487"/>
    </row>
    <row r="294" spans="1:31" ht="13" hidden="1">
      <c r="A294" s="1243"/>
      <c r="B294" s="508">
        <v>6</v>
      </c>
      <c r="C294" s="508">
        <f>C63</f>
        <v>30</v>
      </c>
      <c r="D294" s="508">
        <f t="shared" ref="D294:F294" si="125">D63</f>
        <v>0.1</v>
      </c>
      <c r="E294" s="508">
        <f t="shared" si="125"/>
        <v>-0.5</v>
      </c>
      <c r="F294" s="508">
        <f t="shared" si="125"/>
        <v>0</v>
      </c>
      <c r="G294" s="508">
        <f>G63</f>
        <v>0.3</v>
      </c>
      <c r="I294" s="1243"/>
      <c r="J294" s="508">
        <v>6</v>
      </c>
      <c r="K294" s="508">
        <f>J63</f>
        <v>60</v>
      </c>
      <c r="L294" s="508">
        <f>K63</f>
        <v>-6.4</v>
      </c>
      <c r="M294" s="508">
        <f>L63</f>
        <v>1.1000000000000001</v>
      </c>
      <c r="N294" s="508">
        <f>M63</f>
        <v>0</v>
      </c>
      <c r="O294" s="508">
        <f>N63</f>
        <v>3.75</v>
      </c>
      <c r="Q294" s="1243"/>
      <c r="R294" s="508">
        <v>6</v>
      </c>
      <c r="S294" s="508">
        <f>Q63</f>
        <v>900</v>
      </c>
      <c r="T294" s="508">
        <f>R63</f>
        <v>0.9</v>
      </c>
      <c r="U294" s="508">
        <f>S63</f>
        <v>0.7</v>
      </c>
      <c r="V294" s="508">
        <f>T63</f>
        <v>9.9999999999999995E-7</v>
      </c>
      <c r="W294" s="509">
        <f>U63</f>
        <v>0.4499995</v>
      </c>
      <c r="AE294" s="487"/>
    </row>
    <row r="295" spans="1:31" ht="13" hidden="1">
      <c r="A295" s="1243"/>
      <c r="B295" s="508">
        <v>7</v>
      </c>
      <c r="C295" s="508">
        <f>C74</f>
        <v>30</v>
      </c>
      <c r="D295" s="508">
        <f t="shared" ref="D295:F295" si="126">D74</f>
        <v>9.9999999999999995E-7</v>
      </c>
      <c r="E295" s="508">
        <f t="shared" si="126"/>
        <v>-0.6</v>
      </c>
      <c r="F295" s="508">
        <f t="shared" si="126"/>
        <v>0</v>
      </c>
      <c r="G295" s="508">
        <f>G74</f>
        <v>0.3000005</v>
      </c>
      <c r="I295" s="1243"/>
      <c r="J295" s="508">
        <v>7</v>
      </c>
      <c r="K295" s="508">
        <f>J74</f>
        <v>60</v>
      </c>
      <c r="L295" s="508">
        <f>K74</f>
        <v>-2.1</v>
      </c>
      <c r="M295" s="508">
        <f>L74</f>
        <v>0.7</v>
      </c>
      <c r="N295" s="508">
        <f>M74</f>
        <v>0</v>
      </c>
      <c r="O295" s="508">
        <f>N74</f>
        <v>1.4</v>
      </c>
      <c r="Q295" s="1243"/>
      <c r="R295" s="508">
        <v>7</v>
      </c>
      <c r="S295" s="508">
        <f>Q74</f>
        <v>900</v>
      </c>
      <c r="T295" s="508">
        <f>R74</f>
        <v>9.9999999999999995E-7</v>
      </c>
      <c r="U295" s="508">
        <f>S74</f>
        <v>1</v>
      </c>
      <c r="V295" s="508">
        <f>T74</f>
        <v>9.9999999999999995E-7</v>
      </c>
      <c r="W295" s="509">
        <f>U74</f>
        <v>0.49999949999999999</v>
      </c>
      <c r="AE295" s="487"/>
    </row>
    <row r="296" spans="1:31" ht="13" hidden="1">
      <c r="A296" s="1243"/>
      <c r="B296" s="508">
        <v>8</v>
      </c>
      <c r="C296" s="508">
        <f>C85</f>
        <v>30</v>
      </c>
      <c r="D296" s="508">
        <f t="shared" ref="D296:F296" si="127">D85</f>
        <v>-0.1</v>
      </c>
      <c r="E296" s="508">
        <f t="shared" si="127"/>
        <v>-0.2</v>
      </c>
      <c r="F296" s="508">
        <f t="shared" si="127"/>
        <v>-0.4</v>
      </c>
      <c r="G296" s="508">
        <f>G85</f>
        <v>0.15000000000000002</v>
      </c>
      <c r="I296" s="1243"/>
      <c r="J296" s="508">
        <v>8</v>
      </c>
      <c r="K296" s="508">
        <f>J85</f>
        <v>60</v>
      </c>
      <c r="L296" s="508">
        <f>K85</f>
        <v>-5.6</v>
      </c>
      <c r="M296" s="508">
        <f>L85</f>
        <v>-3.9</v>
      </c>
      <c r="N296" s="508">
        <f>M85</f>
        <v>-1.1000000000000001</v>
      </c>
      <c r="O296" s="508">
        <f>N85</f>
        <v>2.25</v>
      </c>
      <c r="Q296" s="1243"/>
      <c r="R296" s="508">
        <v>8</v>
      </c>
      <c r="S296" s="508">
        <f>Q85</f>
        <v>990</v>
      </c>
      <c r="T296" s="508">
        <f>R85</f>
        <v>-0.2</v>
      </c>
      <c r="U296" s="508">
        <f>S85</f>
        <v>-3.6</v>
      </c>
      <c r="V296" s="508">
        <f>T85</f>
        <v>9.9999999999999995E-7</v>
      </c>
      <c r="W296" s="509">
        <f>U85</f>
        <v>1.8000005000000001</v>
      </c>
      <c r="AE296" s="487"/>
    </row>
    <row r="297" spans="1:31" ht="13" hidden="1">
      <c r="A297" s="1243"/>
      <c r="B297" s="508">
        <v>9</v>
      </c>
      <c r="C297" s="508">
        <f>C96</f>
        <v>30</v>
      </c>
      <c r="D297" s="508">
        <f t="shared" ref="D297:F297" si="128">D96</f>
        <v>-0.5</v>
      </c>
      <c r="E297" s="508" t="str">
        <f t="shared" si="128"/>
        <v>-</v>
      </c>
      <c r="F297" s="508">
        <f t="shared" si="128"/>
        <v>0</v>
      </c>
      <c r="G297" s="508">
        <f>G96</f>
        <v>0</v>
      </c>
      <c r="I297" s="1243"/>
      <c r="J297" s="508">
        <v>9</v>
      </c>
      <c r="K297" s="508">
        <f>J96</f>
        <v>60</v>
      </c>
      <c r="L297" s="508">
        <f>K96</f>
        <v>-0.8</v>
      </c>
      <c r="M297" s="508" t="str">
        <f>L96</f>
        <v>-</v>
      </c>
      <c r="N297" s="508">
        <f>M96</f>
        <v>0</v>
      </c>
      <c r="O297" s="508">
        <f>N96</f>
        <v>0</v>
      </c>
      <c r="Q297" s="1243"/>
      <c r="R297" s="508">
        <v>9</v>
      </c>
      <c r="S297" s="508">
        <f>Q96</f>
        <v>900</v>
      </c>
      <c r="T297" s="508">
        <f>R96</f>
        <v>9.9999999999999995E-7</v>
      </c>
      <c r="U297" s="508" t="str">
        <f>S96</f>
        <v>-</v>
      </c>
      <c r="V297" s="508">
        <f>T96</f>
        <v>9.9999999999999995E-7</v>
      </c>
      <c r="W297" s="509">
        <f>U96</f>
        <v>0</v>
      </c>
      <c r="AE297" s="487"/>
    </row>
    <row r="298" spans="1:31" ht="13" hidden="1">
      <c r="A298" s="1243"/>
      <c r="B298" s="508">
        <v>10</v>
      </c>
      <c r="C298" s="508">
        <f>C107</f>
        <v>30</v>
      </c>
      <c r="D298" s="508">
        <f t="shared" ref="D298:F298" si="129">D107</f>
        <v>0.1</v>
      </c>
      <c r="E298" s="508">
        <f t="shared" si="129"/>
        <v>0.2</v>
      </c>
      <c r="F298" s="508">
        <f t="shared" si="129"/>
        <v>0</v>
      </c>
      <c r="G298" s="508">
        <f>G107</f>
        <v>0.05</v>
      </c>
      <c r="I298" s="1243"/>
      <c r="J298" s="508">
        <v>10</v>
      </c>
      <c r="K298" s="508">
        <f>J107</f>
        <v>60</v>
      </c>
      <c r="L298" s="508">
        <f>K107</f>
        <v>-2.1</v>
      </c>
      <c r="M298" s="508">
        <f>L107</f>
        <v>-5.6</v>
      </c>
      <c r="N298" s="508">
        <f>M107</f>
        <v>0</v>
      </c>
      <c r="O298" s="508">
        <f>N107</f>
        <v>1.7499999999999998</v>
      </c>
      <c r="Q298" s="1243"/>
      <c r="R298" s="508">
        <v>10</v>
      </c>
      <c r="S298" s="508">
        <f>Q107</f>
        <v>900</v>
      </c>
      <c r="T298" s="508" t="str">
        <f>R107</f>
        <v>-</v>
      </c>
      <c r="U298" s="508" t="str">
        <f>S107</f>
        <v>-</v>
      </c>
      <c r="V298" s="508">
        <f>T107</f>
        <v>9.9999999999999995E-7</v>
      </c>
      <c r="W298" s="509">
        <f>U107</f>
        <v>0</v>
      </c>
      <c r="AE298" s="487"/>
    </row>
    <row r="299" spans="1:31" ht="13" hidden="1">
      <c r="A299" s="1243"/>
      <c r="B299" s="508">
        <v>11</v>
      </c>
      <c r="C299" s="508">
        <f>C118</f>
        <v>30</v>
      </c>
      <c r="D299" s="508">
        <f t="shared" ref="D299:F299" si="130">D118</f>
        <v>0.5</v>
      </c>
      <c r="E299" s="508">
        <f t="shared" si="130"/>
        <v>0.4</v>
      </c>
      <c r="F299" s="508">
        <f t="shared" si="130"/>
        <v>0</v>
      </c>
      <c r="G299" s="508">
        <f>G118</f>
        <v>4.9999999999999989E-2</v>
      </c>
      <c r="I299" s="1243"/>
      <c r="J299" s="508">
        <v>11</v>
      </c>
      <c r="K299" s="508">
        <f>J118</f>
        <v>60</v>
      </c>
      <c r="L299" s="508">
        <f>K118</f>
        <v>-4.8</v>
      </c>
      <c r="M299" s="508">
        <f>L118</f>
        <v>-4.5</v>
      </c>
      <c r="N299" s="508">
        <f>M118</f>
        <v>0</v>
      </c>
      <c r="O299" s="508">
        <f>N118</f>
        <v>0.14999999999999991</v>
      </c>
      <c r="Q299" s="1243"/>
      <c r="R299" s="508">
        <v>11</v>
      </c>
      <c r="S299" s="508">
        <f>Q118</f>
        <v>900</v>
      </c>
      <c r="T299" s="508" t="str">
        <f>R118</f>
        <v>-</v>
      </c>
      <c r="U299" s="508" t="str">
        <f>S118</f>
        <v>-</v>
      </c>
      <c r="V299" s="508">
        <f>T118</f>
        <v>9.9999999999999995E-7</v>
      </c>
      <c r="W299" s="509">
        <f>U118</f>
        <v>0</v>
      </c>
      <c r="AE299" s="487"/>
    </row>
    <row r="300" spans="1:31" ht="13" hidden="1">
      <c r="A300" s="1243"/>
      <c r="B300" s="508">
        <v>12</v>
      </c>
      <c r="C300" s="508">
        <f>C129</f>
        <v>30</v>
      </c>
      <c r="D300" s="508">
        <f t="shared" ref="D300:F300" si="131">D129</f>
        <v>0.5</v>
      </c>
      <c r="E300" s="508">
        <f t="shared" si="131"/>
        <v>-0.1</v>
      </c>
      <c r="F300" s="508">
        <f t="shared" si="131"/>
        <v>0</v>
      </c>
      <c r="G300" s="508">
        <f>G129</f>
        <v>0.3</v>
      </c>
      <c r="I300" s="1243"/>
      <c r="J300" s="508">
        <v>12</v>
      </c>
      <c r="K300" s="508">
        <f>J129</f>
        <v>60</v>
      </c>
      <c r="L300" s="508">
        <f>K129</f>
        <v>-3</v>
      </c>
      <c r="M300" s="508">
        <f>L129</f>
        <v>9.9999999999999995E-7</v>
      </c>
      <c r="N300" s="508">
        <f>M129</f>
        <v>0</v>
      </c>
      <c r="O300" s="508">
        <f>N129</f>
        <v>1.5000005000000001</v>
      </c>
      <c r="Q300" s="1243"/>
      <c r="R300" s="508">
        <v>12</v>
      </c>
      <c r="S300" s="508">
        <f>Q129</f>
        <v>990</v>
      </c>
      <c r="T300" s="508">
        <f>R129</f>
        <v>4.0999999999999996</v>
      </c>
      <c r="U300" s="508">
        <f>S129</f>
        <v>-0.7</v>
      </c>
      <c r="V300" s="508">
        <f>T129</f>
        <v>0</v>
      </c>
      <c r="W300" s="509">
        <f>U129</f>
        <v>2.4</v>
      </c>
      <c r="AE300" s="487"/>
    </row>
    <row r="301" spans="1:31" ht="13" hidden="1">
      <c r="A301" s="1243"/>
      <c r="B301" s="508">
        <v>13</v>
      </c>
      <c r="C301" s="508">
        <f>C151</f>
        <v>30</v>
      </c>
      <c r="D301" s="508">
        <f t="shared" ref="D301:F301" si="132">D151</f>
        <v>0.3</v>
      </c>
      <c r="E301" s="508">
        <f t="shared" si="132"/>
        <v>-0.4</v>
      </c>
      <c r="F301" s="508">
        <f t="shared" si="132"/>
        <v>-0.3</v>
      </c>
      <c r="G301" s="508">
        <f>G151</f>
        <v>0.35</v>
      </c>
      <c r="I301" s="1243"/>
      <c r="J301" s="508">
        <v>13</v>
      </c>
      <c r="K301" s="508">
        <f>J140</f>
        <v>60</v>
      </c>
      <c r="L301" s="508">
        <f>K140</f>
        <v>-3.1</v>
      </c>
      <c r="M301" s="508">
        <f>L140</f>
        <v>-1.6</v>
      </c>
      <c r="N301" s="508">
        <f>M140</f>
        <v>-1.5</v>
      </c>
      <c r="O301" s="508">
        <f>N140</f>
        <v>0.8</v>
      </c>
      <c r="Q301" s="1243"/>
      <c r="R301" s="508">
        <v>13</v>
      </c>
      <c r="S301" s="508">
        <f>Q140</f>
        <v>1000</v>
      </c>
      <c r="T301" s="508">
        <f>R140</f>
        <v>4.0999999999999996</v>
      </c>
      <c r="U301" s="508">
        <f>S140</f>
        <v>3.7</v>
      </c>
      <c r="V301" s="508">
        <f>T140</f>
        <v>1.1000000000000001</v>
      </c>
      <c r="W301" s="509">
        <f>U140</f>
        <v>1.4999999999999998</v>
      </c>
      <c r="AE301" s="487"/>
    </row>
    <row r="302" spans="1:31" ht="13" hidden="1">
      <c r="A302" s="1243"/>
      <c r="B302" s="508">
        <v>14</v>
      </c>
      <c r="C302" s="508">
        <f>C151</f>
        <v>30</v>
      </c>
      <c r="D302" s="508">
        <f t="shared" ref="D302:F302" si="133">D151</f>
        <v>0.3</v>
      </c>
      <c r="E302" s="508">
        <f t="shared" si="133"/>
        <v>-0.4</v>
      </c>
      <c r="F302" s="508">
        <f t="shared" si="133"/>
        <v>-0.3</v>
      </c>
      <c r="G302" s="508">
        <f>G151</f>
        <v>0.35</v>
      </c>
      <c r="I302" s="1243"/>
      <c r="J302" s="508">
        <v>14</v>
      </c>
      <c r="K302" s="508">
        <f>J151</f>
        <v>60</v>
      </c>
      <c r="L302" s="508">
        <f>K151</f>
        <v>-1.8</v>
      </c>
      <c r="M302" s="508">
        <f>L151</f>
        <v>0.3</v>
      </c>
      <c r="N302" s="508">
        <f>M151</f>
        <v>-0.6</v>
      </c>
      <c r="O302" s="508">
        <f>N151</f>
        <v>1.05</v>
      </c>
      <c r="Q302" s="1243"/>
      <c r="R302" s="508">
        <v>14</v>
      </c>
      <c r="S302" s="508">
        <f>Q151</f>
        <v>1000</v>
      </c>
      <c r="T302" s="508">
        <f>R151</f>
        <v>4.2</v>
      </c>
      <c r="U302" s="508">
        <f>S151</f>
        <v>3.8</v>
      </c>
      <c r="V302" s="508">
        <f>T151</f>
        <v>1.1000000000000001</v>
      </c>
      <c r="W302" s="509">
        <f>U151</f>
        <v>1.55</v>
      </c>
      <c r="AE302" s="487"/>
    </row>
    <row r="303" spans="1:31" ht="13" hidden="1">
      <c r="A303" s="1243"/>
      <c r="B303" s="508">
        <v>15</v>
      </c>
      <c r="C303" s="508">
        <f>C162</f>
        <v>30</v>
      </c>
      <c r="D303" s="508">
        <f t="shared" ref="D303:F303" si="134">D162</f>
        <v>0.4</v>
      </c>
      <c r="E303" s="508">
        <f t="shared" si="134"/>
        <v>0.4</v>
      </c>
      <c r="F303" s="508">
        <f t="shared" si="134"/>
        <v>-0.2</v>
      </c>
      <c r="G303" s="508">
        <f>G162</f>
        <v>0.30000000000000004</v>
      </c>
      <c r="I303" s="1243"/>
      <c r="J303" s="508">
        <v>15</v>
      </c>
      <c r="K303" s="508">
        <f>J162</f>
        <v>60</v>
      </c>
      <c r="L303" s="508">
        <f>K162</f>
        <v>-2.2999999999999998</v>
      </c>
      <c r="M303" s="508">
        <f>L162</f>
        <v>-1.1000000000000001</v>
      </c>
      <c r="N303" s="508">
        <f>M162</f>
        <v>-0.5</v>
      </c>
      <c r="O303" s="508">
        <f>N162</f>
        <v>0.89999999999999991</v>
      </c>
      <c r="Q303" s="1243"/>
      <c r="R303" s="508">
        <v>15</v>
      </c>
      <c r="S303" s="508">
        <f>Q162</f>
        <v>1000</v>
      </c>
      <c r="T303" s="508">
        <f>R162</f>
        <v>4.4000000000000004</v>
      </c>
      <c r="U303" s="508">
        <f>S162</f>
        <v>4.0999999999999996</v>
      </c>
      <c r="V303" s="508">
        <f>T162</f>
        <v>1.1000000000000001</v>
      </c>
      <c r="W303" s="509">
        <f>U162</f>
        <v>1.6500000000000001</v>
      </c>
      <c r="AE303" s="487"/>
    </row>
    <row r="304" spans="1:31" ht="13" hidden="1">
      <c r="A304" s="1243"/>
      <c r="B304" s="508">
        <v>16</v>
      </c>
      <c r="C304" s="508">
        <f>C173</f>
        <v>30</v>
      </c>
      <c r="D304" s="508">
        <f t="shared" ref="D304:F304" si="135">D173</f>
        <v>0.6</v>
      </c>
      <c r="E304" s="508">
        <f t="shared" si="135"/>
        <v>0.2</v>
      </c>
      <c r="F304" s="508">
        <f t="shared" si="135"/>
        <v>0</v>
      </c>
      <c r="G304" s="508">
        <f>G173</f>
        <v>0.19999999999999998</v>
      </c>
      <c r="I304" s="1243"/>
      <c r="J304" s="508">
        <v>16</v>
      </c>
      <c r="K304" s="508">
        <f>J173</f>
        <v>60</v>
      </c>
      <c r="L304" s="508">
        <f>K173</f>
        <v>-1.9</v>
      </c>
      <c r="M304" s="508">
        <f>L173</f>
        <v>-1.5</v>
      </c>
      <c r="N304" s="508">
        <f>M173</f>
        <v>0</v>
      </c>
      <c r="O304" s="508">
        <f>N173</f>
        <v>0.19999999999999996</v>
      </c>
      <c r="Q304" s="1243"/>
      <c r="R304" s="508">
        <v>16</v>
      </c>
      <c r="S304" s="508">
        <f>Q173</f>
        <v>990</v>
      </c>
      <c r="T304" s="508">
        <f>R173</f>
        <v>4.4000000000000004</v>
      </c>
      <c r="U304" s="508">
        <f>S173</f>
        <v>-1.1000000000000001</v>
      </c>
      <c r="V304" s="508">
        <f>T173</f>
        <v>0</v>
      </c>
      <c r="W304" s="509">
        <f>U173</f>
        <v>2.75</v>
      </c>
      <c r="AE304" s="487"/>
    </row>
    <row r="305" spans="1:31" ht="13" hidden="1">
      <c r="A305" s="1243"/>
      <c r="B305" s="508">
        <v>17</v>
      </c>
      <c r="C305" s="508">
        <f>C184</f>
        <v>30</v>
      </c>
      <c r="D305" s="508">
        <f>D184</f>
        <v>0.6</v>
      </c>
      <c r="E305" s="508">
        <f>E184</f>
        <v>-0.2</v>
      </c>
      <c r="F305" s="508">
        <f t="shared" ref="F305" si="136">F184</f>
        <v>0</v>
      </c>
      <c r="G305" s="508">
        <f>G184</f>
        <v>0.4</v>
      </c>
      <c r="I305" s="1243"/>
      <c r="J305" s="508">
        <v>17</v>
      </c>
      <c r="K305" s="508">
        <f>J184</f>
        <v>60</v>
      </c>
      <c r="L305" s="508">
        <f>K184</f>
        <v>-1.7</v>
      </c>
      <c r="M305" s="508">
        <f>L184</f>
        <v>9.9999999999999995E-7</v>
      </c>
      <c r="N305" s="508">
        <f>M184</f>
        <v>0</v>
      </c>
      <c r="O305" s="508">
        <f>N184</f>
        <v>0.85000049999999994</v>
      </c>
      <c r="Q305" s="1243"/>
      <c r="R305" s="508">
        <v>17</v>
      </c>
      <c r="S305" s="508">
        <f>Q184</f>
        <v>990</v>
      </c>
      <c r="T305" s="508">
        <f>R184</f>
        <v>4.4000000000000004</v>
      </c>
      <c r="U305" s="508">
        <f>S184</f>
        <v>-0.6</v>
      </c>
      <c r="V305" s="508">
        <f>T184</f>
        <v>0</v>
      </c>
      <c r="W305" s="509">
        <f>U184</f>
        <v>2.5</v>
      </c>
      <c r="AE305" s="487"/>
    </row>
    <row r="306" spans="1:31" ht="13" hidden="1">
      <c r="A306" s="1243"/>
      <c r="B306" s="508">
        <v>18</v>
      </c>
      <c r="C306" s="508">
        <f>C195</f>
        <v>30</v>
      </c>
      <c r="D306" s="508">
        <f t="shared" ref="D306:F306" si="137">D195</f>
        <v>0.3</v>
      </c>
      <c r="E306" s="508">
        <f t="shared" si="137"/>
        <v>-0.2</v>
      </c>
      <c r="F306" s="508">
        <f t="shared" si="137"/>
        <v>0</v>
      </c>
      <c r="G306" s="508">
        <f>G195</f>
        <v>0.25</v>
      </c>
      <c r="I306" s="1243"/>
      <c r="J306" s="508">
        <v>18</v>
      </c>
      <c r="K306" s="508">
        <f>J195</f>
        <v>60</v>
      </c>
      <c r="L306" s="508">
        <f>K195</f>
        <v>-2.1</v>
      </c>
      <c r="M306" s="508">
        <f>L195</f>
        <v>-0.2</v>
      </c>
      <c r="N306" s="508">
        <f>M195</f>
        <v>0</v>
      </c>
      <c r="O306" s="508">
        <f>N195</f>
        <v>0.95000000000000007</v>
      </c>
      <c r="Q306" s="1243"/>
      <c r="R306" s="508">
        <v>18</v>
      </c>
      <c r="S306" s="508">
        <f>Q195</f>
        <v>990</v>
      </c>
      <c r="T306" s="508">
        <f>R195</f>
        <v>4.3</v>
      </c>
      <c r="U306" s="508">
        <f>S195</f>
        <v>-0.9</v>
      </c>
      <c r="V306" s="508">
        <f>T195</f>
        <v>0</v>
      </c>
      <c r="W306" s="509">
        <f>U195</f>
        <v>2.6</v>
      </c>
      <c r="AE306" s="487"/>
    </row>
    <row r="307" spans="1:31" ht="13" hidden="1">
      <c r="A307" s="1243"/>
      <c r="B307" s="508">
        <v>19</v>
      </c>
      <c r="C307" s="508">
        <f>C206</f>
        <v>30</v>
      </c>
      <c r="D307" s="508">
        <f t="shared" ref="D307:F307" si="138">D206</f>
        <v>0.5</v>
      </c>
      <c r="E307" s="508">
        <f t="shared" si="138"/>
        <v>-0.1</v>
      </c>
      <c r="F307" s="508">
        <f t="shared" si="138"/>
        <v>0</v>
      </c>
      <c r="G307" s="508">
        <f>G206</f>
        <v>0.3</v>
      </c>
      <c r="I307" s="1243"/>
      <c r="J307" s="508">
        <v>19</v>
      </c>
      <c r="K307" s="508">
        <f>J206</f>
        <v>60</v>
      </c>
      <c r="L307" s="508">
        <f>K206</f>
        <v>-2.7</v>
      </c>
      <c r="M307" s="508">
        <f>L206</f>
        <v>0.4</v>
      </c>
      <c r="N307" s="508">
        <f>M206</f>
        <v>0</v>
      </c>
      <c r="O307" s="508">
        <f>N206</f>
        <v>1.55</v>
      </c>
      <c r="Q307" s="1243"/>
      <c r="R307" s="508">
        <v>19</v>
      </c>
      <c r="S307" s="508">
        <f>Q206</f>
        <v>900</v>
      </c>
      <c r="T307" s="508">
        <f>R206</f>
        <v>4.4000000000000004</v>
      </c>
      <c r="U307" s="508">
        <f>S206</f>
        <v>2.2999999999999998</v>
      </c>
      <c r="V307" s="508">
        <f>T206</f>
        <v>0</v>
      </c>
      <c r="W307" s="509">
        <f>U206</f>
        <v>1.0500000000000003</v>
      </c>
      <c r="AE307" s="487"/>
    </row>
    <row r="308" spans="1:31" ht="13.5" hidden="1" thickBot="1">
      <c r="A308" s="1243"/>
      <c r="B308" s="508">
        <v>20</v>
      </c>
      <c r="C308" s="508">
        <f>C217</f>
        <v>29.5</v>
      </c>
      <c r="D308" s="508">
        <f t="shared" ref="D308:F308" si="139">D217</f>
        <v>9.9999999999999995E-7</v>
      </c>
      <c r="E308" s="508" t="str">
        <f t="shared" si="139"/>
        <v>-</v>
      </c>
      <c r="F308" s="508">
        <f t="shared" si="139"/>
        <v>9.9999999999999995E-7</v>
      </c>
      <c r="G308" s="508">
        <f>G217</f>
        <v>0</v>
      </c>
      <c r="I308" s="1243"/>
      <c r="J308" s="508">
        <v>20</v>
      </c>
      <c r="K308" s="508">
        <f>J217</f>
        <v>71.5</v>
      </c>
      <c r="L308" s="508">
        <f>K217</f>
        <v>9.9999999999999995E-7</v>
      </c>
      <c r="M308" s="508" t="str">
        <f>L217</f>
        <v>-</v>
      </c>
      <c r="N308" s="508">
        <f>M217</f>
        <v>0</v>
      </c>
      <c r="O308" s="508">
        <f>N217</f>
        <v>0</v>
      </c>
      <c r="Q308" s="1245"/>
      <c r="R308" s="517">
        <v>20</v>
      </c>
      <c r="S308" s="517">
        <f>Q217</f>
        <v>900</v>
      </c>
      <c r="T308" s="517">
        <f>R217</f>
        <v>9.9999999999999995E-7</v>
      </c>
      <c r="U308" s="517" t="str">
        <f>S217</f>
        <v>-</v>
      </c>
      <c r="V308" s="517">
        <f>T217</f>
        <v>9.9999999999999995E-7</v>
      </c>
      <c r="W308" s="532">
        <f>U217</f>
        <v>0</v>
      </c>
      <c r="AE308" s="521"/>
    </row>
    <row r="309" spans="1:31" ht="13" hidden="1">
      <c r="A309" s="522"/>
      <c r="B309" s="522"/>
      <c r="C309" s="522"/>
      <c r="D309" s="522"/>
      <c r="E309" s="522"/>
      <c r="F309" s="502"/>
      <c r="G309" s="522"/>
      <c r="I309" s="522"/>
      <c r="J309" s="522"/>
      <c r="K309" s="522"/>
      <c r="L309" s="522"/>
      <c r="M309" s="522"/>
      <c r="N309" s="502"/>
      <c r="O309" s="522"/>
      <c r="Q309" s="533"/>
      <c r="R309" s="535"/>
      <c r="S309" s="296"/>
      <c r="T309" s="296"/>
      <c r="U309" s="296"/>
      <c r="W309" s="297"/>
      <c r="AE309" s="487"/>
    </row>
    <row r="310" spans="1:31" ht="13" hidden="1">
      <c r="A310" s="1243">
        <v>5</v>
      </c>
      <c r="B310" s="508">
        <v>1</v>
      </c>
      <c r="C310" s="508">
        <f>C9</f>
        <v>35</v>
      </c>
      <c r="D310" s="508">
        <f t="shared" ref="D310:F310" si="140">D9</f>
        <v>0</v>
      </c>
      <c r="E310" s="508">
        <f t="shared" si="140"/>
        <v>-0.2</v>
      </c>
      <c r="F310" s="508">
        <f t="shared" si="140"/>
        <v>-0.1</v>
      </c>
      <c r="G310" s="508">
        <f>G9</f>
        <v>0.1</v>
      </c>
      <c r="I310" s="1243">
        <v>5</v>
      </c>
      <c r="J310" s="508">
        <v>1</v>
      </c>
      <c r="K310" s="508">
        <f>J20</f>
        <v>70</v>
      </c>
      <c r="L310" s="508">
        <f>K20</f>
        <v>-3.4</v>
      </c>
      <c r="M310" s="508">
        <f>L20</f>
        <v>-2.4</v>
      </c>
      <c r="N310" s="508">
        <f>M20</f>
        <v>-1.1000000000000001</v>
      </c>
      <c r="O310" s="508">
        <f>N20</f>
        <v>1.1499999999999999</v>
      </c>
      <c r="Q310" s="1244">
        <v>5</v>
      </c>
      <c r="R310" s="527">
        <v>1</v>
      </c>
      <c r="S310" s="527">
        <f>Q9</f>
        <v>1000</v>
      </c>
      <c r="T310" s="527" t="str">
        <f>R9</f>
        <v>-</v>
      </c>
      <c r="U310" s="527" t="str">
        <f>S9</f>
        <v>-</v>
      </c>
      <c r="V310" s="527">
        <f>T9</f>
        <v>9.9999999999999995E-7</v>
      </c>
      <c r="W310" s="534">
        <f>U9</f>
        <v>0</v>
      </c>
      <c r="AE310" s="530"/>
    </row>
    <row r="311" spans="1:31" ht="13" hidden="1">
      <c r="A311" s="1243"/>
      <c r="B311" s="508">
        <v>2</v>
      </c>
      <c r="C311" s="508">
        <f>C20</f>
        <v>35</v>
      </c>
      <c r="D311" s="508">
        <f t="shared" ref="D311:F311" si="141">D20</f>
        <v>0.5</v>
      </c>
      <c r="E311" s="508">
        <f t="shared" si="141"/>
        <v>-0.1</v>
      </c>
      <c r="F311" s="508">
        <f t="shared" si="141"/>
        <v>-0.3</v>
      </c>
      <c r="G311" s="508">
        <f>G20</f>
        <v>0.4</v>
      </c>
      <c r="I311" s="1243"/>
      <c r="J311" s="508">
        <v>2</v>
      </c>
      <c r="K311" s="508">
        <f>J20</f>
        <v>70</v>
      </c>
      <c r="L311" s="508">
        <f>K20</f>
        <v>-3.4</v>
      </c>
      <c r="M311" s="508">
        <f>L20</f>
        <v>-2.4</v>
      </c>
      <c r="N311" s="508">
        <f>M20</f>
        <v>-1.1000000000000001</v>
      </c>
      <c r="O311" s="508">
        <f>N20</f>
        <v>1.1499999999999999</v>
      </c>
      <c r="Q311" s="1243"/>
      <c r="R311" s="508">
        <v>2</v>
      </c>
      <c r="S311" s="508">
        <f>Q20</f>
        <v>1000</v>
      </c>
      <c r="T311" s="508" t="str">
        <f>R20</f>
        <v>-</v>
      </c>
      <c r="U311" s="508" t="str">
        <f>S20</f>
        <v>-</v>
      </c>
      <c r="V311" s="508" t="str">
        <f>T20</f>
        <v>-</v>
      </c>
      <c r="W311" s="509">
        <f>U20</f>
        <v>0</v>
      </c>
      <c r="AE311" s="487"/>
    </row>
    <row r="312" spans="1:31" ht="13" hidden="1">
      <c r="A312" s="1243"/>
      <c r="B312" s="508">
        <v>3</v>
      </c>
      <c r="C312" s="508">
        <f>C31</f>
        <v>35</v>
      </c>
      <c r="D312" s="508">
        <f t="shared" ref="D312:F312" si="142">D31</f>
        <v>0.3</v>
      </c>
      <c r="E312" s="508">
        <f t="shared" si="142"/>
        <v>-0.3</v>
      </c>
      <c r="F312" s="508">
        <f t="shared" si="142"/>
        <v>-0.5</v>
      </c>
      <c r="G312" s="508">
        <f>G31</f>
        <v>0.4</v>
      </c>
      <c r="I312" s="1243"/>
      <c r="J312" s="508">
        <v>3</v>
      </c>
      <c r="K312" s="508">
        <f>J31</f>
        <v>70</v>
      </c>
      <c r="L312" s="508">
        <f>K31</f>
        <v>-4.4000000000000004</v>
      </c>
      <c r="M312" s="508">
        <f>L31</f>
        <v>-2</v>
      </c>
      <c r="N312" s="508">
        <f>M31</f>
        <v>-3.6</v>
      </c>
      <c r="O312" s="508">
        <f>N31</f>
        <v>1.2000000000000002</v>
      </c>
      <c r="Q312" s="1243"/>
      <c r="R312" s="508">
        <v>3</v>
      </c>
      <c r="S312" s="508">
        <f>Q31</f>
        <v>1000</v>
      </c>
      <c r="T312" s="508" t="str">
        <f>R31</f>
        <v>-</v>
      </c>
      <c r="U312" s="508" t="str">
        <f>S31</f>
        <v>-</v>
      </c>
      <c r="V312" s="508" t="str">
        <f>T31</f>
        <v>-</v>
      </c>
      <c r="W312" s="509">
        <f>U31</f>
        <v>0</v>
      </c>
      <c r="AE312" s="487"/>
    </row>
    <row r="313" spans="1:31" ht="13" hidden="1">
      <c r="A313" s="1243"/>
      <c r="B313" s="508">
        <v>4</v>
      </c>
      <c r="C313" s="508">
        <f>C42</f>
        <v>35</v>
      </c>
      <c r="D313" s="508">
        <f t="shared" ref="D313:F313" si="143">D42</f>
        <v>-0.3</v>
      </c>
      <c r="E313" s="508">
        <f t="shared" si="143"/>
        <v>-0.6</v>
      </c>
      <c r="F313" s="508">
        <f t="shared" si="143"/>
        <v>0</v>
      </c>
      <c r="G313" s="508">
        <f>G42</f>
        <v>0.15</v>
      </c>
      <c r="I313" s="1243"/>
      <c r="J313" s="508">
        <v>4</v>
      </c>
      <c r="K313" s="508">
        <f>J42</f>
        <v>70</v>
      </c>
      <c r="L313" s="508">
        <f>K42</f>
        <v>-4</v>
      </c>
      <c r="M313" s="508">
        <f>L42</f>
        <v>0.7</v>
      </c>
      <c r="N313" s="508">
        <f>M42</f>
        <v>0</v>
      </c>
      <c r="O313" s="508">
        <f>N42</f>
        <v>2.35</v>
      </c>
      <c r="Q313" s="1243"/>
      <c r="R313" s="508">
        <v>4</v>
      </c>
      <c r="S313" s="508">
        <f>Q42</f>
        <v>1000</v>
      </c>
      <c r="T313" s="508" t="str">
        <f>R42</f>
        <v>-</v>
      </c>
      <c r="U313" s="508" t="str">
        <f>S42</f>
        <v>-</v>
      </c>
      <c r="V313" s="508">
        <f>T42</f>
        <v>9.9999999999999995E-7</v>
      </c>
      <c r="W313" s="509">
        <f>U42</f>
        <v>0</v>
      </c>
      <c r="AE313" s="487"/>
    </row>
    <row r="314" spans="1:31" ht="13" hidden="1">
      <c r="A314" s="1243"/>
      <c r="B314" s="508">
        <v>5</v>
      </c>
      <c r="C314" s="508">
        <f>C53</f>
        <v>35</v>
      </c>
      <c r="D314" s="508">
        <f t="shared" ref="D314:F314" si="144">D53</f>
        <v>0.4</v>
      </c>
      <c r="E314" s="508">
        <f t="shared" si="144"/>
        <v>0.1</v>
      </c>
      <c r="F314" s="508">
        <f t="shared" si="144"/>
        <v>0.7</v>
      </c>
      <c r="G314" s="508">
        <f>G53</f>
        <v>0.3</v>
      </c>
      <c r="I314" s="1243"/>
      <c r="J314" s="508">
        <v>5</v>
      </c>
      <c r="K314" s="508">
        <f>J53</f>
        <v>70</v>
      </c>
      <c r="L314" s="508">
        <f>K53</f>
        <v>-7.1</v>
      </c>
      <c r="M314" s="508">
        <f>L53</f>
        <v>-6.1</v>
      </c>
      <c r="N314" s="508">
        <f>M53</f>
        <v>-4.0999999999999996</v>
      </c>
      <c r="O314" s="508">
        <f>N53</f>
        <v>1.5</v>
      </c>
      <c r="Q314" s="1243"/>
      <c r="R314" s="508">
        <v>5</v>
      </c>
      <c r="S314" s="508">
        <f>Q53</f>
        <v>1000</v>
      </c>
      <c r="T314" s="508" t="str">
        <f>R53</f>
        <v>-</v>
      </c>
      <c r="U314" s="508" t="str">
        <f>S53</f>
        <v>-</v>
      </c>
      <c r="V314" s="508" t="str">
        <f>T53</f>
        <v>-</v>
      </c>
      <c r="W314" s="509">
        <f>U53</f>
        <v>0</v>
      </c>
      <c r="AE314" s="487"/>
    </row>
    <row r="315" spans="1:31" ht="13" hidden="1">
      <c r="A315" s="1243"/>
      <c r="B315" s="508">
        <v>6</v>
      </c>
      <c r="C315" s="508">
        <f>C64</f>
        <v>35</v>
      </c>
      <c r="D315" s="508">
        <f t="shared" ref="D315:F315" si="145">D64</f>
        <v>0.1</v>
      </c>
      <c r="E315" s="508">
        <f t="shared" si="145"/>
        <v>-0.9</v>
      </c>
      <c r="F315" s="508">
        <f t="shared" si="145"/>
        <v>0</v>
      </c>
      <c r="G315" s="508">
        <f>G64</f>
        <v>0.5</v>
      </c>
      <c r="I315" s="1243"/>
      <c r="J315" s="508">
        <v>6</v>
      </c>
      <c r="K315" s="508">
        <f>J64</f>
        <v>70</v>
      </c>
      <c r="L315" s="508">
        <f>K64</f>
        <v>-6.7</v>
      </c>
      <c r="M315" s="508">
        <f>L64</f>
        <v>0.9</v>
      </c>
      <c r="N315" s="508">
        <f>M64</f>
        <v>0</v>
      </c>
      <c r="O315" s="508">
        <f>N64</f>
        <v>3.8000000000000003</v>
      </c>
      <c r="Q315" s="1243"/>
      <c r="R315" s="508">
        <v>6</v>
      </c>
      <c r="S315" s="508">
        <f>Q64</f>
        <v>1000</v>
      </c>
      <c r="T315" s="508">
        <f>R64</f>
        <v>0.9</v>
      </c>
      <c r="U315" s="508">
        <f>S64</f>
        <v>-0.3</v>
      </c>
      <c r="V315" s="508">
        <f>T64</f>
        <v>9.9999999999999995E-7</v>
      </c>
      <c r="W315" s="509">
        <f>U64</f>
        <v>0.6</v>
      </c>
      <c r="AE315" s="487"/>
    </row>
    <row r="316" spans="1:31" ht="13" hidden="1">
      <c r="A316" s="1243"/>
      <c r="B316" s="508">
        <v>7</v>
      </c>
      <c r="C316" s="508">
        <f>C75</f>
        <v>35</v>
      </c>
      <c r="D316" s="508">
        <f t="shared" ref="D316:F316" si="146">D75</f>
        <v>9.9999999999999995E-7</v>
      </c>
      <c r="E316" s="508">
        <f t="shared" si="146"/>
        <v>-1.1000000000000001</v>
      </c>
      <c r="F316" s="508">
        <f t="shared" si="146"/>
        <v>0</v>
      </c>
      <c r="G316" s="508">
        <f>G75</f>
        <v>0.5500005</v>
      </c>
      <c r="I316" s="1243"/>
      <c r="J316" s="508">
        <v>7</v>
      </c>
      <c r="K316" s="508">
        <f>J75</f>
        <v>70</v>
      </c>
      <c r="L316" s="508">
        <f>K75</f>
        <v>-2.2999999999999998</v>
      </c>
      <c r="M316" s="508">
        <f>L75</f>
        <v>0.9</v>
      </c>
      <c r="N316" s="508">
        <f>M75</f>
        <v>0</v>
      </c>
      <c r="O316" s="508">
        <f>N75</f>
        <v>1.5999999999999999</v>
      </c>
      <c r="Q316" s="1243"/>
      <c r="R316" s="508">
        <v>7</v>
      </c>
      <c r="S316" s="508">
        <f>Q75</f>
        <v>1000</v>
      </c>
      <c r="T316" s="508">
        <f>R75</f>
        <v>-3.9</v>
      </c>
      <c r="U316" s="508">
        <f>S75</f>
        <v>-0.4</v>
      </c>
      <c r="V316" s="508">
        <f>T75</f>
        <v>9.9999999999999995E-7</v>
      </c>
      <c r="W316" s="509">
        <f>U75</f>
        <v>1.9500005</v>
      </c>
      <c r="AE316" s="487"/>
    </row>
    <row r="317" spans="1:31" ht="13" hidden="1">
      <c r="A317" s="1243"/>
      <c r="B317" s="508">
        <v>8</v>
      </c>
      <c r="C317" s="508">
        <f>C86</f>
        <v>35</v>
      </c>
      <c r="D317" s="508">
        <f t="shared" ref="D317:F317" si="147">D86</f>
        <v>-0.1</v>
      </c>
      <c r="E317" s="508">
        <f t="shared" si="147"/>
        <v>-0.1</v>
      </c>
      <c r="F317" s="508">
        <f t="shared" si="147"/>
        <v>-0.5</v>
      </c>
      <c r="G317" s="508">
        <f>G86</f>
        <v>0.2</v>
      </c>
      <c r="I317" s="1243"/>
      <c r="J317" s="508">
        <v>8</v>
      </c>
      <c r="K317" s="508">
        <f>J86</f>
        <v>70</v>
      </c>
      <c r="L317" s="508">
        <f>K86</f>
        <v>-6.5</v>
      </c>
      <c r="M317" s="508">
        <f>L86</f>
        <v>-4.0999999999999996</v>
      </c>
      <c r="N317" s="508">
        <f>M86</f>
        <v>-1.2</v>
      </c>
      <c r="O317" s="508">
        <f>N86</f>
        <v>2.65</v>
      </c>
      <c r="Q317" s="1243"/>
      <c r="R317" s="508">
        <v>8</v>
      </c>
      <c r="S317" s="508">
        <f>Q86</f>
        <v>1000</v>
      </c>
      <c r="T317" s="508">
        <f>R86</f>
        <v>0.2</v>
      </c>
      <c r="U317" s="508">
        <f>S86</f>
        <v>-3.5</v>
      </c>
      <c r="V317" s="508">
        <f>T86</f>
        <v>0.2</v>
      </c>
      <c r="W317" s="509">
        <f>U86</f>
        <v>1.85</v>
      </c>
      <c r="AE317" s="487"/>
    </row>
    <row r="318" spans="1:31" ht="13" hidden="1">
      <c r="A318" s="1243"/>
      <c r="B318" s="508">
        <v>9</v>
      </c>
      <c r="C318" s="508">
        <f>C97</f>
        <v>35</v>
      </c>
      <c r="D318" s="508">
        <f t="shared" ref="D318:F318" si="148">D97</f>
        <v>-0.5</v>
      </c>
      <c r="E318" s="508" t="str">
        <f t="shared" si="148"/>
        <v>-</v>
      </c>
      <c r="F318" s="508">
        <f t="shared" si="148"/>
        <v>0</v>
      </c>
      <c r="G318" s="508">
        <f>G97</f>
        <v>0</v>
      </c>
      <c r="I318" s="1243"/>
      <c r="J318" s="508">
        <v>9</v>
      </c>
      <c r="K318" s="508">
        <f>J97</f>
        <v>70</v>
      </c>
      <c r="L318" s="508">
        <f>K97</f>
        <v>-0.6</v>
      </c>
      <c r="M318" s="508" t="str">
        <f>L97</f>
        <v>-</v>
      </c>
      <c r="N318" s="508">
        <f>M97</f>
        <v>0</v>
      </c>
      <c r="O318" s="508">
        <f>N97</f>
        <v>0</v>
      </c>
      <c r="Q318" s="1243"/>
      <c r="R318" s="508">
        <v>9</v>
      </c>
      <c r="S318" s="508">
        <f>Q97</f>
        <v>1000</v>
      </c>
      <c r="T318" s="508">
        <f>R97</f>
        <v>0.2</v>
      </c>
      <c r="U318" s="508" t="str">
        <f>S97</f>
        <v>-</v>
      </c>
      <c r="V318" s="508">
        <f>T97</f>
        <v>9.9999999999999995E-7</v>
      </c>
      <c r="W318" s="509">
        <f>U97</f>
        <v>9.9999500000000005E-2</v>
      </c>
      <c r="AE318" s="487"/>
    </row>
    <row r="319" spans="1:31" ht="13" hidden="1">
      <c r="A319" s="1243"/>
      <c r="B319" s="508">
        <v>10</v>
      </c>
      <c r="C319" s="508">
        <f>C108</f>
        <v>35</v>
      </c>
      <c r="D319" s="508">
        <f t="shared" ref="D319:F319" si="149">D108</f>
        <v>0.2</v>
      </c>
      <c r="E319" s="508">
        <f t="shared" si="149"/>
        <v>0.8</v>
      </c>
      <c r="F319" s="508">
        <f t="shared" si="149"/>
        <v>0</v>
      </c>
      <c r="G319" s="508">
        <f>G108</f>
        <v>0.30000000000000004</v>
      </c>
      <c r="I319" s="1243"/>
      <c r="J319" s="508">
        <v>10</v>
      </c>
      <c r="K319" s="508">
        <f>J108</f>
        <v>70</v>
      </c>
      <c r="L319" s="508">
        <f>K108</f>
        <v>-0.3</v>
      </c>
      <c r="M319" s="508">
        <f>L108</f>
        <v>-5.0999999999999996</v>
      </c>
      <c r="N319" s="508">
        <f>M108</f>
        <v>0</v>
      </c>
      <c r="O319" s="508">
        <f>N108</f>
        <v>2.4</v>
      </c>
      <c r="Q319" s="1243"/>
      <c r="R319" s="508">
        <v>10</v>
      </c>
      <c r="S319" s="508">
        <f>Q108</f>
        <v>1000</v>
      </c>
      <c r="T319" s="508" t="str">
        <f>R108</f>
        <v>-</v>
      </c>
      <c r="U319" s="508" t="str">
        <f>S108</f>
        <v>-</v>
      </c>
      <c r="V319" s="508">
        <f>T108</f>
        <v>9.9999999999999995E-7</v>
      </c>
      <c r="W319" s="509">
        <f>U108</f>
        <v>0</v>
      </c>
      <c r="AE319" s="487"/>
    </row>
    <row r="320" spans="1:31" ht="13" hidden="1">
      <c r="A320" s="1243"/>
      <c r="B320" s="508">
        <v>11</v>
      </c>
      <c r="C320" s="508">
        <f>C119</f>
        <v>35</v>
      </c>
      <c r="D320" s="508">
        <f t="shared" ref="D320:F320" si="150">D119</f>
        <v>0.5</v>
      </c>
      <c r="E320" s="508">
        <f t="shared" si="150"/>
        <v>0.4</v>
      </c>
      <c r="F320" s="508">
        <f t="shared" si="150"/>
        <v>0</v>
      </c>
      <c r="G320" s="508">
        <f>G119</f>
        <v>4.9999999999999989E-2</v>
      </c>
      <c r="I320" s="1243"/>
      <c r="J320" s="508">
        <v>11</v>
      </c>
      <c r="K320" s="508">
        <f>J119</f>
        <v>70</v>
      </c>
      <c r="L320" s="508">
        <f>K119</f>
        <v>-3.4</v>
      </c>
      <c r="M320" s="508">
        <f>L119</f>
        <v>-1.7</v>
      </c>
      <c r="N320" s="508">
        <f>M119</f>
        <v>0</v>
      </c>
      <c r="O320" s="508">
        <f>N119</f>
        <v>0.85</v>
      </c>
      <c r="Q320" s="1243"/>
      <c r="R320" s="508">
        <v>11</v>
      </c>
      <c r="S320" s="508">
        <f>Q119</f>
        <v>1000</v>
      </c>
      <c r="T320" s="508" t="str">
        <f>R119</f>
        <v>-</v>
      </c>
      <c r="U320" s="508" t="str">
        <f>S119</f>
        <v>-</v>
      </c>
      <c r="V320" s="508">
        <f>T119</f>
        <v>9.9999999999999995E-7</v>
      </c>
      <c r="W320" s="509">
        <f>U119</f>
        <v>0</v>
      </c>
      <c r="AE320" s="487"/>
    </row>
    <row r="321" spans="1:31" ht="13" hidden="1">
      <c r="A321" s="1243"/>
      <c r="B321" s="508">
        <v>12</v>
      </c>
      <c r="C321" s="508">
        <f>C130</f>
        <v>35</v>
      </c>
      <c r="D321" s="508">
        <f t="shared" ref="D321:F321" si="151">D130</f>
        <v>0.7</v>
      </c>
      <c r="E321" s="508">
        <f t="shared" si="151"/>
        <v>-0.2</v>
      </c>
      <c r="F321" s="508">
        <f t="shared" si="151"/>
        <v>0</v>
      </c>
      <c r="G321" s="508">
        <f>G130</f>
        <v>0.44999999999999996</v>
      </c>
      <c r="I321" s="1243"/>
      <c r="J321" s="508">
        <v>12</v>
      </c>
      <c r="K321" s="508">
        <f>J130</f>
        <v>70</v>
      </c>
      <c r="L321" s="508">
        <f>K130</f>
        <v>-2.8</v>
      </c>
      <c r="M321" s="508">
        <f>L130</f>
        <v>-0.1</v>
      </c>
      <c r="N321" s="508">
        <f>M130</f>
        <v>0</v>
      </c>
      <c r="O321" s="508">
        <f>N130</f>
        <v>1.3499999999999999</v>
      </c>
      <c r="Q321" s="1243"/>
      <c r="R321" s="508">
        <v>12</v>
      </c>
      <c r="S321" s="508">
        <f>Q130</f>
        <v>1000</v>
      </c>
      <c r="T321" s="508">
        <f>R130</f>
        <v>4.0999999999999996</v>
      </c>
      <c r="U321" s="508">
        <f>S130</f>
        <v>-0.8</v>
      </c>
      <c r="V321" s="508">
        <f>T130</f>
        <v>0</v>
      </c>
      <c r="W321" s="509">
        <f>U130</f>
        <v>2.4499999999999997</v>
      </c>
      <c r="AE321" s="487"/>
    </row>
    <row r="322" spans="1:31" ht="13" hidden="1">
      <c r="A322" s="1243"/>
      <c r="B322" s="508">
        <v>13</v>
      </c>
      <c r="C322" s="508">
        <f>C141</f>
        <v>35</v>
      </c>
      <c r="D322" s="508">
        <f t="shared" ref="D322:F322" si="152">D141</f>
        <v>0.5</v>
      </c>
      <c r="E322" s="508">
        <f t="shared" si="152"/>
        <v>-0.2</v>
      </c>
      <c r="F322" s="508">
        <f t="shared" si="152"/>
        <v>0.3</v>
      </c>
      <c r="G322" s="508">
        <f>G141</f>
        <v>0.35</v>
      </c>
      <c r="I322" s="1243"/>
      <c r="J322" s="508">
        <v>13</v>
      </c>
      <c r="K322" s="508">
        <f>J141</f>
        <v>70</v>
      </c>
      <c r="L322" s="508">
        <f>K141</f>
        <v>-2.2999999999999998</v>
      </c>
      <c r="M322" s="508">
        <f>L141</f>
        <v>-1.4</v>
      </c>
      <c r="N322" s="508">
        <f>M141</f>
        <v>-1.9</v>
      </c>
      <c r="O322" s="508">
        <f>N141</f>
        <v>0.44999999999999996</v>
      </c>
      <c r="Q322" s="1243"/>
      <c r="R322" s="508">
        <v>13</v>
      </c>
      <c r="S322" s="508">
        <f>Q141</f>
        <v>1005</v>
      </c>
      <c r="T322" s="508">
        <f>R141</f>
        <v>0</v>
      </c>
      <c r="U322" s="508">
        <f>S141</f>
        <v>3.6</v>
      </c>
      <c r="V322" s="508">
        <f>T141</f>
        <v>1.1000000000000001</v>
      </c>
      <c r="W322" s="509">
        <f>U141</f>
        <v>1.25</v>
      </c>
      <c r="AE322" s="487"/>
    </row>
    <row r="323" spans="1:31" ht="13" hidden="1">
      <c r="A323" s="1243"/>
      <c r="B323" s="508">
        <v>14</v>
      </c>
      <c r="C323" s="508">
        <f>C152</f>
        <v>35</v>
      </c>
      <c r="D323" s="508">
        <f t="shared" ref="D323:F323" si="153">D152</f>
        <v>0.3</v>
      </c>
      <c r="E323" s="508">
        <f t="shared" si="153"/>
        <v>-0.6</v>
      </c>
      <c r="F323" s="508">
        <f t="shared" si="153"/>
        <v>-0.6</v>
      </c>
      <c r="G323" s="508">
        <f>G152</f>
        <v>0.44999999999999996</v>
      </c>
      <c r="I323" s="1243"/>
      <c r="J323" s="508">
        <v>14</v>
      </c>
      <c r="K323" s="508">
        <f>J152</f>
        <v>70</v>
      </c>
      <c r="L323" s="508">
        <f>K152</f>
        <v>-0.6</v>
      </c>
      <c r="M323" s="508">
        <f>L152</f>
        <v>0.7</v>
      </c>
      <c r="N323" s="508">
        <f>M152</f>
        <v>-0.8</v>
      </c>
      <c r="O323" s="508">
        <f>N152</f>
        <v>0.75</v>
      </c>
      <c r="Q323" s="1243"/>
      <c r="R323" s="508">
        <v>14</v>
      </c>
      <c r="S323" s="508">
        <f>Q152</f>
        <v>1005</v>
      </c>
      <c r="T323" s="508">
        <f>R152</f>
        <v>0</v>
      </c>
      <c r="U323" s="508">
        <f>S152</f>
        <v>3.8</v>
      </c>
      <c r="V323" s="508">
        <f>T152</f>
        <v>1.1000000000000001</v>
      </c>
      <c r="W323" s="509">
        <f>U152</f>
        <v>1.3499999999999999</v>
      </c>
      <c r="AE323" s="487"/>
    </row>
    <row r="324" spans="1:31" ht="13" hidden="1">
      <c r="A324" s="1243"/>
      <c r="B324" s="508">
        <v>15</v>
      </c>
      <c r="C324" s="508">
        <f>C163</f>
        <v>35</v>
      </c>
      <c r="D324" s="508">
        <f t="shared" ref="D324:F324" si="154">D163</f>
        <v>0.5</v>
      </c>
      <c r="E324" s="508">
        <f t="shared" si="154"/>
        <v>0.8</v>
      </c>
      <c r="F324" s="508">
        <f t="shared" si="154"/>
        <v>-0.1</v>
      </c>
      <c r="G324" s="508">
        <f>G163</f>
        <v>0.45</v>
      </c>
      <c r="I324" s="1243"/>
      <c r="J324" s="508">
        <v>15</v>
      </c>
      <c r="K324" s="508">
        <f>J163</f>
        <v>70</v>
      </c>
      <c r="L324" s="508">
        <f>K163</f>
        <v>-1.6</v>
      </c>
      <c r="M324" s="508">
        <f>L163</f>
        <v>-0.7</v>
      </c>
      <c r="N324" s="508">
        <f>M163</f>
        <v>-0.8</v>
      </c>
      <c r="O324" s="508">
        <f>N163</f>
        <v>0.45000000000000007</v>
      </c>
      <c r="Q324" s="1243"/>
      <c r="R324" s="508">
        <v>15</v>
      </c>
      <c r="S324" s="508">
        <f>Q163</f>
        <v>1005</v>
      </c>
      <c r="T324" s="508">
        <f>R163</f>
        <v>0</v>
      </c>
      <c r="U324" s="508">
        <f>S163</f>
        <v>4</v>
      </c>
      <c r="V324" s="508">
        <f>T163</f>
        <v>1.1000000000000001</v>
      </c>
      <c r="W324" s="509">
        <f>U163</f>
        <v>1.45</v>
      </c>
      <c r="AE324" s="487"/>
    </row>
    <row r="325" spans="1:31" ht="13" hidden="1">
      <c r="A325" s="1243"/>
      <c r="B325" s="508">
        <v>16</v>
      </c>
      <c r="C325" s="508">
        <f>C174</f>
        <v>35</v>
      </c>
      <c r="D325" s="508">
        <f t="shared" ref="D325:F325" si="155">D174</f>
        <v>0.6</v>
      </c>
      <c r="E325" s="508">
        <f t="shared" si="155"/>
        <v>0.1</v>
      </c>
      <c r="F325" s="508">
        <f t="shared" si="155"/>
        <v>0</v>
      </c>
      <c r="G325" s="508">
        <f>G174</f>
        <v>0.25</v>
      </c>
      <c r="I325" s="1243"/>
      <c r="J325" s="508">
        <v>16</v>
      </c>
      <c r="K325" s="508">
        <f>J174</f>
        <v>70</v>
      </c>
      <c r="L325" s="508">
        <f>K174</f>
        <v>-2.1</v>
      </c>
      <c r="M325" s="508">
        <f>L174</f>
        <v>-1.8</v>
      </c>
      <c r="N325" s="508">
        <f>M174</f>
        <v>0</v>
      </c>
      <c r="O325" s="508">
        <f>N174</f>
        <v>0.15000000000000002</v>
      </c>
      <c r="Q325" s="1243"/>
      <c r="R325" s="508">
        <v>16</v>
      </c>
      <c r="S325" s="508">
        <f>Q174</f>
        <v>1000</v>
      </c>
      <c r="T325" s="508">
        <f>R174</f>
        <v>4.3</v>
      </c>
      <c r="U325" s="508">
        <f>S174</f>
        <v>-0.4</v>
      </c>
      <c r="V325" s="508">
        <f>T174</f>
        <v>0</v>
      </c>
      <c r="W325" s="509">
        <f>U174</f>
        <v>2.35</v>
      </c>
      <c r="AE325" s="487"/>
    </row>
    <row r="326" spans="1:31" ht="13" hidden="1">
      <c r="A326" s="1243"/>
      <c r="B326" s="508">
        <v>17</v>
      </c>
      <c r="C326" s="508">
        <f>C185</f>
        <v>35</v>
      </c>
      <c r="D326" s="508">
        <f>D185</f>
        <v>0.7</v>
      </c>
      <c r="E326" s="508">
        <f>E185</f>
        <v>-0.5</v>
      </c>
      <c r="F326" s="508">
        <f t="shared" ref="F326" si="156">F185</f>
        <v>0</v>
      </c>
      <c r="G326" s="508">
        <f>G185</f>
        <v>0.6</v>
      </c>
      <c r="I326" s="1243"/>
      <c r="J326" s="508">
        <v>17</v>
      </c>
      <c r="K326" s="508">
        <f>J185</f>
        <v>70</v>
      </c>
      <c r="L326" s="508">
        <f>K185</f>
        <v>-1.8</v>
      </c>
      <c r="M326" s="508">
        <f>L185</f>
        <v>-0.3</v>
      </c>
      <c r="N326" s="508">
        <f>M185</f>
        <v>0</v>
      </c>
      <c r="O326" s="508">
        <f>N185</f>
        <v>0.75</v>
      </c>
      <c r="Q326" s="1243"/>
      <c r="R326" s="508">
        <v>17</v>
      </c>
      <c r="S326" s="508">
        <f>Q185</f>
        <v>1000</v>
      </c>
      <c r="T326" s="508">
        <f>R185</f>
        <v>4.4000000000000004</v>
      </c>
      <c r="U326" s="508">
        <f>S185</f>
        <v>-0.6</v>
      </c>
      <c r="V326" s="508">
        <f>T185</f>
        <v>0</v>
      </c>
      <c r="W326" s="509">
        <f>U185</f>
        <v>2.5</v>
      </c>
      <c r="AE326" s="487"/>
    </row>
    <row r="327" spans="1:31" ht="13" hidden="1">
      <c r="A327" s="1243"/>
      <c r="B327" s="508">
        <v>18</v>
      </c>
      <c r="C327" s="508">
        <f>C196</f>
        <v>35</v>
      </c>
      <c r="D327" s="508">
        <f t="shared" ref="D327:F327" si="157">D196</f>
        <v>0.4</v>
      </c>
      <c r="E327" s="508">
        <f t="shared" si="157"/>
        <v>-0.3</v>
      </c>
      <c r="F327" s="508">
        <f t="shared" si="157"/>
        <v>0</v>
      </c>
      <c r="G327" s="508">
        <f>G196</f>
        <v>0.35</v>
      </c>
      <c r="I327" s="1243"/>
      <c r="J327" s="508">
        <v>18</v>
      </c>
      <c r="K327" s="508">
        <f>J196</f>
        <v>70</v>
      </c>
      <c r="L327" s="508">
        <f>K196</f>
        <v>-2.2000000000000002</v>
      </c>
      <c r="M327" s="508">
        <f>L196</f>
        <v>-0.3</v>
      </c>
      <c r="N327" s="508">
        <f>M196</f>
        <v>0</v>
      </c>
      <c r="O327" s="508">
        <f>N196</f>
        <v>0.95000000000000007</v>
      </c>
      <c r="Q327" s="1243"/>
      <c r="R327" s="508">
        <v>18</v>
      </c>
      <c r="S327" s="508">
        <f>Q196</f>
        <v>1000</v>
      </c>
      <c r="T327" s="508">
        <f>R196</f>
        <v>4.3</v>
      </c>
      <c r="U327" s="508">
        <f>S196</f>
        <v>-0.8</v>
      </c>
      <c r="V327" s="508">
        <f>T196</f>
        <v>0</v>
      </c>
      <c r="W327" s="509">
        <f>U196</f>
        <v>2.5499999999999998</v>
      </c>
      <c r="AE327" s="487"/>
    </row>
    <row r="328" spans="1:31" ht="13" hidden="1">
      <c r="A328" s="1243"/>
      <c r="B328" s="508">
        <v>19</v>
      </c>
      <c r="C328" s="508">
        <f>C207</f>
        <v>35</v>
      </c>
      <c r="D328" s="508">
        <f t="shared" ref="D328:F328" si="158">D207</f>
        <v>0.5</v>
      </c>
      <c r="E328" s="508">
        <f t="shared" si="158"/>
        <v>-0.1</v>
      </c>
      <c r="F328" s="508">
        <f t="shared" si="158"/>
        <v>0</v>
      </c>
      <c r="G328" s="508">
        <f>G207</f>
        <v>0.3</v>
      </c>
      <c r="I328" s="1243"/>
      <c r="J328" s="508">
        <v>19</v>
      </c>
      <c r="K328" s="508">
        <f>J207</f>
        <v>70</v>
      </c>
      <c r="L328" s="508">
        <f>K207</f>
        <v>-2.6</v>
      </c>
      <c r="M328" s="508">
        <f>L207</f>
        <v>-0.7</v>
      </c>
      <c r="N328" s="508">
        <f>M207</f>
        <v>0</v>
      </c>
      <c r="O328" s="508">
        <f>N207</f>
        <v>0.95000000000000007</v>
      </c>
      <c r="Q328" s="1243"/>
      <c r="R328" s="508">
        <v>19</v>
      </c>
      <c r="S328" s="508">
        <f>Q207</f>
        <v>950</v>
      </c>
      <c r="T328" s="508">
        <f>R207</f>
        <v>4.4000000000000004</v>
      </c>
      <c r="U328" s="508">
        <f>S207</f>
        <v>2.4</v>
      </c>
      <c r="V328" s="508">
        <f>T207</f>
        <v>0</v>
      </c>
      <c r="W328" s="509">
        <f>U207</f>
        <v>1.0000000000000002</v>
      </c>
      <c r="AE328" s="487"/>
    </row>
    <row r="329" spans="1:31" ht="13.5" hidden="1" thickBot="1">
      <c r="A329" s="1243"/>
      <c r="B329" s="508">
        <v>20</v>
      </c>
      <c r="C329" s="508">
        <f>C218</f>
        <v>34.5</v>
      </c>
      <c r="D329" s="508">
        <f t="shared" ref="D329:F329" si="159">D218</f>
        <v>9.9999999999999995E-7</v>
      </c>
      <c r="E329" s="508" t="str">
        <f t="shared" si="159"/>
        <v>-</v>
      </c>
      <c r="F329" s="508">
        <f t="shared" si="159"/>
        <v>9.9999999999999995E-7</v>
      </c>
      <c r="G329" s="508">
        <f>G218</f>
        <v>0</v>
      </c>
      <c r="I329" s="1243"/>
      <c r="J329" s="508">
        <v>20</v>
      </c>
      <c r="K329" s="508">
        <f>J218</f>
        <v>80.8</v>
      </c>
      <c r="L329" s="508">
        <f>K218</f>
        <v>9.9999999999999995E-7</v>
      </c>
      <c r="M329" s="508" t="str">
        <f>L218</f>
        <v>-</v>
      </c>
      <c r="N329" s="508">
        <f>M218</f>
        <v>0</v>
      </c>
      <c r="O329" s="508">
        <f>N218</f>
        <v>0</v>
      </c>
      <c r="Q329" s="1245"/>
      <c r="R329" s="517">
        <v>20</v>
      </c>
      <c r="S329" s="517">
        <f>Q218</f>
        <v>1000</v>
      </c>
      <c r="T329" s="517">
        <f>R218</f>
        <v>9.9999999999999995E-7</v>
      </c>
      <c r="U329" s="517" t="str">
        <f>S218</f>
        <v>-</v>
      </c>
      <c r="V329" s="517">
        <f>T218</f>
        <v>9.9999999999999995E-7</v>
      </c>
      <c r="W329" s="532">
        <f>U218</f>
        <v>0</v>
      </c>
      <c r="AE329" s="521"/>
    </row>
    <row r="330" spans="1:31" ht="13" hidden="1">
      <c r="A330" s="522"/>
      <c r="B330" s="522"/>
      <c r="C330" s="522"/>
      <c r="D330" s="522"/>
      <c r="E330" s="522"/>
      <c r="F330" s="502"/>
      <c r="G330" s="522"/>
      <c r="I330" s="522"/>
      <c r="J330" s="522"/>
      <c r="K330" s="522"/>
      <c r="L330" s="522"/>
      <c r="M330" s="522"/>
      <c r="N330" s="502"/>
      <c r="O330" s="522"/>
      <c r="Q330" s="533"/>
      <c r="R330" s="523"/>
      <c r="S330" s="296"/>
      <c r="T330" s="296"/>
      <c r="U330" s="296"/>
      <c r="W330" s="297"/>
      <c r="AE330" s="487"/>
    </row>
    <row r="331" spans="1:31" ht="13" hidden="1">
      <c r="A331" s="1243">
        <v>6</v>
      </c>
      <c r="B331" s="508">
        <v>1</v>
      </c>
      <c r="C331" s="508">
        <f>C10</f>
        <v>37</v>
      </c>
      <c r="D331" s="508">
        <f t="shared" ref="D331:F331" si="160">D10</f>
        <v>0.1</v>
      </c>
      <c r="E331" s="508">
        <f t="shared" si="160"/>
        <v>-0.3</v>
      </c>
      <c r="F331" s="508">
        <f t="shared" si="160"/>
        <v>-0.2</v>
      </c>
      <c r="G331" s="508">
        <f>G10</f>
        <v>0.2</v>
      </c>
      <c r="I331" s="1243">
        <v>6</v>
      </c>
      <c r="J331" s="508">
        <v>1</v>
      </c>
      <c r="K331" s="508">
        <f>J10</f>
        <v>80</v>
      </c>
      <c r="L331" s="508">
        <f>K10</f>
        <v>-0.7</v>
      </c>
      <c r="M331" s="508">
        <f>L10</f>
        <v>-3.7</v>
      </c>
      <c r="N331" s="508">
        <f>M10</f>
        <v>-1.6</v>
      </c>
      <c r="O331" s="508">
        <f>N10</f>
        <v>1.5</v>
      </c>
      <c r="Q331" s="1244">
        <v>6</v>
      </c>
      <c r="R331" s="527">
        <v>1</v>
      </c>
      <c r="S331" s="527">
        <f>Q10</f>
        <v>1005</v>
      </c>
      <c r="T331" s="527" t="str">
        <f>R10</f>
        <v>-</v>
      </c>
      <c r="U331" s="527" t="str">
        <f>S10</f>
        <v>-</v>
      </c>
      <c r="V331" s="527">
        <f>T10</f>
        <v>9.9999999999999995E-7</v>
      </c>
      <c r="W331" s="534">
        <f>U10</f>
        <v>0</v>
      </c>
      <c r="AE331" s="530"/>
    </row>
    <row r="332" spans="1:31" ht="13" hidden="1">
      <c r="A332" s="1243"/>
      <c r="B332" s="508">
        <v>2</v>
      </c>
      <c r="C332" s="508">
        <f>C21</f>
        <v>37</v>
      </c>
      <c r="D332" s="508">
        <f t="shared" ref="D332:F332" si="161">D21</f>
        <v>0.6</v>
      </c>
      <c r="E332" s="508">
        <f t="shared" si="161"/>
        <v>-0.2</v>
      </c>
      <c r="F332" s="508">
        <f t="shared" si="161"/>
        <v>-0.3</v>
      </c>
      <c r="G332" s="508">
        <f>G21</f>
        <v>0.44999999999999996</v>
      </c>
      <c r="I332" s="1243"/>
      <c r="J332" s="508">
        <v>2</v>
      </c>
      <c r="K332" s="508">
        <f>J21</f>
        <v>80</v>
      </c>
      <c r="L332" s="508">
        <f>K21</f>
        <v>-1.1000000000000001</v>
      </c>
      <c r="M332" s="508">
        <f>L21</f>
        <v>-0.5</v>
      </c>
      <c r="N332" s="508">
        <f>M21</f>
        <v>-0.7</v>
      </c>
      <c r="O332" s="508">
        <f>N21</f>
        <v>0.30000000000000004</v>
      </c>
      <c r="Q332" s="1243"/>
      <c r="R332" s="508">
        <v>2</v>
      </c>
      <c r="S332" s="508">
        <f>Q21</f>
        <v>1005</v>
      </c>
      <c r="T332" s="508" t="str">
        <f>R21</f>
        <v>-</v>
      </c>
      <c r="U332" s="508" t="str">
        <f>S21</f>
        <v>-</v>
      </c>
      <c r="V332" s="508" t="str">
        <f>T21</f>
        <v>-</v>
      </c>
      <c r="W332" s="509">
        <f>U21</f>
        <v>0</v>
      </c>
      <c r="AE332" s="487"/>
    </row>
    <row r="333" spans="1:31" ht="13" hidden="1">
      <c r="A333" s="1243"/>
      <c r="B333" s="508">
        <v>3</v>
      </c>
      <c r="C333" s="508">
        <f>C32</f>
        <v>37</v>
      </c>
      <c r="D333" s="508">
        <f t="shared" ref="D333:F333" si="162">D32</f>
        <v>0.3</v>
      </c>
      <c r="E333" s="508">
        <f t="shared" si="162"/>
        <v>-0.2</v>
      </c>
      <c r="F333" s="508">
        <f t="shared" si="162"/>
        <v>-0.6</v>
      </c>
      <c r="G333" s="508">
        <f>G32</f>
        <v>0.44999999999999996</v>
      </c>
      <c r="I333" s="1243"/>
      <c r="J333" s="508">
        <v>3</v>
      </c>
      <c r="K333" s="508">
        <f>J32</f>
        <v>80</v>
      </c>
      <c r="L333" s="508">
        <f>K32</f>
        <v>-2.7</v>
      </c>
      <c r="M333" s="508">
        <f>L32</f>
        <v>-0.8</v>
      </c>
      <c r="N333" s="508">
        <f>M32</f>
        <v>-2.9</v>
      </c>
      <c r="O333" s="508">
        <f>N32</f>
        <v>1.0499999999999998</v>
      </c>
      <c r="Q333" s="1243"/>
      <c r="R333" s="508">
        <v>3</v>
      </c>
      <c r="S333" s="508">
        <f>Q32</f>
        <v>1005</v>
      </c>
      <c r="T333" s="508" t="str">
        <f>R32</f>
        <v>-</v>
      </c>
      <c r="U333" s="508" t="str">
        <f>S32</f>
        <v>-</v>
      </c>
      <c r="V333" s="508" t="str">
        <f>T32</f>
        <v>-</v>
      </c>
      <c r="W333" s="509">
        <f>U32</f>
        <v>0</v>
      </c>
      <c r="AE333" s="487"/>
    </row>
    <row r="334" spans="1:31" ht="13" hidden="1">
      <c r="A334" s="1243"/>
      <c r="B334" s="508">
        <v>4</v>
      </c>
      <c r="C334" s="508">
        <f>C43</f>
        <v>37</v>
      </c>
      <c r="D334" s="508">
        <f t="shared" ref="D334:F334" si="163">D43</f>
        <v>-0.4</v>
      </c>
      <c r="E334" s="508">
        <f t="shared" si="163"/>
        <v>-0.6</v>
      </c>
      <c r="F334" s="508">
        <f t="shared" si="163"/>
        <v>0</v>
      </c>
      <c r="G334" s="508">
        <f>G43</f>
        <v>9.9999999999999978E-2</v>
      </c>
      <c r="I334" s="1243"/>
      <c r="J334" s="508">
        <v>4</v>
      </c>
      <c r="K334" s="508">
        <f>J43</f>
        <v>80</v>
      </c>
      <c r="L334" s="508">
        <f>K43</f>
        <v>-3.8</v>
      </c>
      <c r="M334" s="508">
        <f>L43</f>
        <v>1.9</v>
      </c>
      <c r="N334" s="508">
        <f>M43</f>
        <v>0</v>
      </c>
      <c r="O334" s="508">
        <f>N43</f>
        <v>2.8499999999999996</v>
      </c>
      <c r="Q334" s="1243"/>
      <c r="R334" s="508">
        <v>4</v>
      </c>
      <c r="S334" s="508">
        <f>Q43</f>
        <v>1005</v>
      </c>
      <c r="T334" s="508" t="str">
        <f>R43</f>
        <v>-</v>
      </c>
      <c r="U334" s="508" t="str">
        <f>S43</f>
        <v>-</v>
      </c>
      <c r="V334" s="508">
        <f>T43</f>
        <v>9.9999999999999995E-7</v>
      </c>
      <c r="W334" s="509">
        <f>U43</f>
        <v>0</v>
      </c>
      <c r="AE334" s="487"/>
    </row>
    <row r="335" spans="1:31" ht="13" hidden="1">
      <c r="A335" s="1243"/>
      <c r="B335" s="508">
        <v>5</v>
      </c>
      <c r="C335" s="508">
        <f>C54</f>
        <v>37</v>
      </c>
      <c r="D335" s="508">
        <f t="shared" ref="D335:F335" si="164">D54</f>
        <v>0.3</v>
      </c>
      <c r="E335" s="508">
        <f t="shared" si="164"/>
        <v>0.1</v>
      </c>
      <c r="F335" s="508">
        <f t="shared" si="164"/>
        <v>0.7</v>
      </c>
      <c r="G335" s="508">
        <f>G54</f>
        <v>0.3</v>
      </c>
      <c r="I335" s="1243"/>
      <c r="J335" s="508">
        <v>5</v>
      </c>
      <c r="K335" s="508">
        <f>J54</f>
        <v>80</v>
      </c>
      <c r="L335" s="508">
        <f>K54</f>
        <v>-6.3</v>
      </c>
      <c r="M335" s="508">
        <f>L54</f>
        <v>-3.8</v>
      </c>
      <c r="N335" s="508">
        <f>M54</f>
        <v>-3</v>
      </c>
      <c r="O335" s="508">
        <f>N54</f>
        <v>1.65</v>
      </c>
      <c r="Q335" s="1243"/>
      <c r="R335" s="508">
        <v>5</v>
      </c>
      <c r="S335" s="508">
        <f>Q54</f>
        <v>1005</v>
      </c>
      <c r="T335" s="508" t="str">
        <f>R54</f>
        <v>-</v>
      </c>
      <c r="U335" s="508" t="str">
        <f>S54</f>
        <v>-</v>
      </c>
      <c r="V335" s="508" t="str">
        <f>T54</f>
        <v>-</v>
      </c>
      <c r="W335" s="509">
        <f>U54</f>
        <v>0</v>
      </c>
      <c r="AE335" s="487"/>
    </row>
    <row r="336" spans="1:31" ht="13" hidden="1">
      <c r="A336" s="1243"/>
      <c r="B336" s="508">
        <v>6</v>
      </c>
      <c r="C336" s="508">
        <f>C65</f>
        <v>37</v>
      </c>
      <c r="D336" s="508">
        <f t="shared" ref="D336:F336" si="165">D65</f>
        <v>0.1</v>
      </c>
      <c r="E336" s="508">
        <f t="shared" si="165"/>
        <v>-1.1000000000000001</v>
      </c>
      <c r="F336" s="508">
        <f t="shared" si="165"/>
        <v>0</v>
      </c>
      <c r="G336" s="508">
        <f>G65</f>
        <v>0.60000000000000009</v>
      </c>
      <c r="I336" s="1243"/>
      <c r="J336" s="508">
        <v>6</v>
      </c>
      <c r="K336" s="508">
        <f>J65</f>
        <v>80</v>
      </c>
      <c r="L336" s="508">
        <f>K65</f>
        <v>-6.3</v>
      </c>
      <c r="M336" s="508">
        <f>L65</f>
        <v>0.8</v>
      </c>
      <c r="N336" s="508">
        <f>M65</f>
        <v>0</v>
      </c>
      <c r="O336" s="508">
        <f>N65</f>
        <v>3.55</v>
      </c>
      <c r="Q336" s="1243"/>
      <c r="R336" s="508">
        <v>6</v>
      </c>
      <c r="S336" s="508">
        <f>Q65</f>
        <v>1005</v>
      </c>
      <c r="T336" s="508">
        <f>R65</f>
        <v>0.9</v>
      </c>
      <c r="U336" s="508">
        <f>S65</f>
        <v>-0.3</v>
      </c>
      <c r="V336" s="508">
        <f>T65</f>
        <v>9.9999999999999995E-7</v>
      </c>
      <c r="W336" s="509">
        <f>U65</f>
        <v>0.6</v>
      </c>
      <c r="AE336" s="487"/>
    </row>
    <row r="337" spans="1:31" ht="13" hidden="1">
      <c r="A337" s="1243"/>
      <c r="B337" s="508">
        <v>7</v>
      </c>
      <c r="C337" s="508">
        <f>C76</f>
        <v>37</v>
      </c>
      <c r="D337" s="508">
        <f t="shared" ref="D337:F337" si="166">D76</f>
        <v>9.9999999999999995E-7</v>
      </c>
      <c r="E337" s="508">
        <f t="shared" si="166"/>
        <v>-1.4</v>
      </c>
      <c r="F337" s="508">
        <f t="shared" si="166"/>
        <v>0</v>
      </c>
      <c r="G337" s="508">
        <f>G76</f>
        <v>0.70000049999999991</v>
      </c>
      <c r="I337" s="1243"/>
      <c r="J337" s="508">
        <v>7</v>
      </c>
      <c r="K337" s="508">
        <f>J76</f>
        <v>80</v>
      </c>
      <c r="L337" s="508">
        <f>K76</f>
        <v>-2.6</v>
      </c>
      <c r="M337" s="508">
        <f>L76</f>
        <v>1.2</v>
      </c>
      <c r="N337" s="508">
        <f>M76</f>
        <v>0</v>
      </c>
      <c r="O337" s="508">
        <f>N76</f>
        <v>1.9</v>
      </c>
      <c r="Q337" s="1243"/>
      <c r="R337" s="508">
        <v>7</v>
      </c>
      <c r="S337" s="508">
        <f>Q76</f>
        <v>1005</v>
      </c>
      <c r="T337" s="508">
        <f>R76</f>
        <v>-3.8</v>
      </c>
      <c r="U337" s="508">
        <f>S76</f>
        <v>-0.5</v>
      </c>
      <c r="V337" s="508">
        <f>T76</f>
        <v>9.9999999999999995E-7</v>
      </c>
      <c r="W337" s="509">
        <f>U76</f>
        <v>1.9000005</v>
      </c>
      <c r="AE337" s="487"/>
    </row>
    <row r="338" spans="1:31" ht="13" hidden="1">
      <c r="A338" s="1243"/>
      <c r="B338" s="508">
        <v>8</v>
      </c>
      <c r="C338" s="508">
        <f>C87</f>
        <v>37</v>
      </c>
      <c r="D338" s="508">
        <f t="shared" ref="D338:F338" si="167">D87</f>
        <v>-0.1</v>
      </c>
      <c r="E338" s="508">
        <f t="shared" si="167"/>
        <v>-0.1</v>
      </c>
      <c r="F338" s="508">
        <f t="shared" si="167"/>
        <v>-0.5</v>
      </c>
      <c r="G338" s="508">
        <f>G87</f>
        <v>0.2</v>
      </c>
      <c r="I338" s="1243"/>
      <c r="J338" s="508">
        <v>8</v>
      </c>
      <c r="K338" s="508">
        <f>J87</f>
        <v>80</v>
      </c>
      <c r="L338" s="508">
        <f>K87</f>
        <v>-7.6</v>
      </c>
      <c r="M338" s="508">
        <f>L87</f>
        <v>-4.5</v>
      </c>
      <c r="N338" s="508">
        <f>M87</f>
        <v>-1.2</v>
      </c>
      <c r="O338" s="508">
        <f>N87</f>
        <v>3.1999999999999997</v>
      </c>
      <c r="Q338" s="1243"/>
      <c r="R338" s="508">
        <v>8</v>
      </c>
      <c r="S338" s="508">
        <f>Q87</f>
        <v>1010</v>
      </c>
      <c r="T338" s="508">
        <f>R87</f>
        <v>0.6</v>
      </c>
      <c r="U338" s="508">
        <f>S87</f>
        <v>-3.4</v>
      </c>
      <c r="V338" s="508">
        <f>T87</f>
        <v>0.2</v>
      </c>
      <c r="W338" s="509">
        <f>U87</f>
        <v>2</v>
      </c>
      <c r="AE338" s="487"/>
    </row>
    <row r="339" spans="1:31" ht="13" hidden="1">
      <c r="A339" s="1243"/>
      <c r="B339" s="508">
        <v>9</v>
      </c>
      <c r="C339" s="508">
        <f>C98</f>
        <v>37</v>
      </c>
      <c r="D339" s="508">
        <f t="shared" ref="D339:F339" si="168">D98</f>
        <v>-0.5</v>
      </c>
      <c r="E339" s="508" t="str">
        <f t="shared" si="168"/>
        <v>-</v>
      </c>
      <c r="F339" s="508">
        <f t="shared" si="168"/>
        <v>0</v>
      </c>
      <c r="G339" s="508">
        <f>G98</f>
        <v>0</v>
      </c>
      <c r="I339" s="1243"/>
      <c r="J339" s="508">
        <v>9</v>
      </c>
      <c r="K339" s="508">
        <f>J98</f>
        <v>80</v>
      </c>
      <c r="L339" s="508">
        <f>K98</f>
        <v>-0.5</v>
      </c>
      <c r="M339" s="508" t="str">
        <f>L98</f>
        <v>-</v>
      </c>
      <c r="N339" s="508">
        <f>M98</f>
        <v>0</v>
      </c>
      <c r="O339" s="508">
        <f>N98</f>
        <v>0</v>
      </c>
      <c r="Q339" s="1243"/>
      <c r="R339" s="508">
        <v>9</v>
      </c>
      <c r="S339" s="508">
        <f>Q98</f>
        <v>1005</v>
      </c>
      <c r="T339" s="508">
        <f>R98</f>
        <v>0.2</v>
      </c>
      <c r="U339" s="508" t="str">
        <f>S98</f>
        <v>-</v>
      </c>
      <c r="V339" s="508">
        <f>T98</f>
        <v>9.9999999999999995E-7</v>
      </c>
      <c r="W339" s="509">
        <f>U98</f>
        <v>9.9999500000000005E-2</v>
      </c>
      <c r="AE339" s="487"/>
    </row>
    <row r="340" spans="1:31" ht="13" hidden="1">
      <c r="A340" s="1243"/>
      <c r="B340" s="508">
        <v>10</v>
      </c>
      <c r="C340" s="508">
        <f>C109</f>
        <v>37</v>
      </c>
      <c r="D340" s="508">
        <f t="shared" ref="D340:F340" si="169">D109</f>
        <v>0.2</v>
      </c>
      <c r="E340" s="508">
        <f t="shared" si="169"/>
        <v>0.4</v>
      </c>
      <c r="F340" s="508">
        <f t="shared" si="169"/>
        <v>0</v>
      </c>
      <c r="G340" s="508">
        <f>G109</f>
        <v>0.1</v>
      </c>
      <c r="I340" s="1243"/>
      <c r="J340" s="508">
        <v>10</v>
      </c>
      <c r="K340" s="508">
        <f>J109</f>
        <v>80</v>
      </c>
      <c r="L340" s="508">
        <f>K109</f>
        <v>2.2000000000000002</v>
      </c>
      <c r="M340" s="508">
        <f>L109</f>
        <v>-4.7</v>
      </c>
      <c r="N340" s="508">
        <f>M109</f>
        <v>0</v>
      </c>
      <c r="O340" s="508">
        <f>N109</f>
        <v>3.45</v>
      </c>
      <c r="Q340" s="1243"/>
      <c r="R340" s="508">
        <v>10</v>
      </c>
      <c r="S340" s="508">
        <f>Q109</f>
        <v>1005</v>
      </c>
      <c r="T340" s="508" t="str">
        <f>R109</f>
        <v>-</v>
      </c>
      <c r="U340" s="508" t="str">
        <f>S109</f>
        <v>-</v>
      </c>
      <c r="V340" s="508">
        <f>T109</f>
        <v>9.9999999999999995E-7</v>
      </c>
      <c r="W340" s="509">
        <f>U109</f>
        <v>0</v>
      </c>
      <c r="AE340" s="487"/>
    </row>
    <row r="341" spans="1:31" ht="13" hidden="1">
      <c r="A341" s="1243"/>
      <c r="B341" s="508">
        <v>11</v>
      </c>
      <c r="C341" s="508">
        <f>C120</f>
        <v>37</v>
      </c>
      <c r="D341" s="508">
        <f t="shared" ref="D341:F341" si="170">D120</f>
        <v>0.5</v>
      </c>
      <c r="E341" s="508">
        <f t="shared" si="170"/>
        <v>0.5</v>
      </c>
      <c r="F341" s="508">
        <f t="shared" si="170"/>
        <v>0</v>
      </c>
      <c r="G341" s="508">
        <f>G120</f>
        <v>0</v>
      </c>
      <c r="I341" s="1243"/>
      <c r="J341" s="508">
        <v>11</v>
      </c>
      <c r="K341" s="508">
        <f>J120</f>
        <v>80</v>
      </c>
      <c r="L341" s="508">
        <f>K120</f>
        <v>-1.4</v>
      </c>
      <c r="M341" s="508">
        <f>L120</f>
        <v>2.6</v>
      </c>
      <c r="N341" s="508">
        <f>M120</f>
        <v>0</v>
      </c>
      <c r="O341" s="508">
        <f>N120</f>
        <v>2</v>
      </c>
      <c r="Q341" s="1243"/>
      <c r="R341" s="508">
        <v>11</v>
      </c>
      <c r="S341" s="508">
        <f>Q120</f>
        <v>1005</v>
      </c>
      <c r="T341" s="508" t="str">
        <f>R120</f>
        <v>-</v>
      </c>
      <c r="U341" s="508" t="str">
        <f>S120</f>
        <v>-</v>
      </c>
      <c r="V341" s="508">
        <f>T120</f>
        <v>9.9999999999999995E-7</v>
      </c>
      <c r="W341" s="509">
        <f>U120</f>
        <v>0</v>
      </c>
      <c r="AE341" s="487"/>
    </row>
    <row r="342" spans="1:31" ht="13" hidden="1">
      <c r="A342" s="1243"/>
      <c r="B342" s="508">
        <v>12</v>
      </c>
      <c r="C342" s="508">
        <f>C131</f>
        <v>37</v>
      </c>
      <c r="D342" s="508">
        <f t="shared" ref="D342:F342" si="171">D131</f>
        <v>0.7</v>
      </c>
      <c r="E342" s="508">
        <f t="shared" si="171"/>
        <v>-0.3</v>
      </c>
      <c r="F342" s="508">
        <f t="shared" si="171"/>
        <v>0</v>
      </c>
      <c r="G342" s="508">
        <f>G131</f>
        <v>0.5</v>
      </c>
      <c r="I342" s="1243"/>
      <c r="J342" s="508">
        <v>12</v>
      </c>
      <c r="K342" s="508">
        <f>J131</f>
        <v>80</v>
      </c>
      <c r="L342" s="508">
        <f>K131</f>
        <v>-2.4</v>
      </c>
      <c r="M342" s="508">
        <f>L131</f>
        <v>-0.5</v>
      </c>
      <c r="N342" s="508">
        <f>M131</f>
        <v>0</v>
      </c>
      <c r="O342" s="508">
        <f>N131</f>
        <v>0.95</v>
      </c>
      <c r="Q342" s="1243"/>
      <c r="R342" s="508">
        <v>12</v>
      </c>
      <c r="S342" s="508">
        <f>Q131</f>
        <v>1010</v>
      </c>
      <c r="T342" s="508">
        <f>R131</f>
        <v>4.0999999999999996</v>
      </c>
      <c r="U342" s="508">
        <f>S131</f>
        <v>-0.8</v>
      </c>
      <c r="V342" s="508">
        <f>T131</f>
        <v>0</v>
      </c>
      <c r="W342" s="509">
        <f>U131</f>
        <v>2.4499999999999997</v>
      </c>
      <c r="AE342" s="487"/>
    </row>
    <row r="343" spans="1:31" ht="13" hidden="1">
      <c r="A343" s="1243"/>
      <c r="B343" s="508">
        <v>13</v>
      </c>
      <c r="C343" s="508">
        <f>C142</f>
        <v>37</v>
      </c>
      <c r="D343" s="508">
        <f t="shared" ref="D343:F343" si="172">D142</f>
        <v>0.6</v>
      </c>
      <c r="E343" s="508">
        <f t="shared" si="172"/>
        <v>-0.2</v>
      </c>
      <c r="F343" s="508">
        <f t="shared" si="172"/>
        <v>0.4</v>
      </c>
      <c r="G343" s="508">
        <f>G142</f>
        <v>0.4</v>
      </c>
      <c r="I343" s="1243"/>
      <c r="J343" s="508">
        <v>13</v>
      </c>
      <c r="K343" s="508">
        <f>J142</f>
        <v>80</v>
      </c>
      <c r="L343" s="508">
        <f>K142</f>
        <v>-1.5</v>
      </c>
      <c r="M343" s="508">
        <f>L142</f>
        <v>-1.2</v>
      </c>
      <c r="N343" s="508">
        <f>M142</f>
        <v>-2.5</v>
      </c>
      <c r="O343" s="508">
        <f>N142</f>
        <v>0.65</v>
      </c>
      <c r="Q343" s="1243"/>
      <c r="R343" s="508">
        <v>13</v>
      </c>
      <c r="S343" s="508">
        <f>Q142</f>
        <v>1010</v>
      </c>
      <c r="T343" s="508">
        <f>R142</f>
        <v>4.3</v>
      </c>
      <c r="U343" s="508">
        <f>S142</f>
        <v>3.5</v>
      </c>
      <c r="V343" s="508">
        <f>T142</f>
        <v>1.1000000000000001</v>
      </c>
      <c r="W343" s="509">
        <f>U142</f>
        <v>1.5999999999999999</v>
      </c>
      <c r="AE343" s="487"/>
    </row>
    <row r="344" spans="1:31" ht="13" hidden="1">
      <c r="A344" s="1243"/>
      <c r="B344" s="508">
        <v>14</v>
      </c>
      <c r="C344" s="508">
        <f>C153</f>
        <v>37</v>
      </c>
      <c r="D344" s="508">
        <f t="shared" ref="D344:F344" si="173">D153</f>
        <v>0.4</v>
      </c>
      <c r="E344" s="508">
        <f t="shared" si="173"/>
        <v>-0.7</v>
      </c>
      <c r="F344" s="508">
        <f t="shared" si="173"/>
        <v>-0.8</v>
      </c>
      <c r="G344" s="508">
        <f>G153</f>
        <v>0.60000000000000009</v>
      </c>
      <c r="I344" s="1243"/>
      <c r="J344" s="508">
        <v>14</v>
      </c>
      <c r="K344" s="508">
        <f>J153</f>
        <v>80</v>
      </c>
      <c r="L344" s="508">
        <f>K153</f>
        <v>0.6</v>
      </c>
      <c r="M344" s="508">
        <f>L153</f>
        <v>1.1000000000000001</v>
      </c>
      <c r="N344" s="508">
        <f>M153</f>
        <v>-0.9</v>
      </c>
      <c r="O344" s="508">
        <f>N153</f>
        <v>1</v>
      </c>
      <c r="Q344" s="1243"/>
      <c r="R344" s="508">
        <v>14</v>
      </c>
      <c r="S344" s="508">
        <f>Q153</f>
        <v>1010</v>
      </c>
      <c r="T344" s="508">
        <f>R153</f>
        <v>4.4000000000000004</v>
      </c>
      <c r="U344" s="508">
        <f>S153</f>
        <v>3.7</v>
      </c>
      <c r="V344" s="508">
        <f>T153</f>
        <v>1.1000000000000001</v>
      </c>
      <c r="W344" s="509">
        <f>U153</f>
        <v>1.6500000000000001</v>
      </c>
      <c r="AE344" s="487"/>
    </row>
    <row r="345" spans="1:31" ht="13" hidden="1">
      <c r="A345" s="1243"/>
      <c r="B345" s="508">
        <v>15</v>
      </c>
      <c r="C345" s="508">
        <f>C164</f>
        <v>37</v>
      </c>
      <c r="D345" s="508">
        <f t="shared" ref="D345:F345" si="174">D164</f>
        <v>0.5</v>
      </c>
      <c r="E345" s="508">
        <f t="shared" si="174"/>
        <v>1</v>
      </c>
      <c r="F345" s="508">
        <f t="shared" si="174"/>
        <v>-0.1</v>
      </c>
      <c r="G345" s="508">
        <f>G164</f>
        <v>0.55000000000000004</v>
      </c>
      <c r="I345" s="1243"/>
      <c r="J345" s="508">
        <v>15</v>
      </c>
      <c r="K345" s="508">
        <f>J164</f>
        <v>80</v>
      </c>
      <c r="L345" s="508">
        <f>K164</f>
        <v>-0.7</v>
      </c>
      <c r="M345" s="508">
        <f>L164</f>
        <v>-0.4</v>
      </c>
      <c r="N345" s="508">
        <f>M164</f>
        <v>-1.3</v>
      </c>
      <c r="O345" s="508">
        <f>N164</f>
        <v>0.45</v>
      </c>
      <c r="Q345" s="1243"/>
      <c r="R345" s="508">
        <v>15</v>
      </c>
      <c r="S345" s="508">
        <f>Q164</f>
        <v>1010</v>
      </c>
      <c r="T345" s="508">
        <f>R164</f>
        <v>4.5999999999999996</v>
      </c>
      <c r="U345" s="508">
        <f>S164</f>
        <v>3.9</v>
      </c>
      <c r="V345" s="508">
        <f>T164</f>
        <v>1.1000000000000001</v>
      </c>
      <c r="W345" s="509">
        <f>U164</f>
        <v>1.7499999999999998</v>
      </c>
      <c r="AE345" s="487"/>
    </row>
    <row r="346" spans="1:31" ht="13" hidden="1">
      <c r="A346" s="1243"/>
      <c r="B346" s="508">
        <v>16</v>
      </c>
      <c r="C346" s="508">
        <f>C175</f>
        <v>37</v>
      </c>
      <c r="D346" s="508">
        <f t="shared" ref="D346:F346" si="175">D175</f>
        <v>0.6</v>
      </c>
      <c r="E346" s="508">
        <f t="shared" si="175"/>
        <v>9.9999999999999995E-7</v>
      </c>
      <c r="F346" s="508">
        <f t="shared" si="175"/>
        <v>0</v>
      </c>
      <c r="G346" s="508">
        <f>G175</f>
        <v>0.29999949999999997</v>
      </c>
      <c r="I346" s="1243"/>
      <c r="J346" s="508">
        <v>16</v>
      </c>
      <c r="K346" s="508">
        <f>J175</f>
        <v>80</v>
      </c>
      <c r="L346" s="508">
        <f>K175</f>
        <v>-2.5</v>
      </c>
      <c r="M346" s="508">
        <f>L175</f>
        <v>-2.2999999999999998</v>
      </c>
      <c r="N346" s="508">
        <f>M175</f>
        <v>0</v>
      </c>
      <c r="O346" s="508">
        <f>N175</f>
        <v>0.10000000000000009</v>
      </c>
      <c r="Q346" s="1243"/>
      <c r="R346" s="508">
        <v>16</v>
      </c>
      <c r="S346" s="508">
        <f>Q175</f>
        <v>1010</v>
      </c>
      <c r="T346" s="508">
        <f>R175</f>
        <v>4.3</v>
      </c>
      <c r="U346" s="508">
        <f>S175</f>
        <v>-0.4</v>
      </c>
      <c r="V346" s="508">
        <f>T175</f>
        <v>0</v>
      </c>
      <c r="W346" s="509">
        <f>U175</f>
        <v>2.35</v>
      </c>
      <c r="AE346" s="487"/>
    </row>
    <row r="347" spans="1:31" ht="13" hidden="1">
      <c r="A347" s="1243"/>
      <c r="B347" s="508">
        <v>17</v>
      </c>
      <c r="C347" s="508">
        <f>C186</f>
        <v>37</v>
      </c>
      <c r="D347" s="508">
        <f>D186</f>
        <v>0.7</v>
      </c>
      <c r="E347" s="508">
        <f>E186</f>
        <v>-0.6</v>
      </c>
      <c r="F347" s="508">
        <f t="shared" ref="F347" si="176">F186</f>
        <v>0</v>
      </c>
      <c r="G347" s="508">
        <f>G186</f>
        <v>0.64999999999999991</v>
      </c>
      <c r="I347" s="1243"/>
      <c r="J347" s="508">
        <v>17</v>
      </c>
      <c r="K347" s="508">
        <f>J186</f>
        <v>80</v>
      </c>
      <c r="L347" s="508">
        <f>K186</f>
        <v>-2.2000000000000002</v>
      </c>
      <c r="M347" s="508">
        <f>L186</f>
        <v>-0.8</v>
      </c>
      <c r="N347" s="508">
        <f>M186</f>
        <v>0</v>
      </c>
      <c r="O347" s="508">
        <f>N186</f>
        <v>0.70000000000000007</v>
      </c>
      <c r="Q347" s="1243"/>
      <c r="R347" s="508">
        <v>17</v>
      </c>
      <c r="S347" s="508">
        <f>Q186</f>
        <v>1010</v>
      </c>
      <c r="T347" s="508">
        <f>R186</f>
        <v>4.4000000000000004</v>
      </c>
      <c r="U347" s="508">
        <f>S186</f>
        <v>-0.6</v>
      </c>
      <c r="V347" s="508">
        <f>T186</f>
        <v>0</v>
      </c>
      <c r="W347" s="509">
        <f>U186</f>
        <v>2.5</v>
      </c>
      <c r="AE347" s="487"/>
    </row>
    <row r="348" spans="1:31" ht="13" hidden="1">
      <c r="A348" s="1243"/>
      <c r="B348" s="508">
        <v>18</v>
      </c>
      <c r="C348" s="508">
        <f>C197</f>
        <v>37</v>
      </c>
      <c r="D348" s="508">
        <f t="shared" ref="D348:F348" si="177">D197</f>
        <v>0.4</v>
      </c>
      <c r="E348" s="508">
        <f t="shared" si="177"/>
        <v>-0.3</v>
      </c>
      <c r="F348" s="508">
        <f t="shared" si="177"/>
        <v>0</v>
      </c>
      <c r="G348" s="508">
        <f>G197</f>
        <v>0.35</v>
      </c>
      <c r="I348" s="1243"/>
      <c r="J348" s="508">
        <v>18</v>
      </c>
      <c r="K348" s="508">
        <f>J197</f>
        <v>80</v>
      </c>
      <c r="L348" s="508">
        <f>K197</f>
        <v>-2.4</v>
      </c>
      <c r="M348" s="508">
        <f>L197</f>
        <v>-0.5</v>
      </c>
      <c r="N348" s="508">
        <f>M197</f>
        <v>0</v>
      </c>
      <c r="O348" s="508">
        <f>N197</f>
        <v>0.95</v>
      </c>
      <c r="Q348" s="1243"/>
      <c r="R348" s="508">
        <v>18</v>
      </c>
      <c r="S348" s="508">
        <f>Q197</f>
        <v>1010</v>
      </c>
      <c r="T348" s="508">
        <f>R197</f>
        <v>4.2</v>
      </c>
      <c r="U348" s="508">
        <f>S197</f>
        <v>-0.7</v>
      </c>
      <c r="V348" s="508">
        <f>T197</f>
        <v>0</v>
      </c>
      <c r="W348" s="509">
        <f>U197</f>
        <v>2.4500000000000002</v>
      </c>
      <c r="AE348" s="487"/>
    </row>
    <row r="349" spans="1:31" ht="13" hidden="1">
      <c r="A349" s="1243"/>
      <c r="B349" s="508">
        <v>19</v>
      </c>
      <c r="C349" s="508">
        <f>C208</f>
        <v>37</v>
      </c>
      <c r="D349" s="508">
        <f t="shared" ref="D349:F349" si="178">D208</f>
        <v>0.5</v>
      </c>
      <c r="E349" s="508">
        <f t="shared" si="178"/>
        <v>9.9999999999999995E-7</v>
      </c>
      <c r="F349" s="508">
        <f t="shared" si="178"/>
        <v>0</v>
      </c>
      <c r="G349" s="508">
        <f>G208</f>
        <v>0.24999950000000001</v>
      </c>
      <c r="I349" s="1243"/>
      <c r="J349" s="508">
        <v>19</v>
      </c>
      <c r="K349" s="508">
        <f>J208</f>
        <v>80</v>
      </c>
      <c r="L349" s="508">
        <f>K208</f>
        <v>-2.2000000000000002</v>
      </c>
      <c r="M349" s="508">
        <f>L208</f>
        <v>-0.9</v>
      </c>
      <c r="N349" s="508">
        <f>M208</f>
        <v>0</v>
      </c>
      <c r="O349" s="508">
        <f>N208</f>
        <v>0.65000000000000013</v>
      </c>
      <c r="Q349" s="1243"/>
      <c r="R349" s="508">
        <v>19</v>
      </c>
      <c r="S349" s="508">
        <f>Q208</f>
        <v>1000</v>
      </c>
      <c r="T349" s="508">
        <f>R208</f>
        <v>4.3</v>
      </c>
      <c r="U349" s="508">
        <f>S208</f>
        <v>2.2000000000000002</v>
      </c>
      <c r="V349" s="508">
        <f>T208</f>
        <v>0</v>
      </c>
      <c r="W349" s="509">
        <f>U208</f>
        <v>1.0499999999999998</v>
      </c>
      <c r="AE349" s="487"/>
    </row>
    <row r="350" spans="1:31" ht="13.5" hidden="1" thickBot="1">
      <c r="A350" s="1243"/>
      <c r="B350" s="508">
        <v>20</v>
      </c>
      <c r="C350" s="508">
        <f>C219</f>
        <v>39.5</v>
      </c>
      <c r="D350" s="508">
        <f t="shared" ref="D350:F350" si="179">D219</f>
        <v>9.9999999999999995E-7</v>
      </c>
      <c r="E350" s="508" t="str">
        <f t="shared" si="179"/>
        <v>-</v>
      </c>
      <c r="F350" s="508">
        <f t="shared" si="179"/>
        <v>9.9999999999999995E-7</v>
      </c>
      <c r="G350" s="508">
        <f>G219</f>
        <v>0</v>
      </c>
      <c r="I350" s="1243"/>
      <c r="J350" s="508">
        <v>20</v>
      </c>
      <c r="K350" s="508">
        <f>J219</f>
        <v>88.7</v>
      </c>
      <c r="L350" s="508">
        <f>K219</f>
        <v>9.9999999999999995E-7</v>
      </c>
      <c r="M350" s="508" t="str">
        <f>L219</f>
        <v>-</v>
      </c>
      <c r="N350" s="508">
        <f>M219</f>
        <v>0</v>
      </c>
      <c r="O350" s="508">
        <f>N219</f>
        <v>0</v>
      </c>
      <c r="Q350" s="1245"/>
      <c r="R350" s="517">
        <v>20</v>
      </c>
      <c r="S350" s="517">
        <f>Q219</f>
        <v>1005</v>
      </c>
      <c r="T350" s="517">
        <f>R219</f>
        <v>9.9999999999999995E-7</v>
      </c>
      <c r="U350" s="517" t="str">
        <f>S219</f>
        <v>-</v>
      </c>
      <c r="V350" s="517">
        <f>T219</f>
        <v>9.9999999999999995E-7</v>
      </c>
      <c r="W350" s="532">
        <f>U219</f>
        <v>0</v>
      </c>
      <c r="AE350" s="521"/>
    </row>
    <row r="351" spans="1:31" ht="13" hidden="1">
      <c r="A351" s="522"/>
      <c r="B351" s="522"/>
      <c r="C351" s="522"/>
      <c r="D351" s="522"/>
      <c r="E351" s="522"/>
      <c r="F351" s="502"/>
      <c r="G351" s="522"/>
      <c r="I351" s="522"/>
      <c r="J351" s="522"/>
      <c r="K351" s="522"/>
      <c r="L351" s="522"/>
      <c r="M351" s="522"/>
      <c r="N351" s="502"/>
      <c r="O351" s="522"/>
      <c r="Q351" s="536"/>
      <c r="R351" s="523"/>
      <c r="S351" s="296"/>
      <c r="T351" s="296"/>
      <c r="U351" s="296"/>
      <c r="W351" s="297"/>
      <c r="AE351" s="487"/>
    </row>
    <row r="352" spans="1:31" ht="13" hidden="1">
      <c r="A352" s="1243">
        <v>7</v>
      </c>
      <c r="B352" s="508">
        <v>1</v>
      </c>
      <c r="C352" s="508">
        <f>C11</f>
        <v>40</v>
      </c>
      <c r="D352" s="508">
        <f t="shared" ref="D352:F352" si="180">D11</f>
        <v>0.3</v>
      </c>
      <c r="E352" s="508">
        <f t="shared" si="180"/>
        <v>-0.4</v>
      </c>
      <c r="F352" s="508">
        <f t="shared" si="180"/>
        <v>-0.3</v>
      </c>
      <c r="G352" s="508">
        <f>G11</f>
        <v>0.35</v>
      </c>
      <c r="I352" s="1243">
        <v>7</v>
      </c>
      <c r="J352" s="508">
        <v>1</v>
      </c>
      <c r="K352" s="508">
        <f>J11</f>
        <v>90</v>
      </c>
      <c r="L352" s="508">
        <f>K11</f>
        <v>4</v>
      </c>
      <c r="M352" s="508">
        <f>L11</f>
        <v>-2.7</v>
      </c>
      <c r="N352" s="508">
        <f>M11</f>
        <v>0.3</v>
      </c>
      <c r="O352" s="508">
        <f>N11</f>
        <v>3.35</v>
      </c>
      <c r="Q352" s="1249">
        <v>7</v>
      </c>
      <c r="R352" s="527">
        <v>1</v>
      </c>
      <c r="S352" s="527">
        <f>Q11</f>
        <v>1020</v>
      </c>
      <c r="T352" s="527" t="str">
        <f>R11</f>
        <v>-</v>
      </c>
      <c r="U352" s="527" t="str">
        <f>S11</f>
        <v>-</v>
      </c>
      <c r="V352" s="527">
        <f>T11</f>
        <v>9.9999999999999995E-7</v>
      </c>
      <c r="W352" s="534">
        <f>U11</f>
        <v>0</v>
      </c>
      <c r="AE352" s="530"/>
    </row>
    <row r="353" spans="1:31" ht="13" hidden="1">
      <c r="A353" s="1243"/>
      <c r="B353" s="508">
        <v>2</v>
      </c>
      <c r="C353" s="508">
        <f>C22</f>
        <v>40</v>
      </c>
      <c r="D353" s="508">
        <f t="shared" ref="D353:F353" si="181">D22</f>
        <v>0.6</v>
      </c>
      <c r="E353" s="508">
        <f t="shared" si="181"/>
        <v>-0.1</v>
      </c>
      <c r="F353" s="508">
        <f t="shared" si="181"/>
        <v>-0.3</v>
      </c>
      <c r="G353" s="508">
        <f>G22</f>
        <v>0.44999999999999996</v>
      </c>
      <c r="I353" s="1243"/>
      <c r="J353" s="508">
        <v>2</v>
      </c>
      <c r="K353" s="508">
        <f>J22</f>
        <v>90</v>
      </c>
      <c r="L353" s="508">
        <f>K22</f>
        <v>1.2</v>
      </c>
      <c r="M353" s="508">
        <f>L22</f>
        <v>1.7</v>
      </c>
      <c r="N353" s="508">
        <f>M22</f>
        <v>-0.3</v>
      </c>
      <c r="O353" s="508">
        <f>N22</f>
        <v>1</v>
      </c>
      <c r="Q353" s="1247"/>
      <c r="R353" s="508">
        <v>2</v>
      </c>
      <c r="S353" s="508">
        <f>Q22</f>
        <v>1020</v>
      </c>
      <c r="T353" s="508" t="str">
        <f>R22</f>
        <v>-</v>
      </c>
      <c r="U353" s="508" t="str">
        <f>S22</f>
        <v>-</v>
      </c>
      <c r="V353" s="508" t="str">
        <f>T22</f>
        <v>-</v>
      </c>
      <c r="W353" s="509">
        <f>U22</f>
        <v>0</v>
      </c>
      <c r="AE353" s="487"/>
    </row>
    <row r="354" spans="1:31" ht="13" hidden="1">
      <c r="A354" s="1243"/>
      <c r="B354" s="508">
        <v>3</v>
      </c>
      <c r="C354" s="508">
        <f>C33</f>
        <v>40</v>
      </c>
      <c r="D354" s="508">
        <f t="shared" ref="D354:F354" si="182">D33</f>
        <v>0.3</v>
      </c>
      <c r="E354" s="508">
        <f t="shared" si="182"/>
        <v>0.2</v>
      </c>
      <c r="F354" s="508">
        <f t="shared" si="182"/>
        <v>-0.7</v>
      </c>
      <c r="G354" s="508">
        <f>G33</f>
        <v>0.5</v>
      </c>
      <c r="I354" s="1243"/>
      <c r="J354" s="508">
        <v>3</v>
      </c>
      <c r="K354" s="508">
        <f>J33</f>
        <v>90</v>
      </c>
      <c r="L354" s="508">
        <f>K33</f>
        <v>-0.9</v>
      </c>
      <c r="M354" s="508">
        <f>L33</f>
        <v>0.3</v>
      </c>
      <c r="N354" s="508">
        <f>M33</f>
        <v>-2</v>
      </c>
      <c r="O354" s="508">
        <f>N33</f>
        <v>1.1499999999999999</v>
      </c>
      <c r="Q354" s="1247"/>
      <c r="R354" s="508">
        <v>3</v>
      </c>
      <c r="S354" s="508">
        <f>Q33</f>
        <v>1020</v>
      </c>
      <c r="T354" s="508" t="str">
        <f>R33</f>
        <v>-</v>
      </c>
      <c r="U354" s="508" t="str">
        <f>S33</f>
        <v>-</v>
      </c>
      <c r="V354" s="508" t="str">
        <f>T33</f>
        <v>-</v>
      </c>
      <c r="W354" s="509">
        <f>U33</f>
        <v>0</v>
      </c>
      <c r="AE354" s="487"/>
    </row>
    <row r="355" spans="1:31" ht="13" hidden="1">
      <c r="A355" s="1243"/>
      <c r="B355" s="508">
        <v>4</v>
      </c>
      <c r="C355" s="508">
        <f>C44</f>
        <v>40</v>
      </c>
      <c r="D355" s="508">
        <f t="shared" ref="D355:F355" si="183">D44</f>
        <v>-0.5</v>
      </c>
      <c r="E355" s="508">
        <f t="shared" si="183"/>
        <v>-0.6</v>
      </c>
      <c r="F355" s="508">
        <f t="shared" si="183"/>
        <v>0</v>
      </c>
      <c r="G355" s="508">
        <f>G44</f>
        <v>4.9999999999999989E-2</v>
      </c>
      <c r="I355" s="1243"/>
      <c r="J355" s="508">
        <v>4</v>
      </c>
      <c r="K355" s="508">
        <f>J44</f>
        <v>90</v>
      </c>
      <c r="L355" s="508">
        <f>K44</f>
        <v>-3.5</v>
      </c>
      <c r="M355" s="508">
        <f>L44</f>
        <v>3.3</v>
      </c>
      <c r="N355" s="508">
        <f>M44</f>
        <v>0</v>
      </c>
      <c r="O355" s="508">
        <f>N44</f>
        <v>3.4</v>
      </c>
      <c r="Q355" s="1247"/>
      <c r="R355" s="508">
        <v>4</v>
      </c>
      <c r="S355" s="508">
        <f>Q44</f>
        <v>1020</v>
      </c>
      <c r="T355" s="508" t="str">
        <f>R44</f>
        <v>-</v>
      </c>
      <c r="U355" s="508" t="str">
        <f>S44</f>
        <v>-</v>
      </c>
      <c r="V355" s="508">
        <f>T44</f>
        <v>9.9999999999999995E-7</v>
      </c>
      <c r="W355" s="509">
        <f>U44</f>
        <v>0</v>
      </c>
      <c r="AE355" s="487"/>
    </row>
    <row r="356" spans="1:31" ht="13" hidden="1">
      <c r="A356" s="1243"/>
      <c r="B356" s="508">
        <v>5</v>
      </c>
      <c r="C356" s="508">
        <f>C55</f>
        <v>40</v>
      </c>
      <c r="D356" s="508">
        <f t="shared" ref="D356:F356" si="184">D55</f>
        <v>0.3</v>
      </c>
      <c r="E356" s="508">
        <f t="shared" si="184"/>
        <v>0.2</v>
      </c>
      <c r="F356" s="508">
        <f t="shared" si="184"/>
        <v>0.7</v>
      </c>
      <c r="G356" s="508">
        <f>G55</f>
        <v>0.24999999999999997</v>
      </c>
      <c r="I356" s="1243"/>
      <c r="J356" s="508">
        <v>5</v>
      </c>
      <c r="K356" s="508">
        <f>J55</f>
        <v>90</v>
      </c>
      <c r="L356" s="508">
        <f>K55</f>
        <v>-5.4</v>
      </c>
      <c r="M356" s="508">
        <f>L55</f>
        <v>-0.8</v>
      </c>
      <c r="N356" s="508">
        <f>M55</f>
        <v>-1.8</v>
      </c>
      <c r="O356" s="508">
        <f>N55</f>
        <v>2.3000000000000003</v>
      </c>
      <c r="Q356" s="1247"/>
      <c r="R356" s="508">
        <v>5</v>
      </c>
      <c r="S356" s="508">
        <f>Q55</f>
        <v>1020</v>
      </c>
      <c r="T356" s="508" t="str">
        <f>R55</f>
        <v>-</v>
      </c>
      <c r="U356" s="508" t="str">
        <f>S55</f>
        <v>-</v>
      </c>
      <c r="V356" s="508" t="str">
        <f>T55</f>
        <v>-</v>
      </c>
      <c r="W356" s="509">
        <f>U55</f>
        <v>0</v>
      </c>
      <c r="AE356" s="487"/>
    </row>
    <row r="357" spans="1:31" ht="13" hidden="1">
      <c r="A357" s="1243"/>
      <c r="B357" s="508">
        <v>6</v>
      </c>
      <c r="C357" s="508">
        <f>C66</f>
        <v>40</v>
      </c>
      <c r="D357" s="508">
        <f t="shared" ref="D357:F357" si="185">D66</f>
        <v>0.1</v>
      </c>
      <c r="E357" s="508">
        <f t="shared" si="185"/>
        <v>-1.4</v>
      </c>
      <c r="F357" s="508">
        <f t="shared" si="185"/>
        <v>0</v>
      </c>
      <c r="G357" s="508">
        <f>G66</f>
        <v>0.75</v>
      </c>
      <c r="I357" s="1243"/>
      <c r="J357" s="508">
        <v>6</v>
      </c>
      <c r="K357" s="508">
        <f>J66</f>
        <v>90</v>
      </c>
      <c r="L357" s="508">
        <f>K66</f>
        <v>-5.2</v>
      </c>
      <c r="M357" s="508">
        <f>L66</f>
        <v>0.7</v>
      </c>
      <c r="N357" s="508">
        <f>M66</f>
        <v>0</v>
      </c>
      <c r="O357" s="508">
        <f>N66</f>
        <v>2.95</v>
      </c>
      <c r="Q357" s="1247"/>
      <c r="R357" s="508">
        <v>6</v>
      </c>
      <c r="S357" s="508">
        <f>Q66</f>
        <v>1020</v>
      </c>
      <c r="T357" s="508">
        <f>R66</f>
        <v>0.9</v>
      </c>
      <c r="U357" s="508">
        <f>S66</f>
        <v>9.9999999999999995E-7</v>
      </c>
      <c r="V357" s="508">
        <f>T66</f>
        <v>9.9999999999999995E-7</v>
      </c>
      <c r="W357" s="509">
        <f>U66</f>
        <v>0.4499995</v>
      </c>
      <c r="AE357" s="487"/>
    </row>
    <row r="358" spans="1:31" ht="13" hidden="1">
      <c r="A358" s="1243"/>
      <c r="B358" s="508">
        <v>7</v>
      </c>
      <c r="C358" s="508">
        <f>C77</f>
        <v>40</v>
      </c>
      <c r="D358" s="508">
        <f t="shared" ref="D358:F358" si="186">D77</f>
        <v>0.1</v>
      </c>
      <c r="E358" s="508">
        <f t="shared" si="186"/>
        <v>-1.7</v>
      </c>
      <c r="F358" s="508">
        <f t="shared" si="186"/>
        <v>0</v>
      </c>
      <c r="G358" s="508">
        <f>G77</f>
        <v>0.9</v>
      </c>
      <c r="I358" s="1243"/>
      <c r="J358" s="508">
        <v>7</v>
      </c>
      <c r="K358" s="508">
        <f>J77</f>
        <v>90</v>
      </c>
      <c r="L358" s="508">
        <f>K77</f>
        <v>-3</v>
      </c>
      <c r="M358" s="508">
        <f>L77</f>
        <v>1.8</v>
      </c>
      <c r="N358" s="508">
        <f>M77</f>
        <v>0</v>
      </c>
      <c r="O358" s="508">
        <f>N77</f>
        <v>2.4</v>
      </c>
      <c r="Q358" s="1247"/>
      <c r="R358" s="508">
        <v>7</v>
      </c>
      <c r="S358" s="508">
        <f>Q77</f>
        <v>1020</v>
      </c>
      <c r="T358" s="508">
        <f>R77</f>
        <v>-3.8</v>
      </c>
      <c r="U358" s="508">
        <f>S77</f>
        <v>9.9999999999999995E-7</v>
      </c>
      <c r="V358" s="508">
        <f>T77</f>
        <v>9.9999999999999995E-7</v>
      </c>
      <c r="W358" s="509">
        <f>U77</f>
        <v>1.9000005</v>
      </c>
      <c r="AE358" s="487"/>
    </row>
    <row r="359" spans="1:31" ht="13" hidden="1">
      <c r="A359" s="1243"/>
      <c r="B359" s="508">
        <v>8</v>
      </c>
      <c r="C359" s="508">
        <f>C88</f>
        <v>40</v>
      </c>
      <c r="D359" s="508">
        <f t="shared" ref="D359:F359" si="187">D88</f>
        <v>-0.1</v>
      </c>
      <c r="E359" s="508">
        <f t="shared" si="187"/>
        <v>9.9999999999999995E-7</v>
      </c>
      <c r="F359" s="508">
        <f t="shared" si="187"/>
        <v>-0.4</v>
      </c>
      <c r="G359" s="508">
        <f>G88</f>
        <v>0.2000005</v>
      </c>
      <c r="I359" s="1243"/>
      <c r="J359" s="508">
        <v>8</v>
      </c>
      <c r="K359" s="508">
        <f>J88</f>
        <v>90</v>
      </c>
      <c r="L359" s="508">
        <f>K88</f>
        <v>-9.1</v>
      </c>
      <c r="M359" s="508">
        <f>L88</f>
        <v>-4.9000000000000004</v>
      </c>
      <c r="N359" s="508">
        <f>M88</f>
        <v>-1.3</v>
      </c>
      <c r="O359" s="508">
        <f>N88</f>
        <v>3.9</v>
      </c>
      <c r="Q359" s="1247"/>
      <c r="R359" s="508">
        <v>8</v>
      </c>
      <c r="S359" s="508">
        <f>Q88</f>
        <v>1020</v>
      </c>
      <c r="T359" s="508">
        <f>R88</f>
        <v>0</v>
      </c>
      <c r="U359" s="508">
        <f>S88</f>
        <v>0</v>
      </c>
      <c r="V359" s="508">
        <f>T88</f>
        <v>9.9999999999999995E-7</v>
      </c>
      <c r="W359" s="509">
        <f>U88</f>
        <v>4.9999999999999998E-7</v>
      </c>
      <c r="AE359" s="487"/>
    </row>
    <row r="360" spans="1:31" ht="13" hidden="1">
      <c r="A360" s="1243"/>
      <c r="B360" s="508">
        <v>9</v>
      </c>
      <c r="C360" s="508">
        <f>C99</f>
        <v>40</v>
      </c>
      <c r="D360" s="508">
        <f t="shared" ref="D360:F360" si="188">D99</f>
        <v>-0.4</v>
      </c>
      <c r="E360" s="508" t="str">
        <f t="shared" si="188"/>
        <v>-</v>
      </c>
      <c r="F360" s="508">
        <f t="shared" si="188"/>
        <v>0</v>
      </c>
      <c r="G360" s="508">
        <f>G99</f>
        <v>0</v>
      </c>
      <c r="I360" s="1243"/>
      <c r="J360" s="508">
        <v>9</v>
      </c>
      <c r="K360" s="508">
        <f>J99</f>
        <v>90</v>
      </c>
      <c r="L360" s="508">
        <f>K99</f>
        <v>-0.2</v>
      </c>
      <c r="M360" s="508" t="str">
        <f>L99</f>
        <v>-</v>
      </c>
      <c r="N360" s="508">
        <f>M99</f>
        <v>0</v>
      </c>
      <c r="O360" s="508">
        <f>N99</f>
        <v>0</v>
      </c>
      <c r="Q360" s="1247"/>
      <c r="R360" s="508">
        <v>9</v>
      </c>
      <c r="S360" s="508">
        <f>Q99</f>
        <v>1020</v>
      </c>
      <c r="T360" s="508">
        <f>R99</f>
        <v>9.9999999999999995E-7</v>
      </c>
      <c r="U360" s="508" t="str">
        <f>S99</f>
        <v>-</v>
      </c>
      <c r="V360" s="508">
        <f>T99</f>
        <v>9.9999999999999995E-7</v>
      </c>
      <c r="W360" s="509">
        <f>U99</f>
        <v>0</v>
      </c>
      <c r="AE360" s="487"/>
    </row>
    <row r="361" spans="1:31" ht="13" hidden="1">
      <c r="A361" s="1243"/>
      <c r="B361" s="508">
        <v>10</v>
      </c>
      <c r="C361" s="508">
        <f>C110</f>
        <v>40</v>
      </c>
      <c r="D361" s="508">
        <f t="shared" ref="D361:F361" si="189">D110</f>
        <v>0.2</v>
      </c>
      <c r="E361" s="508">
        <f t="shared" si="189"/>
        <v>9.9999999999999995E-7</v>
      </c>
      <c r="F361" s="508">
        <f t="shared" si="189"/>
        <v>0</v>
      </c>
      <c r="G361" s="508">
        <f>G110</f>
        <v>9.9999500000000005E-2</v>
      </c>
      <c r="I361" s="1243"/>
      <c r="J361" s="508">
        <v>10</v>
      </c>
      <c r="K361" s="508">
        <f>J110</f>
        <v>90</v>
      </c>
      <c r="L361" s="508">
        <f>K110</f>
        <v>5.4</v>
      </c>
      <c r="M361" s="508">
        <f>L110</f>
        <v>9.9999999999999995E-7</v>
      </c>
      <c r="N361" s="508">
        <f>M110</f>
        <v>0</v>
      </c>
      <c r="O361" s="508">
        <f>N110</f>
        <v>2.6999995000000001</v>
      </c>
      <c r="Q361" s="1247"/>
      <c r="R361" s="508">
        <v>10</v>
      </c>
      <c r="S361" s="508">
        <f>Q110</f>
        <v>1020</v>
      </c>
      <c r="T361" s="508" t="str">
        <f>R110</f>
        <v>-</v>
      </c>
      <c r="U361" s="508" t="str">
        <f>S110</f>
        <v>-</v>
      </c>
      <c r="V361" s="508">
        <f>T110</f>
        <v>9.9999999999999995E-7</v>
      </c>
      <c r="W361" s="509">
        <f>U110</f>
        <v>0</v>
      </c>
      <c r="AE361" s="487"/>
    </row>
    <row r="362" spans="1:31" ht="13" hidden="1">
      <c r="A362" s="1243"/>
      <c r="B362" s="508">
        <v>11</v>
      </c>
      <c r="C362" s="508">
        <f>C121</f>
        <v>40</v>
      </c>
      <c r="D362" s="508">
        <f t="shared" ref="D362:F362" si="190">D121</f>
        <v>0.5</v>
      </c>
      <c r="E362" s="508">
        <f t="shared" si="190"/>
        <v>9.9999999999999995E-7</v>
      </c>
      <c r="F362" s="508">
        <f t="shared" si="190"/>
        <v>0</v>
      </c>
      <c r="G362" s="508">
        <f>G121</f>
        <v>0.24999950000000001</v>
      </c>
      <c r="I362" s="1243"/>
      <c r="J362" s="508">
        <v>11</v>
      </c>
      <c r="K362" s="508">
        <f>J121</f>
        <v>90</v>
      </c>
      <c r="L362" s="508">
        <f>K121</f>
        <v>1.3</v>
      </c>
      <c r="M362" s="508">
        <f>L121</f>
        <v>9.9999999999999995E-7</v>
      </c>
      <c r="N362" s="508">
        <f>M121</f>
        <v>0</v>
      </c>
      <c r="O362" s="508">
        <f>N121</f>
        <v>0.64999950000000006</v>
      </c>
      <c r="Q362" s="1247"/>
      <c r="R362" s="508">
        <v>11</v>
      </c>
      <c r="S362" s="508">
        <f>Q121</f>
        <v>1020</v>
      </c>
      <c r="T362" s="508" t="str">
        <f>R121</f>
        <v>-</v>
      </c>
      <c r="U362" s="508" t="str">
        <f>S121</f>
        <v>-</v>
      </c>
      <c r="V362" s="508">
        <f>T121</f>
        <v>9.9999999999999995E-7</v>
      </c>
      <c r="W362" s="509">
        <f>U121</f>
        <v>0</v>
      </c>
      <c r="AE362" s="487"/>
    </row>
    <row r="363" spans="1:31" ht="13" hidden="1">
      <c r="A363" s="1243"/>
      <c r="B363" s="508">
        <v>12</v>
      </c>
      <c r="C363" s="508">
        <f>C132</f>
        <v>40</v>
      </c>
      <c r="D363" s="508">
        <f t="shared" ref="D363:F363" si="191">D132</f>
        <v>0.8</v>
      </c>
      <c r="E363" s="508">
        <f t="shared" si="191"/>
        <v>-0.4</v>
      </c>
      <c r="F363" s="508">
        <f t="shared" si="191"/>
        <v>0</v>
      </c>
      <c r="G363" s="508">
        <f>G132</f>
        <v>0.60000000000000009</v>
      </c>
      <c r="I363" s="1243"/>
      <c r="J363" s="508">
        <v>12</v>
      </c>
      <c r="K363" s="508">
        <f>J132</f>
        <v>90</v>
      </c>
      <c r="L363" s="508">
        <f>K132</f>
        <v>-1.8</v>
      </c>
      <c r="M363" s="508">
        <f>L132</f>
        <v>-0.9</v>
      </c>
      <c r="N363" s="508">
        <f>M132</f>
        <v>0</v>
      </c>
      <c r="O363" s="508">
        <f>N132</f>
        <v>0.45</v>
      </c>
      <c r="Q363" s="1247"/>
      <c r="R363" s="508">
        <v>12</v>
      </c>
      <c r="S363" s="508">
        <f>Q132</f>
        <v>1020</v>
      </c>
      <c r="T363" s="508">
        <f>R132</f>
        <v>0</v>
      </c>
      <c r="U363" s="508">
        <f>S132</f>
        <v>9.9999999999999995E-7</v>
      </c>
      <c r="V363" s="508">
        <f>T132</f>
        <v>0</v>
      </c>
      <c r="W363" s="509">
        <f>U132</f>
        <v>4.9999999999999998E-7</v>
      </c>
      <c r="AE363" s="487"/>
    </row>
    <row r="364" spans="1:31" ht="13" hidden="1">
      <c r="A364" s="1243"/>
      <c r="B364" s="508">
        <v>13</v>
      </c>
      <c r="C364" s="508">
        <f>C143</f>
        <v>40</v>
      </c>
      <c r="D364" s="508">
        <f t="shared" ref="D364:F364" si="192">D143</f>
        <v>0.7</v>
      </c>
      <c r="E364" s="508">
        <f t="shared" si="192"/>
        <v>-0.2</v>
      </c>
      <c r="F364" s="508">
        <f t="shared" si="192"/>
        <v>0.5</v>
      </c>
      <c r="G364" s="508">
        <f>G143</f>
        <v>0.44999999999999996</v>
      </c>
      <c r="I364" s="1243"/>
      <c r="J364" s="508">
        <v>13</v>
      </c>
      <c r="K364" s="508">
        <f>J143</f>
        <v>90</v>
      </c>
      <c r="L364" s="508">
        <f>K143</f>
        <v>-0.4</v>
      </c>
      <c r="M364" s="508">
        <f>L143</f>
        <v>-1</v>
      </c>
      <c r="N364" s="508">
        <f>M143</f>
        <v>-3.2</v>
      </c>
      <c r="O364" s="508">
        <f>N143</f>
        <v>1.4000000000000001</v>
      </c>
      <c r="Q364" s="1247"/>
      <c r="R364" s="508">
        <v>13</v>
      </c>
      <c r="S364" s="508">
        <f>Q143</f>
        <v>1020</v>
      </c>
      <c r="T364" s="508">
        <f>R143</f>
        <v>0</v>
      </c>
      <c r="U364" s="508">
        <f>S143</f>
        <v>9.9999999999999995E-7</v>
      </c>
      <c r="V364" s="508">
        <f>T143</f>
        <v>9.9999999999999995E-7</v>
      </c>
      <c r="W364" s="509">
        <f>U143</f>
        <v>0</v>
      </c>
      <c r="AE364" s="487"/>
    </row>
    <row r="365" spans="1:31" ht="13" hidden="1">
      <c r="A365" s="1243"/>
      <c r="B365" s="508">
        <v>14</v>
      </c>
      <c r="C365" s="508">
        <f>C154</f>
        <v>40</v>
      </c>
      <c r="D365" s="508">
        <f t="shared" ref="D365:F365" si="193">D154</f>
        <v>0.4</v>
      </c>
      <c r="E365" s="508">
        <f t="shared" si="193"/>
        <v>-0.8</v>
      </c>
      <c r="F365" s="508">
        <f t="shared" si="193"/>
        <v>-1.1000000000000001</v>
      </c>
      <c r="G365" s="508">
        <f>G154</f>
        <v>0.75</v>
      </c>
      <c r="I365" s="1243"/>
      <c r="J365" s="508">
        <v>14</v>
      </c>
      <c r="K365" s="508">
        <f>J154</f>
        <v>90</v>
      </c>
      <c r="L365" s="508">
        <f>K154</f>
        <v>1.9</v>
      </c>
      <c r="M365" s="508">
        <f>L154</f>
        <v>1.5</v>
      </c>
      <c r="N365" s="508">
        <f>M154</f>
        <v>-0.8</v>
      </c>
      <c r="O365" s="508">
        <f>N154</f>
        <v>1.35</v>
      </c>
      <c r="Q365" s="1247"/>
      <c r="R365" s="508">
        <v>14</v>
      </c>
      <c r="S365" s="508">
        <f>Q154</f>
        <v>1020</v>
      </c>
      <c r="T365" s="508">
        <f>R154</f>
        <v>0</v>
      </c>
      <c r="U365" s="508">
        <f>S154</f>
        <v>9.9999999999999995E-7</v>
      </c>
      <c r="V365" s="508">
        <f>T154</f>
        <v>9.9999999999999995E-7</v>
      </c>
      <c r="W365" s="509">
        <f>U154</f>
        <v>0</v>
      </c>
      <c r="AE365" s="487"/>
    </row>
    <row r="366" spans="1:31" ht="13" hidden="1">
      <c r="A366" s="1243"/>
      <c r="B366" s="508">
        <v>15</v>
      </c>
      <c r="C366" s="508">
        <f>C165</f>
        <v>40</v>
      </c>
      <c r="D366" s="508">
        <f t="shared" ref="D366:F366" si="194">D165</f>
        <v>0.6</v>
      </c>
      <c r="E366" s="508">
        <f t="shared" si="194"/>
        <v>1.4</v>
      </c>
      <c r="F366" s="508">
        <f t="shared" si="194"/>
        <v>9.9999999999999995E-7</v>
      </c>
      <c r="G366" s="508">
        <f>G165</f>
        <v>0.6999995</v>
      </c>
      <c r="I366" s="1243"/>
      <c r="J366" s="508">
        <v>15</v>
      </c>
      <c r="K366" s="508">
        <f>J165</f>
        <v>90</v>
      </c>
      <c r="L366" s="508">
        <f>K165</f>
        <v>0.1</v>
      </c>
      <c r="M366" s="508">
        <f>L165</f>
        <v>-0.1</v>
      </c>
      <c r="N366" s="508">
        <f>M165</f>
        <v>-2</v>
      </c>
      <c r="O366" s="508">
        <f>N165</f>
        <v>1.05</v>
      </c>
      <c r="Q366" s="1247"/>
      <c r="R366" s="508">
        <v>15</v>
      </c>
      <c r="S366" s="508">
        <f>Q165</f>
        <v>1020</v>
      </c>
      <c r="T366" s="508">
        <f>R165</f>
        <v>0</v>
      </c>
      <c r="U366" s="508">
        <f>S165</f>
        <v>9.9999999999999995E-7</v>
      </c>
      <c r="V366" s="508">
        <f>T165</f>
        <v>9.9999999999999995E-7</v>
      </c>
      <c r="W366" s="509">
        <f>U165</f>
        <v>0</v>
      </c>
      <c r="AE366" s="487"/>
    </row>
    <row r="367" spans="1:31" ht="13" hidden="1">
      <c r="A367" s="1243"/>
      <c r="B367" s="508">
        <v>16</v>
      </c>
      <c r="C367" s="508">
        <f>C176</f>
        <v>40</v>
      </c>
      <c r="D367" s="508">
        <f t="shared" ref="D367:F367" si="195">D176</f>
        <v>0.6</v>
      </c>
      <c r="E367" s="508">
        <f t="shared" si="195"/>
        <v>9.9999999999999995E-7</v>
      </c>
      <c r="F367" s="508">
        <f t="shared" si="195"/>
        <v>0</v>
      </c>
      <c r="G367" s="508">
        <f>G176</f>
        <v>0.29999949999999997</v>
      </c>
      <c r="I367" s="1243"/>
      <c r="J367" s="508">
        <v>16</v>
      </c>
      <c r="K367" s="508">
        <f>J176</f>
        <v>90</v>
      </c>
      <c r="L367" s="508">
        <f>K176</f>
        <v>-3.1</v>
      </c>
      <c r="M367" s="508">
        <f>L176</f>
        <v>-3</v>
      </c>
      <c r="N367" s="508">
        <f>M176</f>
        <v>0</v>
      </c>
      <c r="O367" s="508">
        <f>N176</f>
        <v>5.0000000000000044E-2</v>
      </c>
      <c r="Q367" s="1247"/>
      <c r="R367" s="508">
        <v>16</v>
      </c>
      <c r="S367" s="508">
        <f>Q176</f>
        <v>1020</v>
      </c>
      <c r="T367" s="508">
        <f>R176</f>
        <v>0</v>
      </c>
      <c r="U367" s="508">
        <f>S176</f>
        <v>9.9999999999999995E-7</v>
      </c>
      <c r="V367" s="508">
        <f>T176</f>
        <v>0</v>
      </c>
      <c r="W367" s="509">
        <f>U176</f>
        <v>4.9999999999999998E-7</v>
      </c>
      <c r="AE367" s="487"/>
    </row>
    <row r="368" spans="1:31" ht="13" hidden="1">
      <c r="A368" s="1243"/>
      <c r="B368" s="508">
        <v>17</v>
      </c>
      <c r="C368" s="508">
        <f>C187</f>
        <v>40</v>
      </c>
      <c r="D368" s="508">
        <f>D187</f>
        <v>0.7</v>
      </c>
      <c r="E368" s="508">
        <f>E187</f>
        <v>-0.8</v>
      </c>
      <c r="F368" s="508">
        <f t="shared" ref="F368" si="196">F187</f>
        <v>0</v>
      </c>
      <c r="G368" s="508">
        <f>G187</f>
        <v>0.75</v>
      </c>
      <c r="I368" s="1243"/>
      <c r="J368" s="508">
        <v>17</v>
      </c>
      <c r="K368" s="508">
        <f>J187</f>
        <v>90</v>
      </c>
      <c r="L368" s="508">
        <f>K187</f>
        <v>-2.9</v>
      </c>
      <c r="M368" s="508">
        <f>L187</f>
        <v>-1.4</v>
      </c>
      <c r="N368" s="508">
        <f>M187</f>
        <v>0</v>
      </c>
      <c r="O368" s="508">
        <f>N187</f>
        <v>0.75</v>
      </c>
      <c r="Q368" s="1247"/>
      <c r="R368" s="508">
        <v>17</v>
      </c>
      <c r="S368" s="508">
        <f>Q187</f>
        <v>1020</v>
      </c>
      <c r="T368" s="508">
        <f>R187</f>
        <v>0</v>
      </c>
      <c r="U368" s="508">
        <f>S187</f>
        <v>9.9999999999999995E-7</v>
      </c>
      <c r="V368" s="508">
        <f>T187</f>
        <v>0</v>
      </c>
      <c r="W368" s="509">
        <f>U187</f>
        <v>4.9999999999999998E-7</v>
      </c>
      <c r="AE368" s="487"/>
    </row>
    <row r="369" spans="1:31" ht="13" hidden="1">
      <c r="A369" s="1243"/>
      <c r="B369" s="508">
        <v>18</v>
      </c>
      <c r="C369" s="508">
        <f>C198</f>
        <v>40</v>
      </c>
      <c r="D369" s="508">
        <f t="shared" ref="D369:F369" si="197">D198</f>
        <v>0.5</v>
      </c>
      <c r="E369" s="508">
        <f t="shared" si="197"/>
        <v>-0.4</v>
      </c>
      <c r="F369" s="508">
        <f t="shared" si="197"/>
        <v>0</v>
      </c>
      <c r="G369" s="508">
        <f>G198</f>
        <v>0.45</v>
      </c>
      <c r="I369" s="1243"/>
      <c r="J369" s="508">
        <v>18</v>
      </c>
      <c r="K369" s="508">
        <f>J198</f>
        <v>90</v>
      </c>
      <c r="L369" s="508">
        <f>K198</f>
        <v>-3</v>
      </c>
      <c r="M369" s="508">
        <f>L198</f>
        <v>-0.8</v>
      </c>
      <c r="N369" s="508">
        <f>M198</f>
        <v>0</v>
      </c>
      <c r="O369" s="508">
        <f>N198</f>
        <v>1.1000000000000001</v>
      </c>
      <c r="Q369" s="1247"/>
      <c r="R369" s="508">
        <v>18</v>
      </c>
      <c r="S369" s="508">
        <f>Q198</f>
        <v>1020</v>
      </c>
      <c r="T369" s="508">
        <f>R198</f>
        <v>0</v>
      </c>
      <c r="U369" s="508">
        <f>S198</f>
        <v>9.9999999999999995E-7</v>
      </c>
      <c r="V369" s="508">
        <f>T198</f>
        <v>0</v>
      </c>
      <c r="W369" s="509">
        <f>U198</f>
        <v>4.9999999999999998E-7</v>
      </c>
      <c r="AE369" s="487"/>
    </row>
    <row r="370" spans="1:31" ht="13" hidden="1">
      <c r="A370" s="1243"/>
      <c r="B370" s="508">
        <v>19</v>
      </c>
      <c r="C370" s="508">
        <f>C209</f>
        <v>40</v>
      </c>
      <c r="D370" s="508">
        <f t="shared" ref="D370:F370" si="198">D209</f>
        <v>0.6</v>
      </c>
      <c r="E370" s="508">
        <f t="shared" si="198"/>
        <v>0.2</v>
      </c>
      <c r="F370" s="508">
        <f t="shared" si="198"/>
        <v>0</v>
      </c>
      <c r="G370" s="508">
        <f>G209</f>
        <v>0.19999999999999998</v>
      </c>
      <c r="I370" s="1243"/>
      <c r="J370" s="508">
        <v>19</v>
      </c>
      <c r="K370" s="508">
        <f>J209</f>
        <v>90</v>
      </c>
      <c r="L370" s="508">
        <f>K209</f>
        <v>-1.7</v>
      </c>
      <c r="M370" s="508">
        <f>L209</f>
        <v>-0.6</v>
      </c>
      <c r="N370" s="508">
        <f>M209</f>
        <v>0</v>
      </c>
      <c r="O370" s="508">
        <f>N209</f>
        <v>0.55000000000000004</v>
      </c>
      <c r="Q370" s="1247"/>
      <c r="R370" s="508">
        <v>19</v>
      </c>
      <c r="S370" s="508">
        <f>Q209</f>
        <v>1050</v>
      </c>
      <c r="T370" s="508">
        <f>R209</f>
        <v>0</v>
      </c>
      <c r="U370" s="508">
        <f>S209</f>
        <v>2.2999999999999998</v>
      </c>
      <c r="V370" s="508">
        <f>T209</f>
        <v>0</v>
      </c>
      <c r="W370" s="509">
        <f>U209</f>
        <v>1.1499999999999999</v>
      </c>
      <c r="AE370" s="487"/>
    </row>
    <row r="371" spans="1:31" ht="13.5" hidden="1" thickBot="1">
      <c r="A371" s="1243"/>
      <c r="B371" s="508">
        <v>20</v>
      </c>
      <c r="C371" s="508">
        <f>C220</f>
        <v>40</v>
      </c>
      <c r="D371" s="508">
        <f t="shared" ref="D371:F371" si="199">D220</f>
        <v>9.9999999999999995E-7</v>
      </c>
      <c r="E371" s="508" t="str">
        <f t="shared" si="199"/>
        <v>-</v>
      </c>
      <c r="F371" s="508">
        <f t="shared" si="199"/>
        <v>9.9999999999999995E-7</v>
      </c>
      <c r="G371" s="508">
        <f>G220</f>
        <v>0</v>
      </c>
      <c r="I371" s="1243"/>
      <c r="J371" s="508">
        <v>20</v>
      </c>
      <c r="K371" s="508">
        <f>J220</f>
        <v>90</v>
      </c>
      <c r="L371" s="508">
        <f>K220</f>
        <v>9.9999999999999995E-7</v>
      </c>
      <c r="M371" s="508" t="str">
        <f>L220</f>
        <v>-</v>
      </c>
      <c r="N371" s="508">
        <f>M220</f>
        <v>0</v>
      </c>
      <c r="O371" s="508">
        <f>N220</f>
        <v>0</v>
      </c>
      <c r="Q371" s="1248"/>
      <c r="R371" s="517">
        <v>20</v>
      </c>
      <c r="S371" s="517">
        <f>Q220</f>
        <v>1020</v>
      </c>
      <c r="T371" s="517">
        <f>R220</f>
        <v>9.9999999999999995E-7</v>
      </c>
      <c r="U371" s="517" t="str">
        <f>S220</f>
        <v>-</v>
      </c>
      <c r="V371" s="517">
        <f>T220</f>
        <v>9.9999999999999995E-7</v>
      </c>
      <c r="W371" s="532">
        <f>U220</f>
        <v>0</v>
      </c>
      <c r="AE371" s="521"/>
    </row>
    <row r="372" spans="1:31" ht="13.5" thickBot="1">
      <c r="A372" s="537"/>
      <c r="B372" s="538"/>
      <c r="C372" s="526"/>
      <c r="D372" s="526"/>
      <c r="E372" s="526"/>
      <c r="F372" s="526"/>
      <c r="G372" s="526"/>
      <c r="H372" s="487"/>
      <c r="I372" s="520"/>
      <c r="J372" s="538"/>
      <c r="K372" s="526"/>
      <c r="L372" s="526"/>
      <c r="M372" s="526"/>
      <c r="N372" s="526"/>
      <c r="O372" s="526"/>
      <c r="P372" s="487"/>
    </row>
    <row r="373" spans="1:31" ht="29.25" customHeight="1">
      <c r="A373" s="539">
        <f>A410</f>
        <v>18</v>
      </c>
      <c r="B373" s="1250" t="str">
        <f>A389</f>
        <v>Thermohygrolight, Merek : EXTECH, Model : SD700, SN : A.100618</v>
      </c>
      <c r="C373" s="1250"/>
      <c r="D373" s="1250"/>
      <c r="E373" s="1250"/>
      <c r="G373" s="539">
        <f>A373</f>
        <v>18</v>
      </c>
      <c r="H373" s="1250" t="str">
        <f>B373</f>
        <v>Thermohygrolight, Merek : EXTECH, Model : SD700, SN : A.100618</v>
      </c>
      <c r="I373" s="1250"/>
      <c r="J373" s="1250"/>
      <c r="K373" s="1250"/>
      <c r="M373" s="539">
        <f>G373</f>
        <v>18</v>
      </c>
      <c r="N373" s="1250" t="str">
        <f>H373</f>
        <v>Thermohygrolight, Merek : EXTECH, Model : SD700, SN : A.100618</v>
      </c>
      <c r="O373" s="1250"/>
      <c r="P373" s="1250"/>
      <c r="Q373" s="1250"/>
      <c r="S373" s="540">
        <f>A373</f>
        <v>18</v>
      </c>
      <c r="T373" s="1251" t="str">
        <f>H373</f>
        <v>Thermohygrolight, Merek : EXTECH, Model : SD700, SN : A.100618</v>
      </c>
      <c r="U373" s="1251"/>
      <c r="V373" s="1251"/>
      <c r="W373" s="1252"/>
      <c r="Z373" s="541"/>
      <c r="AE373" s="496"/>
    </row>
    <row r="374" spans="1:31" ht="13.5">
      <c r="A374" s="542" t="s">
        <v>434</v>
      </c>
      <c r="B374" s="1253" t="s">
        <v>435</v>
      </c>
      <c r="C374" s="1253"/>
      <c r="D374" s="1253"/>
      <c r="E374" s="1253" t="s">
        <v>386</v>
      </c>
      <c r="G374" s="542" t="s">
        <v>436</v>
      </c>
      <c r="H374" s="1253" t="s">
        <v>435</v>
      </c>
      <c r="I374" s="1253"/>
      <c r="J374" s="1253"/>
      <c r="K374" s="1253" t="s">
        <v>386</v>
      </c>
      <c r="M374" s="542" t="s">
        <v>437</v>
      </c>
      <c r="N374" s="1253" t="s">
        <v>435</v>
      </c>
      <c r="O374" s="1253"/>
      <c r="P374" s="1253"/>
      <c r="Q374" s="1253" t="s">
        <v>386</v>
      </c>
      <c r="S374" s="1259"/>
      <c r="T374" s="1260" t="s">
        <v>461</v>
      </c>
      <c r="U374" s="1260" t="s">
        <v>462</v>
      </c>
      <c r="V374" s="1260" t="s">
        <v>463</v>
      </c>
      <c r="W374" s="1261" t="s">
        <v>397</v>
      </c>
      <c r="Z374" s="526"/>
    </row>
    <row r="375" spans="1:31" ht="14">
      <c r="A375" s="543" t="s">
        <v>460</v>
      </c>
      <c r="B375" s="544">
        <f>VLOOKUP(B373,A390:L409,9,FALSE)</f>
        <v>2023</v>
      </c>
      <c r="C375" s="544">
        <f>VLOOKUP(B373,A390:L409,10,FALSE)</f>
        <v>2020</v>
      </c>
      <c r="D375" s="544">
        <f>VLOOKUP(B373,A390:L409,11,FALSE)</f>
        <v>2016</v>
      </c>
      <c r="E375" s="1253"/>
      <c r="G375" s="545" t="s">
        <v>18</v>
      </c>
      <c r="H375" s="544">
        <f>B375</f>
        <v>2023</v>
      </c>
      <c r="I375" s="544">
        <f>C375</f>
        <v>2020</v>
      </c>
      <c r="J375" s="544">
        <f>D375</f>
        <v>2016</v>
      </c>
      <c r="K375" s="1253"/>
      <c r="M375" s="545" t="s">
        <v>439</v>
      </c>
      <c r="N375" s="544">
        <f>H375</f>
        <v>2023</v>
      </c>
      <c r="O375" s="544">
        <f>I375</f>
        <v>2020</v>
      </c>
      <c r="P375" s="544">
        <f>J375</f>
        <v>2016</v>
      </c>
      <c r="Q375" s="1253"/>
      <c r="S375" s="1259"/>
      <c r="T375" s="1260"/>
      <c r="U375" s="1260"/>
      <c r="V375" s="1260"/>
      <c r="W375" s="1261"/>
      <c r="Z375" s="526"/>
    </row>
    <row r="376" spans="1:31" ht="13">
      <c r="A376" s="522">
        <f>VLOOKUP($A$373,$B$226:$G$245,2,FALSE)</f>
        <v>15</v>
      </c>
      <c r="B376" s="522">
        <f>VLOOKUP($A$373,$B$226:$G$245,3,FALSE)</f>
        <v>0.3</v>
      </c>
      <c r="C376" s="522">
        <f>VLOOKUP($A$373,$B$226:$G$245,4,FALSE)</f>
        <v>9.9999999999999995E-7</v>
      </c>
      <c r="D376" s="522">
        <f>VLOOKUP($A$373,$B$226:$G$245,5,FALSE)</f>
        <v>0</v>
      </c>
      <c r="E376" s="522">
        <f>VLOOKUP($A$373,$B$226:$G$245,6,FALSE)</f>
        <v>0.14999950000000001</v>
      </c>
      <c r="G376" s="522">
        <f>VLOOKUP($G$373,$J$226:$O$245,2,FALSE)</f>
        <v>35</v>
      </c>
      <c r="H376" s="522">
        <f>VLOOKUP($G$373,$J$226:$O$245,3,FALSE)</f>
        <v>-3.2</v>
      </c>
      <c r="I376" s="522">
        <f>VLOOKUP($G$373,$J$226:$O$245,4,FALSE)</f>
        <v>-0.4</v>
      </c>
      <c r="J376" s="522">
        <f>VLOOKUP($G$373,$J$226:$O$245,5,FALSE)</f>
        <v>0</v>
      </c>
      <c r="K376" s="522">
        <f>VLOOKUP($G$373,$J$226:$O$245,6,FALSE)</f>
        <v>1.4000000000000001</v>
      </c>
      <c r="M376" s="522">
        <f>VLOOKUP($M$373,$R$226:$W$245,2,FALSE)</f>
        <v>960</v>
      </c>
      <c r="N376" s="522">
        <f>VLOOKUP($M$373,$R$226:$W$245,3,FALSE)</f>
        <v>4.4000000000000004</v>
      </c>
      <c r="O376" s="522">
        <f>VLOOKUP($M$373,$R$226:$W$245,4,FALSE)</f>
        <v>-1.5</v>
      </c>
      <c r="P376" s="522">
        <f>VLOOKUP($M$373,$R$226:$W$245,5,FALSE)</f>
        <v>0</v>
      </c>
      <c r="Q376" s="522">
        <f>VLOOKUP($M$373,$R$226:$W$245,6,FALSE)</f>
        <v>2.95</v>
      </c>
      <c r="S376" s="1259"/>
      <c r="T376" s="1260"/>
      <c r="U376" s="1260"/>
      <c r="V376" s="1260"/>
      <c r="W376" s="1261"/>
      <c r="Z376" s="526"/>
    </row>
    <row r="377" spans="1:31" ht="13">
      <c r="A377" s="522">
        <f>VLOOKUP($A$373,$B$247:$G$266,2,FALSE)</f>
        <v>20</v>
      </c>
      <c r="B377" s="522">
        <f>VLOOKUP($A$373,$B$247:$G$266,3,FALSE)</f>
        <v>0.2</v>
      </c>
      <c r="C377" s="522">
        <f>VLOOKUP($A$373,$B$247:$G$266,4,FALSE)</f>
        <v>-0.1</v>
      </c>
      <c r="D377" s="522">
        <f>VLOOKUP($A$373,$B$247:$G$266,5,FALSE)</f>
        <v>0</v>
      </c>
      <c r="E377" s="522">
        <f>VLOOKUP($A$373,$B$247:$G$266,6,FALSE)</f>
        <v>0.15000000000000002</v>
      </c>
      <c r="G377" s="522">
        <f>VLOOKUP($G$373,$J$247:$O$266,2,FALSE)</f>
        <v>40</v>
      </c>
      <c r="H377" s="522">
        <f>VLOOKUP($G$373,$J$247:$O$266,3,FALSE)</f>
        <v>-2.9</v>
      </c>
      <c r="I377" s="522">
        <f>VLOOKUP($G$373,$J$247:$O$266,4,FALSE)</f>
        <v>-0.2</v>
      </c>
      <c r="J377" s="522">
        <f>VLOOKUP($G$373,$J$247:$O$266,5,FALSE)</f>
        <v>0</v>
      </c>
      <c r="K377" s="522">
        <f>VLOOKUP($G$373,$J$247:$O$266,6,FALSE)</f>
        <v>1.3499999999999999</v>
      </c>
      <c r="M377" s="522">
        <f>VLOOKUP($M$373,$R$247:$W$266,2,FALSE)</f>
        <v>970</v>
      </c>
      <c r="N377" s="522">
        <f>VLOOKUP($M$373,$R$247:$W$266,3,FALSE)</f>
        <v>4.4000000000000004</v>
      </c>
      <c r="O377" s="522">
        <f>VLOOKUP($M$373,$R$247:$W$266,4,FALSE)</f>
        <v>-1.3</v>
      </c>
      <c r="P377" s="522">
        <f>VLOOKUP($M$373,$R$247:$W$266,5,FALSE)</f>
        <v>0</v>
      </c>
      <c r="Q377" s="522">
        <f>VLOOKUP($M$373,$R$247:$W$266,6,FALSE)</f>
        <v>2.85</v>
      </c>
      <c r="S377" s="546" t="s">
        <v>434</v>
      </c>
      <c r="T377" s="547">
        <f>ID!F17</f>
        <v>25.1</v>
      </c>
      <c r="U377" s="295">
        <f>T377+S386</f>
        <v>25.392605438401777</v>
      </c>
      <c r="V377" s="547">
        <f>STDEV(ID!D17:E17)</f>
        <v>0.141421356237309</v>
      </c>
      <c r="W377" s="548">
        <f>VLOOKUP(S373,Y225:Z244,2,(FALSE))</f>
        <v>0.6</v>
      </c>
      <c r="Z377" s="526"/>
    </row>
    <row r="378" spans="1:31" ht="13">
      <c r="A378" s="522">
        <f>VLOOKUP($A$373,$B$268:$G$287,2,FALSE)</f>
        <v>25</v>
      </c>
      <c r="B378" s="522">
        <f>VLOOKUP($A$373,$B$268:$G$287,3,FALSE)</f>
        <v>0.2</v>
      </c>
      <c r="C378" s="522">
        <f>VLOOKUP($A$373,$B$268:$G$287,4,FALSE)</f>
        <v>-0.2</v>
      </c>
      <c r="D378" s="522">
        <f>VLOOKUP($A$373,$B$268:$G$287,5,FALSE)</f>
        <v>0</v>
      </c>
      <c r="E378" s="522">
        <f>VLOOKUP($A$373,$B$268:$G$287,6,FALSE)</f>
        <v>0.2</v>
      </c>
      <c r="G378" s="522">
        <f>VLOOKUP($G$373,$J$268:$O$287,2,FALSE)</f>
        <v>50</v>
      </c>
      <c r="H378" s="522">
        <f>VLOOKUP($G$373,$J$268:$O$287,3,FALSE)</f>
        <v>-2.4</v>
      </c>
      <c r="I378" s="522">
        <f>VLOOKUP($G$373,$J$268:$O$287,4,FALSE)</f>
        <v>-0.2</v>
      </c>
      <c r="J378" s="522">
        <f>VLOOKUP($G$373,$J$268:$O$287,5,FALSE)</f>
        <v>0</v>
      </c>
      <c r="K378" s="522">
        <f>VLOOKUP($G$373,$J$268:$O$287,6,FALSE)</f>
        <v>1.0999999999999999</v>
      </c>
      <c r="M378" s="522">
        <f>VLOOKUP($M$373,$R$268:$W$287,2,FALSE)</f>
        <v>980</v>
      </c>
      <c r="N378" s="522">
        <f>VLOOKUP($M$373,$R$268:$W$287,3,FALSE)</f>
        <v>4.3</v>
      </c>
      <c r="O378" s="522">
        <f>VLOOKUP($M$373,$R$268:$W$287,4,FALSE)</f>
        <v>-1.1000000000000001</v>
      </c>
      <c r="P378" s="522">
        <f>VLOOKUP($M$373,$R$268:$W$287,5,FALSE)</f>
        <v>0</v>
      </c>
      <c r="Q378" s="522">
        <f>VLOOKUP($M$373,$R$268:$W$287,6,FALSE)</f>
        <v>2.7</v>
      </c>
      <c r="S378" s="546" t="s">
        <v>18</v>
      </c>
      <c r="T378" s="547">
        <f>ID!F18</f>
        <v>63.85</v>
      </c>
      <c r="U378" s="295">
        <f>T378+T386</f>
        <v>61.268654390934842</v>
      </c>
      <c r="V378" s="547">
        <f>STDEV(ID!D18:E18)</f>
        <v>0.21213203435596223</v>
      </c>
      <c r="W378" s="548">
        <f>VLOOKUP(S373,Y249:Z268,2,(FALSE))</f>
        <v>2.2999999999999998</v>
      </c>
      <c r="Z378" s="526"/>
    </row>
    <row r="379" spans="1:31" ht="13.5" thickBot="1">
      <c r="A379" s="522">
        <f>VLOOKUP($A$373,$B$289:$G$308,2,FALSE)</f>
        <v>30</v>
      </c>
      <c r="B379" s="522">
        <f>VLOOKUP($A$373,$B$289:$G$308,3,FALSE)</f>
        <v>0.3</v>
      </c>
      <c r="C379" s="522">
        <f>VLOOKUP($A$373,$B$289:$G$308,4,FALSE)</f>
        <v>-0.2</v>
      </c>
      <c r="D379" s="522">
        <f>VLOOKUP($A$373,$B$289:$G$308,5,FALSE)</f>
        <v>0</v>
      </c>
      <c r="E379" s="522">
        <f>VLOOKUP($A$373,$B$289:$G$308,6,FALSE)</f>
        <v>0.25</v>
      </c>
      <c r="G379" s="522">
        <f>VLOOKUP($G$373,$J$289:$O$308,2,FALSE)</f>
        <v>60</v>
      </c>
      <c r="H379" s="522">
        <f>VLOOKUP($G$373,$J$289:$O$308,3,FALSE)</f>
        <v>-2.1</v>
      </c>
      <c r="I379" s="522">
        <f>VLOOKUP($G$373,$J$289:$O$308,4,FALSE)</f>
        <v>-0.2</v>
      </c>
      <c r="J379" s="522">
        <f>VLOOKUP($G$373,$J$289:$O$308,5,FALSE)</f>
        <v>0</v>
      </c>
      <c r="K379" s="522">
        <f>VLOOKUP($G$373,$J$289:$O$308,6,FALSE)</f>
        <v>0.95000000000000007</v>
      </c>
      <c r="M379" s="522">
        <f>VLOOKUP($M$373,$R$289:$W$308,2,FALSE)</f>
        <v>990</v>
      </c>
      <c r="N379" s="522">
        <f>VLOOKUP($M$373,$R$289:$W$308,3,FALSE)</f>
        <v>4.3</v>
      </c>
      <c r="O379" s="522">
        <f>VLOOKUP($M$373,$R$289:$W$308,4,FALSE)</f>
        <v>-0.9</v>
      </c>
      <c r="P379" s="522">
        <f>VLOOKUP($M$373,$R$289:$W$308,5,FALSE)</f>
        <v>0</v>
      </c>
      <c r="Q379" s="522">
        <f>VLOOKUP($M$373,$R$289:$W$308,6,FALSE)</f>
        <v>2.6</v>
      </c>
      <c r="S379" s="549" t="s">
        <v>439</v>
      </c>
      <c r="T379" s="550">
        <v>1011.55</v>
      </c>
      <c r="U379" s="551">
        <f>T379+U386</f>
        <v>1014.2032857142857</v>
      </c>
      <c r="V379" s="550">
        <v>2.0506096654409718</v>
      </c>
      <c r="W379" s="552">
        <f>VLOOKUP(S373,Y273:Z292,2,(FALSE))</f>
        <v>2.1</v>
      </c>
      <c r="Z379" s="526"/>
      <c r="AE379" s="553"/>
    </row>
    <row r="380" spans="1:31" ht="13.5" thickBot="1">
      <c r="A380" s="522">
        <f>VLOOKUP($A$373,$B$310:$G$329,2,FALSE)</f>
        <v>35</v>
      </c>
      <c r="B380" s="522">
        <f>VLOOKUP($A$373,$B$310:$G$329,3,FALSE)</f>
        <v>0.4</v>
      </c>
      <c r="C380" s="522">
        <f>VLOOKUP($A$373,$B$310:$G$329,4,FALSE)</f>
        <v>-0.3</v>
      </c>
      <c r="D380" s="522">
        <f>VLOOKUP($A$373,$B$310:$G$329,5,FALSE)</f>
        <v>0</v>
      </c>
      <c r="E380" s="522">
        <f>VLOOKUP($A$373,$B$310:$G$329,6,FALSE)</f>
        <v>0.35</v>
      </c>
      <c r="G380" s="522">
        <f>VLOOKUP($G$373,$J$310:$O$329,2,FALSE)</f>
        <v>70</v>
      </c>
      <c r="H380" s="522">
        <f>VLOOKUP($G$373,$J$310:$O$329,3,FALSE)</f>
        <v>-2.2000000000000002</v>
      </c>
      <c r="I380" s="522">
        <f>VLOOKUP($G$373,$J$310:$O$329,4,FALSE)</f>
        <v>-0.3</v>
      </c>
      <c r="J380" s="522">
        <f>VLOOKUP($G$373,$J$310:$O$329,5,FALSE)</f>
        <v>0</v>
      </c>
      <c r="K380" s="522">
        <f>VLOOKUP($G$373,$J$310:$O$329,6,FALSE)</f>
        <v>0.95000000000000007</v>
      </c>
      <c r="M380" s="522">
        <f>VLOOKUP($M$373,$R$310:$W$329,2,FALSE)</f>
        <v>1000</v>
      </c>
      <c r="N380" s="522">
        <f>VLOOKUP($M$373,$R$310:$W$329,3,FALSE)</f>
        <v>4.3</v>
      </c>
      <c r="O380" s="522">
        <f>VLOOKUP($M$373,$R$310:$W$329,4,FALSE)</f>
        <v>-0.8</v>
      </c>
      <c r="P380" s="522">
        <f>VLOOKUP($M$373,$R$310:$W$329,5,FALSE)</f>
        <v>0</v>
      </c>
      <c r="Q380" s="522">
        <f>VLOOKUP($M$373,$R$310:$W$329,6,FALSE)</f>
        <v>2.5499999999999998</v>
      </c>
      <c r="S380" s="496"/>
      <c r="W380" s="554"/>
      <c r="Z380" s="526"/>
      <c r="AE380" s="555"/>
    </row>
    <row r="381" spans="1:31" ht="14">
      <c r="A381" s="522">
        <f>VLOOKUP($A$373,$B$331:$G$350,2,FALSE)</f>
        <v>37</v>
      </c>
      <c r="B381" s="522">
        <f>VLOOKUP($A$373,$B$331:$G$350,3,FALSE)</f>
        <v>0.4</v>
      </c>
      <c r="C381" s="522">
        <f>VLOOKUP($A$373,$B$331:$G$350,4,FALSE)</f>
        <v>-0.3</v>
      </c>
      <c r="D381" s="522">
        <f>VLOOKUP($A$373,$B$331:$G$350,5,FALSE)</f>
        <v>0</v>
      </c>
      <c r="E381" s="522">
        <f>VLOOKUP($A$373,$B$331:$G$350,6,FALSE)</f>
        <v>0.35</v>
      </c>
      <c r="G381" s="522">
        <f>VLOOKUP($G$373,$J$331:$O$350,2,FALSE)</f>
        <v>80</v>
      </c>
      <c r="H381" s="522">
        <f>VLOOKUP($G$373,$J$331:$O$350,3,FALSE)</f>
        <v>-2.4</v>
      </c>
      <c r="I381" s="522">
        <f>VLOOKUP($G$373,$J$331:$O$350,4,FALSE)</f>
        <v>-0.5</v>
      </c>
      <c r="J381" s="522">
        <f>VLOOKUP($G$373,$J$331:$O$350,5,FALSE)</f>
        <v>0</v>
      </c>
      <c r="K381" s="522">
        <f>VLOOKUP($G$373,$J$331:$O$350,6,FALSE)</f>
        <v>0.95</v>
      </c>
      <c r="M381" s="522">
        <f>VLOOKUP($M$373,$R$331:$W$350,2,FALSE)</f>
        <v>1010</v>
      </c>
      <c r="N381" s="522">
        <f>VLOOKUP($M$373,$R$331:$W$350,3,FALSE)</f>
        <v>4.2</v>
      </c>
      <c r="O381" s="522">
        <f>VLOOKUP($M$373,$R$331:$W$350,4,FALSE)</f>
        <v>-0.7</v>
      </c>
      <c r="P381" s="522">
        <f>VLOOKUP($M$373,$R$331:$W$350,5,FALSE)</f>
        <v>0</v>
      </c>
      <c r="Q381" s="522">
        <f>VLOOKUP($M$373,$R$331:$W$350,6,FALSE)</f>
        <v>2.4500000000000002</v>
      </c>
      <c r="S381" s="1262" t="s">
        <v>464</v>
      </c>
      <c r="T381" s="556" t="str">
        <f>N393&amp;N390&amp;O393&amp;O390&amp;P393&amp;P390</f>
        <v>( 25.4 ± 0.6 ) °C</v>
      </c>
      <c r="U381" s="557"/>
      <c r="W381" s="554"/>
      <c r="Z381" s="526"/>
      <c r="AE381" s="558"/>
    </row>
    <row r="382" spans="1:31" ht="14">
      <c r="A382" s="522">
        <f>VLOOKUP($A$373,$B$352:$G$371,2,FALSE)</f>
        <v>40</v>
      </c>
      <c r="B382" s="522">
        <f>VLOOKUP($A$373,$B$352:$G$371,3,FALSE)</f>
        <v>0.5</v>
      </c>
      <c r="C382" s="522">
        <f>VLOOKUP($A$373,$B$352:$G$371,4,FALSE)</f>
        <v>-0.4</v>
      </c>
      <c r="D382" s="522">
        <f>VLOOKUP($A$373,$B$352:$G$371,5,FALSE)</f>
        <v>0</v>
      </c>
      <c r="E382" s="522">
        <f>VLOOKUP($A$373,$B$352:$G$371,6,FALSE)</f>
        <v>0.45</v>
      </c>
      <c r="G382" s="522">
        <f>VLOOKUP($G$373,$J$352:$O$371,2,FALSE)</f>
        <v>90</v>
      </c>
      <c r="H382" s="522">
        <f>VLOOKUP($G$373,$J$352:$O$371,3,FALSE)</f>
        <v>-3</v>
      </c>
      <c r="I382" s="522">
        <f>VLOOKUP($G$373,$J$352:$O$371,4,FALSE)</f>
        <v>-0.8</v>
      </c>
      <c r="J382" s="522">
        <f>VLOOKUP($G$373,$J$352:$O$371,5,FALSE)</f>
        <v>0</v>
      </c>
      <c r="K382" s="522">
        <f>VLOOKUP($G$373,$J$352:$O$371,6,FALSE)</f>
        <v>1.1000000000000001</v>
      </c>
      <c r="M382" s="522">
        <f>VLOOKUP($M$373,$R$352:$W$371,2,FALSE)</f>
        <v>1020</v>
      </c>
      <c r="N382" s="522">
        <f>VLOOKUP($M$373,$R$352:$W$371,3,FALSE)</f>
        <v>0</v>
      </c>
      <c r="O382" s="522">
        <f>VLOOKUP($M$373,$R$352:$W$371,4,FALSE)</f>
        <v>9.9999999999999995E-7</v>
      </c>
      <c r="P382" s="522">
        <f>VLOOKUP($M$373,$R$352:$W$371,5,FALSE)</f>
        <v>0</v>
      </c>
      <c r="Q382" s="522">
        <f>VLOOKUP($M$373,$R$352:$W$371,6,FALSE)</f>
        <v>4.9999999999999998E-7</v>
      </c>
      <c r="S382" s="1263"/>
      <c r="T382" s="488" t="str">
        <f>N393&amp;N391&amp;O393&amp;O391&amp;P393&amp;P391</f>
        <v>( 61.3 ± 2.3 ) %RH</v>
      </c>
      <c r="U382" s="559"/>
      <c r="W382" s="554"/>
      <c r="Z382" s="526"/>
      <c r="AE382" s="558"/>
    </row>
    <row r="383" spans="1:31" ht="14.5" thickBot="1">
      <c r="A383" s="560"/>
      <c r="B383" s="526"/>
      <c r="C383" s="526"/>
      <c r="D383" s="526"/>
      <c r="E383" s="526"/>
      <c r="G383" s="526"/>
      <c r="H383" s="526"/>
      <c r="I383" s="526"/>
      <c r="J383" s="526"/>
      <c r="M383" s="526"/>
      <c r="N383" s="526"/>
      <c r="O383" s="526"/>
      <c r="P383" s="526"/>
      <c r="S383" s="1264"/>
      <c r="T383" s="561" t="str">
        <f>N393&amp;N392&amp;O393&amp;O392&amp;P393&amp;P392</f>
        <v>( 1014.2 ± 2.1 ) hPa</v>
      </c>
      <c r="U383" s="562"/>
      <c r="W383" s="554"/>
      <c r="Z383" s="526"/>
      <c r="AE383" s="558"/>
    </row>
    <row r="385" spans="1:21" ht="37.5">
      <c r="S385" s="563" t="s">
        <v>465</v>
      </c>
      <c r="T385" s="563" t="s">
        <v>466</v>
      </c>
      <c r="U385" s="564" t="s">
        <v>467</v>
      </c>
    </row>
    <row r="386" spans="1:21">
      <c r="S386" s="564">
        <f>FORECAST(T377,B376:B382,A376:A382)</f>
        <v>0.29260543840177577</v>
      </c>
      <c r="T386" s="564">
        <f>FORECAST(T378,H376:H382,G376:G382)</f>
        <v>-2.5813456090651563</v>
      </c>
      <c r="U386" s="564">
        <f>FORECAST(T379,N376:N382,M376:M382)</f>
        <v>2.6532857142857154</v>
      </c>
    </row>
    <row r="388" spans="1:21" ht="13" thickBot="1"/>
    <row r="389" spans="1:21" ht="13">
      <c r="A389" s="1254" t="str">
        <f>ID!B114</f>
        <v>Thermohygrolight, Merek : EXTECH, Model : SD700, SN : A.100618</v>
      </c>
      <c r="B389" s="1254"/>
      <c r="C389" s="1254"/>
      <c r="D389" s="1254"/>
      <c r="E389" s="1254"/>
      <c r="F389" s="1254"/>
      <c r="G389" s="1254"/>
      <c r="H389" s="1254"/>
      <c r="I389" s="1254"/>
      <c r="J389" s="1254"/>
      <c r="K389" s="1254"/>
      <c r="L389" s="1254"/>
      <c r="N389" s="1255" t="s">
        <v>468</v>
      </c>
      <c r="O389" s="1256"/>
      <c r="P389" s="1257"/>
    </row>
    <row r="390" spans="1:21" ht="15.5">
      <c r="A390" s="565" t="s">
        <v>469</v>
      </c>
      <c r="B390" s="508"/>
      <c r="C390" s="508"/>
      <c r="D390" s="565"/>
      <c r="E390" s="565"/>
      <c r="F390" s="565"/>
      <c r="G390" s="565"/>
      <c r="H390" s="565"/>
      <c r="I390" s="566">
        <f>D4</f>
        <v>2023</v>
      </c>
      <c r="J390" s="566">
        <f>E4</f>
        <v>2021</v>
      </c>
      <c r="K390" s="566">
        <f>F4</f>
        <v>2020</v>
      </c>
      <c r="L390" s="566">
        <v>1</v>
      </c>
      <c r="N390" s="567" t="str">
        <f>TEXT(U377,"0.0")</f>
        <v>25.4</v>
      </c>
      <c r="O390" s="568" t="str">
        <f>TEXT(W377,"0.0")</f>
        <v>0.6</v>
      </c>
      <c r="P390" s="569" t="s">
        <v>256</v>
      </c>
    </row>
    <row r="391" spans="1:21" ht="15.5">
      <c r="A391" s="565" t="s">
        <v>470</v>
      </c>
      <c r="B391" s="508"/>
      <c r="C391" s="508"/>
      <c r="D391" s="565"/>
      <c r="E391" s="565"/>
      <c r="F391" s="565"/>
      <c r="G391" s="565"/>
      <c r="H391" s="565"/>
      <c r="I391" s="566">
        <f>D15</f>
        <v>2023</v>
      </c>
      <c r="J391" s="566">
        <f>E15</f>
        <v>2021</v>
      </c>
      <c r="K391" s="566">
        <f>F15</f>
        <v>2018</v>
      </c>
      <c r="L391" s="566">
        <v>2</v>
      </c>
      <c r="N391" s="570" t="str">
        <f>TEXT(U378,"0.0")</f>
        <v>61.3</v>
      </c>
      <c r="O391" s="568" t="str">
        <f>TEXT(W378,"0.0")</f>
        <v>2.3</v>
      </c>
      <c r="P391" s="569" t="s">
        <v>471</v>
      </c>
    </row>
    <row r="392" spans="1:21" ht="15.5">
      <c r="A392" s="565" t="s">
        <v>472</v>
      </c>
      <c r="B392" s="508"/>
      <c r="C392" s="508"/>
      <c r="D392" s="565"/>
      <c r="E392" s="565"/>
      <c r="F392" s="565"/>
      <c r="G392" s="565"/>
      <c r="H392" s="565"/>
      <c r="I392" s="566">
        <f>D26</f>
        <v>2023</v>
      </c>
      <c r="J392" s="566">
        <f>E26</f>
        <v>2021</v>
      </c>
      <c r="K392" s="566">
        <f>F26</f>
        <v>2018</v>
      </c>
      <c r="L392" s="566">
        <v>3</v>
      </c>
      <c r="N392" s="570" t="str">
        <f>TEXT(U379,"0.0")</f>
        <v>1014.2</v>
      </c>
      <c r="O392" s="568" t="str">
        <f>TEXT(W379,"0.0")</f>
        <v>2.1</v>
      </c>
      <c r="P392" s="571" t="s">
        <v>473</v>
      </c>
    </row>
    <row r="393" spans="1:21" ht="16" thickBot="1">
      <c r="A393" s="565" t="s">
        <v>474</v>
      </c>
      <c r="B393" s="508"/>
      <c r="C393" s="508"/>
      <c r="D393" s="565"/>
      <c r="E393" s="565"/>
      <c r="F393" s="565"/>
      <c r="G393" s="565"/>
      <c r="H393" s="565"/>
      <c r="I393" s="566">
        <f>D37</f>
        <v>2019</v>
      </c>
      <c r="J393" s="566">
        <f>E37</f>
        <v>2017</v>
      </c>
      <c r="K393" s="566">
        <f>F37</f>
        <v>2016</v>
      </c>
      <c r="L393" s="566">
        <v>4</v>
      </c>
      <c r="N393" s="572" t="s">
        <v>475</v>
      </c>
      <c r="O393" s="573" t="s">
        <v>476</v>
      </c>
      <c r="P393" s="574" t="s">
        <v>477</v>
      </c>
    </row>
    <row r="394" spans="1:21" ht="13">
      <c r="A394" s="565" t="s">
        <v>478</v>
      </c>
      <c r="B394" s="508"/>
      <c r="C394" s="508"/>
      <c r="D394" s="565"/>
      <c r="E394" s="565"/>
      <c r="F394" s="565"/>
      <c r="G394" s="565"/>
      <c r="H394" s="565"/>
      <c r="I394" s="566">
        <f>D48</f>
        <v>2023</v>
      </c>
      <c r="J394" s="566">
        <f>E48</f>
        <v>2021</v>
      </c>
      <c r="K394" s="566">
        <f>F48</f>
        <v>2020</v>
      </c>
      <c r="L394" s="566">
        <v>5</v>
      </c>
    </row>
    <row r="395" spans="1:21" ht="13">
      <c r="A395" s="565" t="s">
        <v>479</v>
      </c>
      <c r="B395" s="508"/>
      <c r="C395" s="508"/>
      <c r="D395" s="565"/>
      <c r="E395" s="565"/>
      <c r="F395" s="565"/>
      <c r="G395" s="565"/>
      <c r="H395" s="565"/>
      <c r="I395" s="566">
        <f>D59</f>
        <v>2019</v>
      </c>
      <c r="J395" s="566">
        <f>E59</f>
        <v>2018</v>
      </c>
      <c r="K395" s="566">
        <f>F59</f>
        <v>2016</v>
      </c>
      <c r="L395" s="566">
        <v>6</v>
      </c>
    </row>
    <row r="396" spans="1:21" ht="13">
      <c r="A396" s="565" t="s">
        <v>480</v>
      </c>
      <c r="B396" s="508"/>
      <c r="C396" s="508"/>
      <c r="D396" s="565"/>
      <c r="E396" s="565"/>
      <c r="F396" s="565"/>
      <c r="G396" s="565"/>
      <c r="H396" s="565"/>
      <c r="I396" s="566">
        <f>D70</f>
        <v>2021</v>
      </c>
      <c r="J396" s="566">
        <f>E70</f>
        <v>2018</v>
      </c>
      <c r="K396" s="566">
        <f>F70</f>
        <v>2016</v>
      </c>
      <c r="L396" s="566">
        <v>7</v>
      </c>
    </row>
    <row r="397" spans="1:21" ht="13">
      <c r="A397" s="565" t="s">
        <v>481</v>
      </c>
      <c r="B397" s="508"/>
      <c r="C397" s="508"/>
      <c r="D397" s="565"/>
      <c r="E397" s="565"/>
      <c r="F397" s="565"/>
      <c r="G397" s="565"/>
      <c r="H397" s="565"/>
      <c r="I397" s="566">
        <f>D81</f>
        <v>2023</v>
      </c>
      <c r="J397" s="566">
        <f>E81</f>
        <v>2021</v>
      </c>
      <c r="K397" s="566">
        <f>F81</f>
        <v>2019</v>
      </c>
      <c r="L397" s="566">
        <v>8</v>
      </c>
    </row>
    <row r="398" spans="1:21" ht="13">
      <c r="A398" s="565" t="s">
        <v>482</v>
      </c>
      <c r="B398" s="508"/>
      <c r="C398" s="508"/>
      <c r="D398" s="565"/>
      <c r="E398" s="565"/>
      <c r="F398" s="565"/>
      <c r="G398" s="565"/>
      <c r="H398" s="565"/>
      <c r="I398" s="566">
        <f>D92</f>
        <v>2019</v>
      </c>
      <c r="J398" s="566" t="str">
        <f>E92</f>
        <v>-</v>
      </c>
      <c r="K398" s="566">
        <f>F92</f>
        <v>2016</v>
      </c>
      <c r="L398" s="566">
        <v>9</v>
      </c>
    </row>
    <row r="399" spans="1:21" ht="13">
      <c r="A399" s="565" t="s">
        <v>483</v>
      </c>
      <c r="B399" s="508"/>
      <c r="C399" s="508"/>
      <c r="D399" s="565"/>
      <c r="E399" s="565"/>
      <c r="F399" s="565"/>
      <c r="G399" s="565"/>
      <c r="H399" s="565"/>
      <c r="I399" s="566">
        <f>D103</f>
        <v>2019</v>
      </c>
      <c r="J399" s="566">
        <f>E103</f>
        <v>2016</v>
      </c>
      <c r="K399" s="566">
        <f>F103</f>
        <v>2016</v>
      </c>
      <c r="L399" s="566">
        <v>10</v>
      </c>
    </row>
    <row r="400" spans="1:21" ht="13">
      <c r="A400" s="565" t="s">
        <v>484</v>
      </c>
      <c r="B400" s="508"/>
      <c r="C400" s="508"/>
      <c r="D400" s="565"/>
      <c r="E400" s="565"/>
      <c r="F400" s="565"/>
      <c r="G400" s="565"/>
      <c r="H400" s="565"/>
      <c r="I400" s="566">
        <f>D114</f>
        <v>2020</v>
      </c>
      <c r="J400" s="566">
        <f>E114</f>
        <v>2016</v>
      </c>
      <c r="K400" s="566">
        <f>F114</f>
        <v>2016</v>
      </c>
      <c r="L400" s="566">
        <v>11</v>
      </c>
    </row>
    <row r="401" spans="1:12" ht="13">
      <c r="A401" s="565" t="s">
        <v>485</v>
      </c>
      <c r="B401" s="508"/>
      <c r="C401" s="508"/>
      <c r="D401" s="565"/>
      <c r="E401" s="565"/>
      <c r="F401" s="565"/>
      <c r="G401" s="565"/>
      <c r="H401" s="565"/>
      <c r="I401" s="566">
        <f>D125</f>
        <v>2023</v>
      </c>
      <c r="J401" s="566">
        <f>E125</f>
        <v>2020</v>
      </c>
      <c r="K401" s="566">
        <f>F125</f>
        <v>2016</v>
      </c>
      <c r="L401" s="566">
        <v>12</v>
      </c>
    </row>
    <row r="402" spans="1:12" ht="13">
      <c r="A402" s="565" t="s">
        <v>486</v>
      </c>
      <c r="B402" s="508"/>
      <c r="C402" s="508"/>
      <c r="D402" s="565"/>
      <c r="E402" s="565"/>
      <c r="F402" s="565"/>
      <c r="G402" s="565"/>
      <c r="H402" s="565"/>
      <c r="I402" s="566">
        <f>D136</f>
        <v>2023</v>
      </c>
      <c r="J402" s="566">
        <f>E136</f>
        <v>2022</v>
      </c>
      <c r="K402" s="566">
        <f>F136</f>
        <v>2020</v>
      </c>
      <c r="L402" s="566">
        <v>13</v>
      </c>
    </row>
    <row r="403" spans="1:12" ht="13">
      <c r="A403" s="565" t="s">
        <v>487</v>
      </c>
      <c r="B403" s="508"/>
      <c r="C403" s="508"/>
      <c r="D403" s="565"/>
      <c r="E403" s="565"/>
      <c r="F403" s="565"/>
      <c r="G403" s="565"/>
      <c r="H403" s="565"/>
      <c r="I403" s="566">
        <f>D147</f>
        <v>2023</v>
      </c>
      <c r="J403" s="566">
        <f>E147</f>
        <v>2022</v>
      </c>
      <c r="K403" s="566">
        <f>F147</f>
        <v>2020</v>
      </c>
      <c r="L403" s="566">
        <v>14</v>
      </c>
    </row>
    <row r="404" spans="1:12" ht="13">
      <c r="A404" s="565" t="s">
        <v>248</v>
      </c>
      <c r="B404" s="508"/>
      <c r="C404" s="508"/>
      <c r="D404" s="565"/>
      <c r="E404" s="565"/>
      <c r="F404" s="565"/>
      <c r="G404" s="565"/>
      <c r="H404" s="565"/>
      <c r="I404" s="566">
        <f>D158</f>
        <v>2023</v>
      </c>
      <c r="J404" s="566">
        <f>E158</f>
        <v>2022</v>
      </c>
      <c r="K404" s="566">
        <f>F158</f>
        <v>2020</v>
      </c>
      <c r="L404" s="566">
        <v>15</v>
      </c>
    </row>
    <row r="405" spans="1:12" ht="13">
      <c r="A405" s="565" t="s">
        <v>488</v>
      </c>
      <c r="B405" s="508"/>
      <c r="C405" s="508"/>
      <c r="D405" s="565"/>
      <c r="E405" s="565"/>
      <c r="F405" s="565"/>
      <c r="G405" s="565"/>
      <c r="H405" s="565"/>
      <c r="I405" s="566">
        <f>D169</f>
        <v>2023</v>
      </c>
      <c r="J405" s="566">
        <f>E169</f>
        <v>2020</v>
      </c>
      <c r="K405" s="566">
        <f>F169</f>
        <v>2016</v>
      </c>
      <c r="L405" s="566">
        <v>16</v>
      </c>
    </row>
    <row r="406" spans="1:12" ht="13">
      <c r="A406" s="565" t="s">
        <v>489</v>
      </c>
      <c r="B406" s="508"/>
      <c r="C406" s="508"/>
      <c r="D406" s="565"/>
      <c r="E406" s="565"/>
      <c r="F406" s="565"/>
      <c r="G406" s="565"/>
      <c r="H406" s="565"/>
      <c r="I406" s="566">
        <f>D180</f>
        <v>2023</v>
      </c>
      <c r="J406" s="566">
        <f>E180</f>
        <v>2020</v>
      </c>
      <c r="K406" s="566">
        <f>F180</f>
        <v>2016</v>
      </c>
      <c r="L406" s="566">
        <v>17</v>
      </c>
    </row>
    <row r="407" spans="1:12" ht="13">
      <c r="A407" s="565" t="s">
        <v>490</v>
      </c>
      <c r="B407" s="508"/>
      <c r="C407" s="508"/>
      <c r="D407" s="565"/>
      <c r="E407" s="565"/>
      <c r="F407" s="565"/>
      <c r="G407" s="565"/>
      <c r="H407" s="565"/>
      <c r="I407" s="566">
        <f>D191</f>
        <v>2023</v>
      </c>
      <c r="J407" s="566">
        <f>E191</f>
        <v>2020</v>
      </c>
      <c r="K407" s="566">
        <f>F191</f>
        <v>2016</v>
      </c>
      <c r="L407" s="566">
        <v>18</v>
      </c>
    </row>
    <row r="408" spans="1:12" ht="13">
      <c r="A408" s="565" t="s">
        <v>491</v>
      </c>
      <c r="B408" s="508"/>
      <c r="C408" s="508"/>
      <c r="D408" s="565"/>
      <c r="E408" s="565"/>
      <c r="F408" s="565"/>
      <c r="G408" s="565"/>
      <c r="H408" s="565"/>
      <c r="I408" s="566">
        <v>2021</v>
      </c>
      <c r="J408" s="566">
        <f>E202</f>
        <v>2021</v>
      </c>
      <c r="K408" s="566">
        <f>F202</f>
        <v>2016</v>
      </c>
      <c r="L408" s="566">
        <v>19</v>
      </c>
    </row>
    <row r="409" spans="1:12" ht="13">
      <c r="A409" s="575">
        <v>20</v>
      </c>
      <c r="B409" s="508"/>
      <c r="C409" s="508"/>
      <c r="D409" s="565"/>
      <c r="E409" s="565"/>
      <c r="F409" s="565"/>
      <c r="G409" s="565"/>
      <c r="H409" s="565"/>
      <c r="I409" s="566">
        <f>D213</f>
        <v>2017</v>
      </c>
      <c r="J409" s="566" t="str">
        <f>E213</f>
        <v>-</v>
      </c>
      <c r="K409" s="566">
        <f>F213</f>
        <v>2016</v>
      </c>
      <c r="L409" s="566">
        <v>20</v>
      </c>
    </row>
    <row r="410" spans="1:12" ht="13">
      <c r="A410" s="1258">
        <f>VLOOKUP(A389,A390:L409,12,(FALSE))</f>
        <v>18</v>
      </c>
      <c r="B410" s="1258"/>
      <c r="C410" s="1258"/>
      <c r="D410" s="1258"/>
      <c r="E410" s="1258"/>
      <c r="F410" s="1258"/>
      <c r="G410" s="1258"/>
      <c r="H410" s="1258"/>
      <c r="I410" s="1258"/>
      <c r="J410" s="1258"/>
      <c r="K410" s="1258"/>
      <c r="L410" s="1258"/>
    </row>
  </sheetData>
  <sheetProtection algorithmName="SHA-512" hashValue="0t+cRN7UmuisWB1hZEcpM50Gwm+qxtAYm6UELl0Y6rkvOFkaxuQkP30wqfAOCrki2hzEbJbrpQWuWQAxM4Jnsg==" saltValue="Qq9V2g67cHBgzB1R0JvyUg==" spinCount="100000" sheet="1" objects="1" scenarios="1"/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F899-5D94-476C-A1E7-1FB80D49A4A8}">
  <sheetPr codeName="Sheet9"/>
  <dimension ref="A1:AB311"/>
  <sheetViews>
    <sheetView topLeftCell="A124" zoomScale="78" zoomScaleNormal="78" workbookViewId="0">
      <selection activeCell="C131" sqref="C131"/>
    </sheetView>
  </sheetViews>
  <sheetFormatPr defaultColWidth="8.7265625" defaultRowHeight="12.5"/>
  <cols>
    <col min="1" max="1" width="10.26953125" style="375" bestFit="1" customWidth="1"/>
    <col min="2" max="2" width="9.54296875" style="375" bestFit="1" customWidth="1"/>
    <col min="3" max="9" width="8.7265625" style="375"/>
    <col min="10" max="10" width="9.1796875" style="375" bestFit="1" customWidth="1"/>
    <col min="11" max="11" width="8.7265625" style="375"/>
    <col min="12" max="12" width="8.54296875" style="375" customWidth="1"/>
    <col min="13" max="13" width="12.26953125" style="375" customWidth="1"/>
    <col min="14" max="16384" width="8.7265625" style="375"/>
  </cols>
  <sheetData>
    <row r="1" spans="1:24" ht="18">
      <c r="A1" s="1265" t="s">
        <v>492</v>
      </c>
      <c r="B1" s="1266"/>
      <c r="C1" s="1266"/>
      <c r="D1" s="1266"/>
      <c r="E1" s="1266"/>
      <c r="F1" s="1266"/>
      <c r="G1" s="1266"/>
      <c r="H1" s="1266"/>
      <c r="I1" s="1266"/>
      <c r="J1" s="1266"/>
      <c r="K1" s="1266"/>
      <c r="L1" s="1266"/>
      <c r="M1" s="1266"/>
      <c r="N1" s="1266"/>
      <c r="O1" s="1266"/>
      <c r="P1" s="1266"/>
      <c r="Q1" s="1266"/>
      <c r="R1" s="1266"/>
      <c r="S1" s="1266"/>
      <c r="T1" s="1266"/>
      <c r="U1" s="1266"/>
      <c r="V1" s="375" t="s">
        <v>41</v>
      </c>
    </row>
    <row r="2" spans="1:24" ht="14.5">
      <c r="A2" s="1267" t="s">
        <v>493</v>
      </c>
      <c r="B2" s="1268" t="s">
        <v>494</v>
      </c>
      <c r="C2" s="1268"/>
      <c r="D2" s="1268"/>
      <c r="E2" s="1268"/>
      <c r="F2" s="1268"/>
      <c r="G2" s="1268"/>
      <c r="H2" s="1269" t="s">
        <v>495</v>
      </c>
      <c r="I2" s="1270" t="s">
        <v>496</v>
      </c>
      <c r="J2" s="1270"/>
      <c r="K2" s="1270"/>
      <c r="L2" s="1270"/>
      <c r="M2" s="1270"/>
      <c r="N2" s="1270"/>
      <c r="O2" s="1269" t="s">
        <v>497</v>
      </c>
      <c r="P2" s="1268" t="s">
        <v>498</v>
      </c>
      <c r="Q2" s="1268"/>
      <c r="R2" s="1268"/>
      <c r="S2" s="1268"/>
      <c r="T2" s="1268"/>
      <c r="U2" s="1268"/>
    </row>
    <row r="3" spans="1:24" ht="14">
      <c r="A3" s="1267"/>
      <c r="B3" s="1271" t="s">
        <v>499</v>
      </c>
      <c r="C3" s="1271"/>
      <c r="D3" s="1271"/>
      <c r="E3" s="1271"/>
      <c r="F3" s="1271"/>
      <c r="G3" s="1271"/>
      <c r="H3" s="1269"/>
      <c r="I3" s="1271" t="s">
        <v>499</v>
      </c>
      <c r="J3" s="1271"/>
      <c r="K3" s="1271"/>
      <c r="L3" s="1271"/>
      <c r="M3" s="1271"/>
      <c r="N3" s="1271"/>
      <c r="O3" s="1269"/>
      <c r="P3" s="1272" t="s">
        <v>499</v>
      </c>
      <c r="Q3" s="1272"/>
      <c r="R3" s="1272"/>
      <c r="S3" s="1272"/>
      <c r="T3" s="1272"/>
      <c r="U3" s="1272"/>
    </row>
    <row r="4" spans="1:24" ht="13">
      <c r="A4" s="1267"/>
      <c r="B4" s="1273" t="s">
        <v>500</v>
      </c>
      <c r="C4" s="1273"/>
      <c r="D4" s="1273"/>
      <c r="E4" s="1273"/>
      <c r="F4" s="1273" t="s">
        <v>501</v>
      </c>
      <c r="G4" s="1273" t="s">
        <v>397</v>
      </c>
      <c r="H4" s="1269"/>
      <c r="I4" s="1273" t="str">
        <f>B4</f>
        <v>Setting VAC</v>
      </c>
      <c r="J4" s="1273"/>
      <c r="K4" s="1273"/>
      <c r="L4" s="1273"/>
      <c r="M4" s="1273" t="s">
        <v>501</v>
      </c>
      <c r="N4" s="1273" t="s">
        <v>397</v>
      </c>
      <c r="O4" s="1269"/>
      <c r="P4" s="1273" t="str">
        <f>B4</f>
        <v>Setting VAC</v>
      </c>
      <c r="Q4" s="1273"/>
      <c r="R4" s="1273"/>
      <c r="S4" s="1273"/>
      <c r="T4" s="1273" t="s">
        <v>501</v>
      </c>
      <c r="U4" s="1273" t="s">
        <v>397</v>
      </c>
    </row>
    <row r="5" spans="1:24" ht="14">
      <c r="A5" s="1267"/>
      <c r="B5" s="576" t="s">
        <v>502</v>
      </c>
      <c r="C5" s="577">
        <v>2020</v>
      </c>
      <c r="D5" s="577">
        <v>2019</v>
      </c>
      <c r="E5" s="577">
        <v>2016</v>
      </c>
      <c r="F5" s="1273"/>
      <c r="G5" s="1273"/>
      <c r="H5" s="1269"/>
      <c r="I5" s="576" t="s">
        <v>502</v>
      </c>
      <c r="J5" s="577">
        <v>2019</v>
      </c>
      <c r="K5" s="578">
        <v>2017</v>
      </c>
      <c r="L5" s="577">
        <v>2016</v>
      </c>
      <c r="M5" s="1273"/>
      <c r="N5" s="1273"/>
      <c r="O5" s="1269"/>
      <c r="P5" s="576" t="s">
        <v>502</v>
      </c>
      <c r="Q5" s="577">
        <v>2023</v>
      </c>
      <c r="R5" s="577">
        <v>2022</v>
      </c>
      <c r="S5" s="577">
        <v>2021</v>
      </c>
      <c r="T5" s="1273"/>
      <c r="U5" s="1273"/>
      <c r="V5" s="579"/>
      <c r="W5" s="579"/>
      <c r="X5" s="492"/>
    </row>
    <row r="6" spans="1:24">
      <c r="A6" s="1267"/>
      <c r="B6" s="580">
        <v>150</v>
      </c>
      <c r="C6" s="580">
        <v>0.31</v>
      </c>
      <c r="D6" s="580">
        <v>0.76</v>
      </c>
      <c r="E6" s="502"/>
      <c r="F6" s="580">
        <f>0.5*(MAX(C6:E6)-MIN(C6:E6))</f>
        <v>0.22500000000000001</v>
      </c>
      <c r="G6" s="580">
        <f t="shared" ref="G6:G11" si="0">(1.2/100)*B6</f>
        <v>1.8</v>
      </c>
      <c r="H6" s="1269"/>
      <c r="I6" s="580">
        <v>150</v>
      </c>
      <c r="J6" s="580">
        <v>0.15</v>
      </c>
      <c r="K6" s="580">
        <v>0.23</v>
      </c>
      <c r="L6" s="502"/>
      <c r="M6" s="580">
        <f>0.5*(MAX(J6:L6)-MIN(J6:L6))</f>
        <v>4.0000000000000008E-2</v>
      </c>
      <c r="N6" s="580">
        <f>(1.2/100)*I6</f>
        <v>1.8</v>
      </c>
      <c r="O6" s="1269"/>
      <c r="P6" s="580">
        <v>150</v>
      </c>
      <c r="Q6" s="583">
        <v>0.06</v>
      </c>
      <c r="R6" s="583">
        <v>-1.43</v>
      </c>
      <c r="S6" s="583">
        <v>-1.6</v>
      </c>
      <c r="T6" s="580">
        <f>0.5*(MAX(Q6:S6)-MIN(Q6:S6))</f>
        <v>0.83000000000000007</v>
      </c>
      <c r="U6" s="580">
        <f t="shared" ref="U6:U11" si="1">(1.2/100)*P6</f>
        <v>1.8</v>
      </c>
      <c r="V6" s="584"/>
      <c r="W6" s="585"/>
      <c r="X6" s="492"/>
    </row>
    <row r="7" spans="1:24">
      <c r="A7" s="1267"/>
      <c r="B7" s="580">
        <v>180</v>
      </c>
      <c r="C7" s="580">
        <v>0.1</v>
      </c>
      <c r="D7" s="580">
        <v>-0.03</v>
      </c>
      <c r="E7" s="502"/>
      <c r="F7" s="580">
        <f t="shared" ref="F7:F11" si="2">0.5*(MAX(C7:E7)-MIN(C7:E7))</f>
        <v>6.5000000000000002E-2</v>
      </c>
      <c r="G7" s="580">
        <f t="shared" si="0"/>
        <v>2.16</v>
      </c>
      <c r="H7" s="1269"/>
      <c r="I7" s="580">
        <v>180</v>
      </c>
      <c r="J7" s="580">
        <v>0.12</v>
      </c>
      <c r="K7" s="580">
        <v>-0.06</v>
      </c>
      <c r="L7" s="502"/>
      <c r="M7" s="580">
        <f t="shared" ref="M7:M11" si="3">0.5*(MAX(J7:L7)-MIN(J7:L7))</f>
        <v>0.09</v>
      </c>
      <c r="N7" s="580">
        <f>(1.2/100)*I7</f>
        <v>2.16</v>
      </c>
      <c r="O7" s="1269"/>
      <c r="P7" s="580">
        <v>180</v>
      </c>
      <c r="Q7" s="583">
        <v>-1.94</v>
      </c>
      <c r="R7" s="583">
        <v>-1.81</v>
      </c>
      <c r="S7" s="583">
        <v>-1.9</v>
      </c>
      <c r="T7" s="580">
        <f t="shared" ref="T7:T11" si="4">0.5*(MAX(Q7:S7)-MIN(Q7:S7))</f>
        <v>6.4999999999999947E-2</v>
      </c>
      <c r="U7" s="580">
        <f t="shared" si="1"/>
        <v>2.16</v>
      </c>
      <c r="V7" s="584"/>
      <c r="W7" s="585"/>
      <c r="X7" s="492"/>
    </row>
    <row r="8" spans="1:24">
      <c r="A8" s="1267"/>
      <c r="B8" s="580">
        <v>200</v>
      </c>
      <c r="C8" s="580">
        <v>-0.04</v>
      </c>
      <c r="D8" s="580">
        <v>-0.16</v>
      </c>
      <c r="E8" s="502"/>
      <c r="F8" s="580">
        <f t="shared" si="2"/>
        <v>0.06</v>
      </c>
      <c r="G8" s="580">
        <f t="shared" si="0"/>
        <v>2.4</v>
      </c>
      <c r="H8" s="1269"/>
      <c r="I8" s="580">
        <v>200</v>
      </c>
      <c r="J8" s="580">
        <v>0.06</v>
      </c>
      <c r="K8" s="580">
        <v>-0.18</v>
      </c>
      <c r="L8" s="502"/>
      <c r="M8" s="580">
        <f t="shared" si="3"/>
        <v>0.12</v>
      </c>
      <c r="N8" s="580">
        <f>(1.2/100)*I8</f>
        <v>2.4</v>
      </c>
      <c r="O8" s="1269"/>
      <c r="P8" s="580">
        <v>200</v>
      </c>
      <c r="Q8" s="583">
        <v>-1.95</v>
      </c>
      <c r="R8" s="583">
        <v>-2.0499999999999998</v>
      </c>
      <c r="S8" s="583">
        <v>-2.14</v>
      </c>
      <c r="T8" s="580">
        <f t="shared" si="4"/>
        <v>9.5000000000000084E-2</v>
      </c>
      <c r="U8" s="580">
        <f t="shared" si="1"/>
        <v>2.4</v>
      </c>
      <c r="V8" s="584"/>
      <c r="W8" s="585"/>
      <c r="X8" s="492"/>
    </row>
    <row r="9" spans="1:24">
      <c r="A9" s="1267"/>
      <c r="B9" s="580">
        <v>220</v>
      </c>
      <c r="C9" s="580">
        <v>-0.28000000000000003</v>
      </c>
      <c r="D9" s="580">
        <v>-0.18</v>
      </c>
      <c r="E9" s="502"/>
      <c r="F9" s="580">
        <f t="shared" si="2"/>
        <v>5.0000000000000017E-2</v>
      </c>
      <c r="G9" s="580">
        <f t="shared" si="0"/>
        <v>2.64</v>
      </c>
      <c r="H9" s="1269"/>
      <c r="I9" s="580">
        <v>220</v>
      </c>
      <c r="J9" s="580">
        <v>0.05</v>
      </c>
      <c r="K9" s="580">
        <v>-0.03</v>
      </c>
      <c r="L9" s="502"/>
      <c r="M9" s="580">
        <f t="shared" si="3"/>
        <v>0.04</v>
      </c>
      <c r="N9" s="580">
        <f>(1.2/100)*I9</f>
        <v>2.64</v>
      </c>
      <c r="O9" s="1269"/>
      <c r="P9" s="425">
        <v>220</v>
      </c>
      <c r="Q9" s="583">
        <v>-2.31</v>
      </c>
      <c r="R9" s="583">
        <v>-2.29</v>
      </c>
      <c r="S9" s="583">
        <v>-3.44</v>
      </c>
      <c r="T9" s="580">
        <f t="shared" si="4"/>
        <v>0.57499999999999996</v>
      </c>
      <c r="U9" s="580">
        <f t="shared" si="1"/>
        <v>2.64</v>
      </c>
      <c r="V9" s="584"/>
      <c r="W9" s="585"/>
      <c r="X9" s="492"/>
    </row>
    <row r="10" spans="1:24">
      <c r="A10" s="1267"/>
      <c r="B10" s="580">
        <v>230</v>
      </c>
      <c r="C10" s="580">
        <v>-0.2</v>
      </c>
      <c r="D10" s="580">
        <v>-0.26</v>
      </c>
      <c r="E10" s="502"/>
      <c r="F10" s="580">
        <f t="shared" si="2"/>
        <v>0.03</v>
      </c>
      <c r="G10" s="580">
        <f t="shared" si="0"/>
        <v>2.7600000000000002</v>
      </c>
      <c r="H10" s="1269"/>
      <c r="I10" s="580">
        <v>230</v>
      </c>
      <c r="J10" s="580">
        <v>9.9999999999999995E-7</v>
      </c>
      <c r="K10" s="580">
        <v>0.05</v>
      </c>
      <c r="L10" s="502"/>
      <c r="M10" s="580">
        <f t="shared" si="3"/>
        <v>2.4999500000000001E-2</v>
      </c>
      <c r="N10" s="580">
        <f>(1.2/100)*I10</f>
        <v>2.7600000000000002</v>
      </c>
      <c r="O10" s="1269"/>
      <c r="P10" s="425">
        <v>230</v>
      </c>
      <c r="Q10" s="583">
        <v>-2.38</v>
      </c>
      <c r="R10" s="583">
        <v>-11.79</v>
      </c>
      <c r="S10" s="583">
        <v>-2.52</v>
      </c>
      <c r="T10" s="580">
        <f t="shared" si="4"/>
        <v>4.7050000000000001</v>
      </c>
      <c r="U10" s="580">
        <f t="shared" si="1"/>
        <v>2.7600000000000002</v>
      </c>
      <c r="V10" s="584"/>
      <c r="W10" s="585"/>
      <c r="X10" s="492"/>
    </row>
    <row r="11" spans="1:24">
      <c r="A11" s="1267"/>
      <c r="B11" s="580">
        <v>250</v>
      </c>
      <c r="C11" s="580">
        <v>-0.32</v>
      </c>
      <c r="D11" s="580">
        <v>9.9999999999999995E-7</v>
      </c>
      <c r="E11" s="502"/>
      <c r="F11" s="580">
        <f t="shared" si="2"/>
        <v>0.16000049999999999</v>
      </c>
      <c r="G11" s="580">
        <f t="shared" si="0"/>
        <v>3</v>
      </c>
      <c r="H11" s="1269"/>
      <c r="I11" s="580">
        <v>250</v>
      </c>
      <c r="J11" s="580">
        <v>9.9999999999999995E-7</v>
      </c>
      <c r="K11" s="580">
        <v>9.9999999999999995E-7</v>
      </c>
      <c r="L11" s="502"/>
      <c r="M11" s="580">
        <f t="shared" si="3"/>
        <v>0</v>
      </c>
      <c r="N11" s="580">
        <v>2.76</v>
      </c>
      <c r="O11" s="1269"/>
      <c r="P11" s="425">
        <v>250</v>
      </c>
      <c r="Q11" s="583">
        <v>-2.56</v>
      </c>
      <c r="R11" s="583">
        <v>9.9999999999999995E-7</v>
      </c>
      <c r="S11" s="583">
        <v>9.9999999999999995E-7</v>
      </c>
      <c r="T11" s="580">
        <f t="shared" si="4"/>
        <v>1.2800005000000001</v>
      </c>
      <c r="U11" s="580">
        <f t="shared" si="1"/>
        <v>3</v>
      </c>
      <c r="V11" s="584"/>
      <c r="W11" s="585"/>
      <c r="X11" s="492"/>
    </row>
    <row r="12" spans="1:24" ht="13" customHeight="1">
      <c r="A12" s="1267"/>
      <c r="B12" s="1274" t="s">
        <v>503</v>
      </c>
      <c r="C12" s="1274"/>
      <c r="D12" s="1274"/>
      <c r="E12" s="1274"/>
      <c r="F12" s="1273" t="s">
        <v>501</v>
      </c>
      <c r="G12" s="1273" t="s">
        <v>397</v>
      </c>
      <c r="H12" s="1269"/>
      <c r="I12" s="1274" t="str">
        <f>B12</f>
        <v>Current Leakage</v>
      </c>
      <c r="J12" s="1274"/>
      <c r="K12" s="1274"/>
      <c r="L12" s="1274"/>
      <c r="M12" s="1273" t="s">
        <v>501</v>
      </c>
      <c r="N12" s="1273" t="s">
        <v>397</v>
      </c>
      <c r="O12" s="1269"/>
      <c r="P12" s="1274" t="str">
        <f>B12</f>
        <v>Current Leakage</v>
      </c>
      <c r="Q12" s="1274"/>
      <c r="R12" s="1274"/>
      <c r="S12" s="1274"/>
      <c r="T12" s="1273" t="s">
        <v>501</v>
      </c>
      <c r="U12" s="1273" t="s">
        <v>397</v>
      </c>
      <c r="V12" s="492"/>
      <c r="W12" s="492"/>
      <c r="X12" s="492"/>
    </row>
    <row r="13" spans="1:24" ht="14">
      <c r="A13" s="1267"/>
      <c r="B13" s="576" t="s">
        <v>504</v>
      </c>
      <c r="C13" s="577">
        <f>C5</f>
        <v>2020</v>
      </c>
      <c r="D13" s="577">
        <f>D5</f>
        <v>2019</v>
      </c>
      <c r="E13" s="577">
        <f>E5</f>
        <v>2016</v>
      </c>
      <c r="F13" s="1273"/>
      <c r="G13" s="1273"/>
      <c r="H13" s="1269"/>
      <c r="I13" s="576" t="s">
        <v>504</v>
      </c>
      <c r="J13" s="577">
        <f>J5</f>
        <v>2019</v>
      </c>
      <c r="K13" s="577">
        <f>K5</f>
        <v>2017</v>
      </c>
      <c r="L13" s="577">
        <f>L5</f>
        <v>2016</v>
      </c>
      <c r="M13" s="1273"/>
      <c r="N13" s="1273"/>
      <c r="O13" s="1269"/>
      <c r="P13" s="576" t="s">
        <v>504</v>
      </c>
      <c r="Q13" s="577">
        <f>Q5</f>
        <v>2023</v>
      </c>
      <c r="R13" s="577">
        <f>R5</f>
        <v>2022</v>
      </c>
      <c r="S13" s="577">
        <f>S5</f>
        <v>2021</v>
      </c>
      <c r="T13" s="1273"/>
      <c r="U13" s="1273"/>
      <c r="V13" s="492"/>
      <c r="W13" s="492"/>
      <c r="X13" s="492"/>
    </row>
    <row r="14" spans="1:24">
      <c r="A14" s="1267"/>
      <c r="B14" s="580">
        <v>0</v>
      </c>
      <c r="C14" s="580">
        <v>9.9999999999999995E-7</v>
      </c>
      <c r="D14" s="580">
        <v>9.9999999999999995E-7</v>
      </c>
      <c r="E14" s="502"/>
      <c r="F14" s="580">
        <f>0.5*(MAX(C14:E14)-MIN(C14:E14))</f>
        <v>0</v>
      </c>
      <c r="G14" s="580">
        <f t="shared" ref="G14:G19" si="5">(0.59/100)*B14</f>
        <v>0</v>
      </c>
      <c r="H14" s="1269"/>
      <c r="I14" s="580">
        <v>0</v>
      </c>
      <c r="J14" s="580">
        <v>9.9999999999999995E-7</v>
      </c>
      <c r="K14" s="580">
        <v>9.9999999999999995E-7</v>
      </c>
      <c r="L14" s="502"/>
      <c r="M14" s="580">
        <f>0.5*(MAX(J14:L14)-MIN(J14:L14))</f>
        <v>0</v>
      </c>
      <c r="N14" s="580">
        <v>0.3</v>
      </c>
      <c r="O14" s="1269"/>
      <c r="P14" s="425">
        <v>9.9999999999999995E-7</v>
      </c>
      <c r="Q14" s="425">
        <v>0</v>
      </c>
      <c r="R14" s="425">
        <v>9.9999999999999995E-7</v>
      </c>
      <c r="S14" s="425">
        <v>9.9999999999999995E-7</v>
      </c>
      <c r="T14" s="580">
        <f>0.5*(MAX(Q14:S14)-MIN(Q14:S14))</f>
        <v>4.9999999999999998E-7</v>
      </c>
      <c r="U14" s="580">
        <f t="shared" ref="U14:U19" si="6">(0.59/100)*P14</f>
        <v>5.8999999999999999E-9</v>
      </c>
      <c r="V14" s="492"/>
      <c r="W14" s="492"/>
      <c r="X14" s="492"/>
    </row>
    <row r="15" spans="1:24">
      <c r="A15" s="1267"/>
      <c r="B15" s="580">
        <v>50</v>
      </c>
      <c r="C15" s="580">
        <v>0.1</v>
      </c>
      <c r="D15" s="580">
        <v>-0.06</v>
      </c>
      <c r="E15" s="502"/>
      <c r="F15" s="580">
        <f t="shared" ref="F15:F19" si="7">0.5*(MAX(C15:E15)-MIN(C15:E15))</f>
        <v>0.08</v>
      </c>
      <c r="G15" s="580">
        <f t="shared" si="5"/>
        <v>0.29499999999999998</v>
      </c>
      <c r="H15" s="1269"/>
      <c r="I15" s="580">
        <v>50</v>
      </c>
      <c r="J15" s="580">
        <v>-0.08</v>
      </c>
      <c r="K15" s="580">
        <v>0.1</v>
      </c>
      <c r="L15" s="502"/>
      <c r="M15" s="580">
        <f t="shared" ref="M15:M19" si="8">0.5*(MAX(J15:L15)-MIN(J15:L15))</f>
        <v>0.09</v>
      </c>
      <c r="N15" s="580">
        <f>(0.59/100)*I15</f>
        <v>0.29499999999999998</v>
      </c>
      <c r="O15" s="1269"/>
      <c r="P15" s="425">
        <v>50</v>
      </c>
      <c r="Q15" s="583">
        <v>2.7</v>
      </c>
      <c r="R15" s="583">
        <v>9.1</v>
      </c>
      <c r="S15" s="583">
        <v>-0.62</v>
      </c>
      <c r="T15" s="580">
        <f t="shared" ref="T15:T19" si="9">0.5*(MAX(Q15:S15)-MIN(Q15:S15))</f>
        <v>4.8599999999999994</v>
      </c>
      <c r="U15" s="580">
        <f t="shared" si="6"/>
        <v>0.29499999999999998</v>
      </c>
      <c r="V15" s="492"/>
      <c r="W15" s="492"/>
      <c r="X15" s="492"/>
    </row>
    <row r="16" spans="1:24">
      <c r="A16" s="1267"/>
      <c r="B16" s="580">
        <v>100</v>
      </c>
      <c r="C16" s="580">
        <v>0.2</v>
      </c>
      <c r="D16" s="580">
        <v>-0.06</v>
      </c>
      <c r="E16" s="502"/>
      <c r="F16" s="580">
        <f t="shared" si="7"/>
        <v>0.13</v>
      </c>
      <c r="G16" s="580">
        <f t="shared" si="5"/>
        <v>0.59</v>
      </c>
      <c r="H16" s="1269"/>
      <c r="I16" s="580">
        <v>100</v>
      </c>
      <c r="J16" s="580">
        <v>-7.0000000000000007E-2</v>
      </c>
      <c r="K16" s="580">
        <v>2.2000000000000002</v>
      </c>
      <c r="L16" s="502"/>
      <c r="M16" s="580">
        <f t="shared" si="8"/>
        <v>1.135</v>
      </c>
      <c r="N16" s="580">
        <f>(0.59/100)*I16</f>
        <v>0.59</v>
      </c>
      <c r="O16" s="1269"/>
      <c r="P16" s="425">
        <v>100</v>
      </c>
      <c r="Q16" s="583">
        <v>2.4</v>
      </c>
      <c r="R16" s="583">
        <v>6</v>
      </c>
      <c r="S16" s="583">
        <v>-0.22</v>
      </c>
      <c r="T16" s="580">
        <f t="shared" si="9"/>
        <v>3.11</v>
      </c>
      <c r="U16" s="580">
        <f t="shared" si="6"/>
        <v>0.59</v>
      </c>
      <c r="V16" s="492"/>
      <c r="W16" s="492"/>
      <c r="X16" s="492"/>
    </row>
    <row r="17" spans="1:28">
      <c r="A17" s="1267"/>
      <c r="B17" s="580">
        <v>200</v>
      </c>
      <c r="C17" s="580">
        <v>0.4</v>
      </c>
      <c r="D17" s="580">
        <v>9.9999999999999995E-7</v>
      </c>
      <c r="E17" s="502"/>
      <c r="F17" s="580">
        <f t="shared" si="7"/>
        <v>0.19999950000000002</v>
      </c>
      <c r="G17" s="580">
        <f t="shared" si="5"/>
        <v>1.18</v>
      </c>
      <c r="H17" s="1269"/>
      <c r="I17" s="580">
        <v>200</v>
      </c>
      <c r="J17" s="580">
        <v>-0.1</v>
      </c>
      <c r="K17" s="580">
        <v>3.3</v>
      </c>
      <c r="L17" s="502"/>
      <c r="M17" s="580">
        <f t="shared" si="8"/>
        <v>1.7</v>
      </c>
      <c r="N17" s="580">
        <f>(0.59/100)*I17</f>
        <v>1.18</v>
      </c>
      <c r="O17" s="1269"/>
      <c r="P17" s="425">
        <v>200</v>
      </c>
      <c r="Q17" s="583">
        <v>2.7</v>
      </c>
      <c r="R17" s="583">
        <v>-3.6</v>
      </c>
      <c r="S17" s="583">
        <v>-0.1</v>
      </c>
      <c r="T17" s="580">
        <f t="shared" si="9"/>
        <v>3.1500000000000004</v>
      </c>
      <c r="U17" s="580">
        <f t="shared" si="6"/>
        <v>1.18</v>
      </c>
      <c r="V17" s="492"/>
      <c r="W17" s="492"/>
      <c r="X17" s="492"/>
    </row>
    <row r="18" spans="1:28" ht="13">
      <c r="A18" s="1267"/>
      <c r="B18" s="580">
        <v>500</v>
      </c>
      <c r="C18" s="580">
        <v>3.8</v>
      </c>
      <c r="D18" s="580">
        <v>-0.9</v>
      </c>
      <c r="E18" s="502"/>
      <c r="F18" s="580">
        <f t="shared" si="7"/>
        <v>2.35</v>
      </c>
      <c r="G18" s="580">
        <f t="shared" si="5"/>
        <v>2.9499999999999997</v>
      </c>
      <c r="H18" s="1269"/>
      <c r="I18" s="580">
        <v>500</v>
      </c>
      <c r="J18" s="580">
        <v>0.8</v>
      </c>
      <c r="K18" s="580">
        <v>2</v>
      </c>
      <c r="L18" s="502"/>
      <c r="M18" s="580">
        <f t="shared" si="8"/>
        <v>0.6</v>
      </c>
      <c r="N18" s="580">
        <f>(0.59/100)*I18</f>
        <v>2.9499999999999997</v>
      </c>
      <c r="O18" s="1269"/>
      <c r="P18" s="425">
        <v>500</v>
      </c>
      <c r="Q18" s="583">
        <v>3</v>
      </c>
      <c r="R18" s="583">
        <v>-18.8</v>
      </c>
      <c r="S18" s="583">
        <v>-1.1000000000000001</v>
      </c>
      <c r="T18" s="580">
        <f t="shared" si="9"/>
        <v>10.9</v>
      </c>
      <c r="U18" s="580">
        <f t="shared" si="6"/>
        <v>2.9499999999999997</v>
      </c>
      <c r="V18" s="492"/>
      <c r="W18" s="492"/>
      <c r="X18" s="492"/>
      <c r="AB18" s="586"/>
    </row>
    <row r="19" spans="1:28">
      <c r="A19" s="1267"/>
      <c r="B19" s="580">
        <v>1000</v>
      </c>
      <c r="C19" s="580">
        <v>9</v>
      </c>
      <c r="D19" s="580">
        <v>9.9999999999999995E-7</v>
      </c>
      <c r="E19" s="502"/>
      <c r="F19" s="580">
        <f t="shared" si="7"/>
        <v>4.4999995000000004</v>
      </c>
      <c r="G19" s="580">
        <f t="shared" si="5"/>
        <v>5.8999999999999995</v>
      </c>
      <c r="H19" s="1269"/>
      <c r="I19" s="580">
        <v>1000</v>
      </c>
      <c r="J19" s="580">
        <v>9.9999999999999995E-7</v>
      </c>
      <c r="K19" s="580">
        <v>9.9999999999999995E-7</v>
      </c>
      <c r="L19" s="502"/>
      <c r="M19" s="580">
        <f t="shared" si="8"/>
        <v>0</v>
      </c>
      <c r="N19" s="580">
        <v>2.95</v>
      </c>
      <c r="O19" s="1269"/>
      <c r="P19" s="425">
        <v>1000</v>
      </c>
      <c r="Q19" s="583">
        <v>-88</v>
      </c>
      <c r="R19" s="583">
        <v>-47</v>
      </c>
      <c r="S19" s="583">
        <v>3</v>
      </c>
      <c r="T19" s="580">
        <f t="shared" si="9"/>
        <v>45.5</v>
      </c>
      <c r="U19" s="580">
        <f t="shared" si="6"/>
        <v>5.8999999999999995</v>
      </c>
      <c r="V19" s="492"/>
      <c r="W19" s="492"/>
      <c r="X19" s="492"/>
    </row>
    <row r="20" spans="1:28" ht="13">
      <c r="A20" s="1267"/>
      <c r="B20" s="1274" t="s">
        <v>505</v>
      </c>
      <c r="C20" s="1274"/>
      <c r="D20" s="1274"/>
      <c r="E20" s="1274"/>
      <c r="F20" s="1273" t="s">
        <v>501</v>
      </c>
      <c r="G20" s="1273" t="s">
        <v>397</v>
      </c>
      <c r="H20" s="1269"/>
      <c r="I20" s="1274" t="str">
        <f>B20</f>
        <v>Main-PE</v>
      </c>
      <c r="J20" s="1274"/>
      <c r="K20" s="1274"/>
      <c r="L20" s="1274"/>
      <c r="M20" s="1273" t="s">
        <v>501</v>
      </c>
      <c r="N20" s="1273" t="s">
        <v>397</v>
      </c>
      <c r="O20" s="1269"/>
      <c r="P20" s="1274" t="str">
        <f>B20</f>
        <v>Main-PE</v>
      </c>
      <c r="Q20" s="1274"/>
      <c r="R20" s="1274"/>
      <c r="S20" s="1274"/>
      <c r="T20" s="1273" t="s">
        <v>501</v>
      </c>
      <c r="U20" s="1273" t="s">
        <v>397</v>
      </c>
      <c r="V20" s="492"/>
      <c r="W20" s="492"/>
      <c r="X20" s="492"/>
    </row>
    <row r="21" spans="1:28" ht="14.5">
      <c r="A21" s="1267"/>
      <c r="B21" s="576" t="s">
        <v>506</v>
      </c>
      <c r="C21" s="577">
        <f>C5</f>
        <v>2020</v>
      </c>
      <c r="D21" s="577">
        <f>D5</f>
        <v>2019</v>
      </c>
      <c r="E21" s="577">
        <f>E5</f>
        <v>2016</v>
      </c>
      <c r="F21" s="1273"/>
      <c r="G21" s="1273"/>
      <c r="H21" s="1269"/>
      <c r="I21" s="576" t="s">
        <v>506</v>
      </c>
      <c r="J21" s="577">
        <f>J5</f>
        <v>2019</v>
      </c>
      <c r="K21" s="577">
        <f>K5</f>
        <v>2017</v>
      </c>
      <c r="L21" s="577">
        <f>L5</f>
        <v>2016</v>
      </c>
      <c r="M21" s="1273"/>
      <c r="N21" s="1273"/>
      <c r="O21" s="1269"/>
      <c r="P21" s="576" t="s">
        <v>506</v>
      </c>
      <c r="Q21" s="577">
        <f>Q5</f>
        <v>2023</v>
      </c>
      <c r="R21" s="577">
        <f>R5</f>
        <v>2022</v>
      </c>
      <c r="S21" s="577">
        <f>S5</f>
        <v>2021</v>
      </c>
      <c r="T21" s="1273"/>
      <c r="U21" s="1273"/>
      <c r="V21" s="492"/>
      <c r="W21" s="492"/>
      <c r="X21" s="492"/>
    </row>
    <row r="22" spans="1:28">
      <c r="A22" s="1267"/>
      <c r="B22" s="580">
        <v>10</v>
      </c>
      <c r="C22" s="580">
        <v>9.9999999999999995E-7</v>
      </c>
      <c r="D22" s="580">
        <v>9.9999999999999995E-7</v>
      </c>
      <c r="E22" s="502"/>
      <c r="F22" s="580">
        <f>0.5*(MAX(C22:E22)-MIN(C22:E22))</f>
        <v>0</v>
      </c>
      <c r="G22" s="580">
        <v>0</v>
      </c>
      <c r="H22" s="1269"/>
      <c r="I22" s="580">
        <v>10</v>
      </c>
      <c r="J22" s="580">
        <v>0.1</v>
      </c>
      <c r="K22" s="580">
        <v>9.9999999999999995E-7</v>
      </c>
      <c r="L22" s="502"/>
      <c r="M22" s="580">
        <f>0.5*(MAX(J22:L22)-MIN(J22:L22))</f>
        <v>4.9999500000000002E-2</v>
      </c>
      <c r="N22" s="580">
        <f>(0.59/100)*I22</f>
        <v>5.8999999999999997E-2</v>
      </c>
      <c r="O22" s="1269"/>
      <c r="P22" s="425">
        <v>5</v>
      </c>
      <c r="Q22" s="583">
        <v>0</v>
      </c>
      <c r="R22" s="583">
        <v>9.9999999999999995E-7</v>
      </c>
      <c r="S22" s="583">
        <v>9.9999999999999995E-7</v>
      </c>
      <c r="T22" s="580">
        <f>0.5*(MAX(Q22:S22)-MIN(Q22:S22))</f>
        <v>4.9999999999999998E-7</v>
      </c>
      <c r="U22" s="580">
        <f>(1.7/100)*P22</f>
        <v>8.5000000000000006E-2</v>
      </c>
      <c r="V22" s="492"/>
      <c r="W22" s="492"/>
      <c r="X22" s="492"/>
    </row>
    <row r="23" spans="1:28">
      <c r="A23" s="1267"/>
      <c r="B23" s="580">
        <v>20</v>
      </c>
      <c r="C23" s="580">
        <v>9.9999999999999995E-7</v>
      </c>
      <c r="D23" s="580">
        <v>9.9999999999999995E-7</v>
      </c>
      <c r="E23" s="502"/>
      <c r="F23" s="580">
        <f t="shared" ref="F23:F25" si="10">0.5*(MAX(C23:E23)-MIN(C23:E23))</f>
        <v>0</v>
      </c>
      <c r="G23" s="580">
        <v>0</v>
      </c>
      <c r="H23" s="1269"/>
      <c r="I23" s="580">
        <v>20</v>
      </c>
      <c r="J23" s="580">
        <v>0.2</v>
      </c>
      <c r="K23" s="580">
        <v>0.1</v>
      </c>
      <c r="L23" s="502"/>
      <c r="M23" s="580">
        <f t="shared" ref="M23:M25" si="11">0.5*(MAX(J23:L23)-MIN(J23:L23))</f>
        <v>0.05</v>
      </c>
      <c r="N23" s="580">
        <f>(0.59/100)*I23</f>
        <v>0.11799999999999999</v>
      </c>
      <c r="O23" s="1269"/>
      <c r="P23" s="425">
        <v>10</v>
      </c>
      <c r="Q23" s="583">
        <v>0</v>
      </c>
      <c r="R23" s="583">
        <v>9.9999999999999995E-7</v>
      </c>
      <c r="S23" s="583">
        <v>9.9999999999999995E-7</v>
      </c>
      <c r="T23" s="580">
        <f t="shared" ref="T23:T25" si="12">0.5*(MAX(Q23:S23)-MIN(Q23:S23))</f>
        <v>4.9999999999999998E-7</v>
      </c>
      <c r="U23" s="580">
        <f>(1.7/100)*P23</f>
        <v>0.17</v>
      </c>
      <c r="V23" s="492"/>
      <c r="W23" s="492"/>
      <c r="X23" s="492"/>
    </row>
    <row r="24" spans="1:28">
      <c r="A24" s="1267"/>
      <c r="B24" s="580">
        <v>50</v>
      </c>
      <c r="C24" s="580">
        <v>9.9999999999999995E-7</v>
      </c>
      <c r="D24" s="580">
        <v>9.9999999999999995E-7</v>
      </c>
      <c r="E24" s="502"/>
      <c r="F24" s="580">
        <f t="shared" si="10"/>
        <v>0</v>
      </c>
      <c r="G24" s="580">
        <v>0</v>
      </c>
      <c r="H24" s="1269"/>
      <c r="I24" s="580">
        <v>50</v>
      </c>
      <c r="J24" s="580">
        <v>0.3</v>
      </c>
      <c r="K24" s="580">
        <v>0.1</v>
      </c>
      <c r="L24" s="502"/>
      <c r="M24" s="580">
        <f t="shared" si="11"/>
        <v>9.9999999999999992E-2</v>
      </c>
      <c r="N24" s="580">
        <f>(0.59/100)*I24</f>
        <v>0.29499999999999998</v>
      </c>
      <c r="O24" s="1269"/>
      <c r="P24" s="425">
        <v>20</v>
      </c>
      <c r="Q24" s="587">
        <v>0.2</v>
      </c>
      <c r="R24" s="587">
        <v>9.9999999999999995E-7</v>
      </c>
      <c r="S24" s="587">
        <v>0.4</v>
      </c>
      <c r="T24" s="580">
        <f t="shared" si="12"/>
        <v>0.19999950000000002</v>
      </c>
      <c r="U24" s="580">
        <f>(1.7/100)*P24</f>
        <v>0.34</v>
      </c>
      <c r="V24" s="492"/>
      <c r="W24" s="492"/>
      <c r="X24" s="492"/>
    </row>
    <row r="25" spans="1:28">
      <c r="A25" s="1267"/>
      <c r="B25" s="580">
        <v>100</v>
      </c>
      <c r="C25" s="580">
        <v>9.9999999999999995E-7</v>
      </c>
      <c r="D25" s="580">
        <v>9.9999999999999995E-7</v>
      </c>
      <c r="E25" s="502"/>
      <c r="F25" s="580">
        <f t="shared" si="10"/>
        <v>0</v>
      </c>
      <c r="G25" s="580">
        <v>0</v>
      </c>
      <c r="H25" s="1269"/>
      <c r="I25" s="580">
        <v>100</v>
      </c>
      <c r="J25" s="580">
        <v>0.3</v>
      </c>
      <c r="K25" s="580">
        <v>9.9999999999999995E-7</v>
      </c>
      <c r="L25" s="502"/>
      <c r="M25" s="580">
        <f t="shared" si="11"/>
        <v>0.14999950000000001</v>
      </c>
      <c r="N25" s="580">
        <f>(0.59/100)*I25</f>
        <v>0.59</v>
      </c>
      <c r="O25" s="1269"/>
      <c r="P25" s="425">
        <v>50</v>
      </c>
      <c r="Q25" s="587">
        <v>0.2</v>
      </c>
      <c r="R25" s="587">
        <v>0.1</v>
      </c>
      <c r="S25" s="587">
        <v>1.1000000000000001</v>
      </c>
      <c r="T25" s="580">
        <f t="shared" si="12"/>
        <v>0.5</v>
      </c>
      <c r="U25" s="580">
        <f>(1.7/100)*P25</f>
        <v>0.85000000000000009</v>
      </c>
      <c r="V25" s="492"/>
      <c r="W25" s="492"/>
      <c r="X25" s="492"/>
    </row>
    <row r="26" spans="1:28" ht="13" customHeight="1">
      <c r="A26" s="1267"/>
      <c r="B26" s="1274" t="s">
        <v>507</v>
      </c>
      <c r="C26" s="1274"/>
      <c r="D26" s="1274"/>
      <c r="E26" s="1274"/>
      <c r="F26" s="1273" t="s">
        <v>501</v>
      </c>
      <c r="G26" s="1273" t="s">
        <v>397</v>
      </c>
      <c r="H26" s="1269"/>
      <c r="I26" s="1274" t="str">
        <f>B26</f>
        <v>Resistance</v>
      </c>
      <c r="J26" s="1274"/>
      <c r="K26" s="1274"/>
      <c r="L26" s="1274"/>
      <c r="M26" s="1273" t="s">
        <v>501</v>
      </c>
      <c r="N26" s="1273" t="s">
        <v>397</v>
      </c>
      <c r="O26" s="1269"/>
      <c r="P26" s="1274" t="str">
        <f>B26</f>
        <v>Resistance</v>
      </c>
      <c r="Q26" s="1274"/>
      <c r="R26" s="1274"/>
      <c r="S26" s="1274"/>
      <c r="T26" s="1273" t="s">
        <v>501</v>
      </c>
      <c r="U26" s="1273" t="s">
        <v>397</v>
      </c>
      <c r="V26" s="492"/>
      <c r="W26" s="492"/>
      <c r="X26" s="492"/>
    </row>
    <row r="27" spans="1:28" ht="14.5">
      <c r="A27" s="1267"/>
      <c r="B27" s="576" t="s">
        <v>508</v>
      </c>
      <c r="C27" s="577">
        <f>C5</f>
        <v>2020</v>
      </c>
      <c r="D27" s="577">
        <f>D5</f>
        <v>2019</v>
      </c>
      <c r="E27" s="577">
        <f>E5</f>
        <v>2016</v>
      </c>
      <c r="F27" s="1273"/>
      <c r="G27" s="1273"/>
      <c r="H27" s="1269"/>
      <c r="I27" s="576" t="s">
        <v>508</v>
      </c>
      <c r="J27" s="577">
        <f>J5</f>
        <v>2019</v>
      </c>
      <c r="K27" s="577">
        <f>K5</f>
        <v>2017</v>
      </c>
      <c r="L27" s="577">
        <f>L5</f>
        <v>2016</v>
      </c>
      <c r="M27" s="1273"/>
      <c r="N27" s="1273"/>
      <c r="O27" s="1269"/>
      <c r="P27" s="576" t="s">
        <v>508</v>
      </c>
      <c r="Q27" s="577">
        <f>Q5</f>
        <v>2023</v>
      </c>
      <c r="R27" s="577">
        <f>R5</f>
        <v>2022</v>
      </c>
      <c r="S27" s="577">
        <f>S5</f>
        <v>2021</v>
      </c>
      <c r="T27" s="1273"/>
      <c r="U27" s="1273"/>
      <c r="V27" s="492"/>
      <c r="W27" s="492"/>
      <c r="X27" s="492"/>
    </row>
    <row r="28" spans="1:28">
      <c r="A28" s="1267"/>
      <c r="B28" s="580">
        <v>0</v>
      </c>
      <c r="C28" s="580">
        <v>9.9999999999999995E-7</v>
      </c>
      <c r="D28" s="580">
        <v>9.9999999999999995E-7</v>
      </c>
      <c r="E28" s="502"/>
      <c r="F28" s="580">
        <f>0.5*(MAX(C28:E28)-MIN(C28:E28))</f>
        <v>0</v>
      </c>
      <c r="G28" s="580">
        <f>(1.2/100)*B28</f>
        <v>0</v>
      </c>
      <c r="H28" s="1269"/>
      <c r="I28" s="580">
        <v>0.01</v>
      </c>
      <c r="J28" s="580">
        <v>9.9999999999999995E-7</v>
      </c>
      <c r="K28" s="580">
        <v>9.9999999999999995E-7</v>
      </c>
      <c r="L28" s="502"/>
      <c r="M28" s="580">
        <f>0.5*(MAX(J28:L28)-MIN(J28:L28))</f>
        <v>0</v>
      </c>
      <c r="N28" s="580">
        <f>(1.2/100)*I28</f>
        <v>1.2E-4</v>
      </c>
      <c r="O28" s="1269"/>
      <c r="P28" s="425">
        <v>0</v>
      </c>
      <c r="Q28" s="588">
        <v>0</v>
      </c>
      <c r="R28" s="588">
        <v>-1E-3</v>
      </c>
      <c r="S28" s="588">
        <v>9.9999999999999995E-7</v>
      </c>
      <c r="T28" s="580">
        <f>0.5*(MAX(Q28:S28)-MIN(Q28:S28))</f>
        <v>5.0049999999999997E-4</v>
      </c>
      <c r="U28" s="580">
        <f>(1.2/100)*P28</f>
        <v>0</v>
      </c>
      <c r="V28" s="492"/>
      <c r="W28" s="492"/>
      <c r="X28" s="492"/>
    </row>
    <row r="29" spans="1:28">
      <c r="A29" s="1267"/>
      <c r="B29" s="580">
        <v>0.1</v>
      </c>
      <c r="C29" s="580">
        <v>-1E-3</v>
      </c>
      <c r="D29" s="580">
        <v>2E-3</v>
      </c>
      <c r="E29" s="502"/>
      <c r="F29" s="580">
        <f t="shared" ref="F29:F31" si="13">0.5*(MAX(C29:E29)-MIN(C29:E29))</f>
        <v>1.5E-3</v>
      </c>
      <c r="G29" s="580">
        <f>(1.2/100)*B29</f>
        <v>1.2000000000000001E-3</v>
      </c>
      <c r="H29" s="1269"/>
      <c r="I29" s="580">
        <v>0.1</v>
      </c>
      <c r="J29" s="580">
        <v>6.0000000000000001E-3</v>
      </c>
      <c r="K29" s="580">
        <v>5.0000000000000001E-3</v>
      </c>
      <c r="L29" s="502"/>
      <c r="M29" s="580">
        <f t="shared" ref="M29:M31" si="14">0.5*(MAX(J29:L29)-MIN(J29:L29))</f>
        <v>5.0000000000000001E-4</v>
      </c>
      <c r="N29" s="580">
        <f>(1.2/100)*I29</f>
        <v>1.2000000000000001E-3</v>
      </c>
      <c r="O29" s="1269"/>
      <c r="P29" s="425">
        <v>0.5</v>
      </c>
      <c r="Q29" s="588">
        <v>5.0000000000000001E-3</v>
      </c>
      <c r="R29" s="588">
        <v>-2E-3</v>
      </c>
      <c r="S29" s="588">
        <v>-1E-3</v>
      </c>
      <c r="T29" s="580">
        <f t="shared" ref="T29:T31" si="15">0.5*(MAX(Q29:S29)-MIN(Q29:S29))</f>
        <v>3.5000000000000001E-3</v>
      </c>
      <c r="U29" s="580">
        <f>(1.2/100)*P29</f>
        <v>6.0000000000000001E-3</v>
      </c>
      <c r="V29" s="492"/>
      <c r="W29" s="492"/>
      <c r="X29" s="492"/>
    </row>
    <row r="30" spans="1:28">
      <c r="A30" s="1267"/>
      <c r="B30" s="580">
        <v>1</v>
      </c>
      <c r="C30" s="580">
        <v>4.0000000000000001E-3</v>
      </c>
      <c r="D30" s="580">
        <v>1.2E-2</v>
      </c>
      <c r="E30" s="502"/>
      <c r="F30" s="580">
        <f t="shared" si="13"/>
        <v>4.0000000000000001E-3</v>
      </c>
      <c r="G30" s="580">
        <f>(1.2/100)*B30</f>
        <v>1.2E-2</v>
      </c>
      <c r="H30" s="1269"/>
      <c r="I30" s="580">
        <v>1</v>
      </c>
      <c r="J30" s="580">
        <v>4.4999999999999998E-2</v>
      </c>
      <c r="K30" s="580">
        <v>5.5E-2</v>
      </c>
      <c r="L30" s="502"/>
      <c r="M30" s="580">
        <f t="shared" si="14"/>
        <v>5.000000000000001E-3</v>
      </c>
      <c r="N30" s="580">
        <f>(1.2/100)*I30</f>
        <v>1.2E-2</v>
      </c>
      <c r="O30" s="1269"/>
      <c r="P30" s="425">
        <v>1</v>
      </c>
      <c r="Q30" s="588">
        <v>8.0000000000000002E-3</v>
      </c>
      <c r="R30" s="588">
        <v>-1.2E-2</v>
      </c>
      <c r="S30" s="588">
        <v>5.0000000000000001E-3</v>
      </c>
      <c r="T30" s="580">
        <f t="shared" si="15"/>
        <v>0.01</v>
      </c>
      <c r="U30" s="580">
        <f>(1.2/100)*P30</f>
        <v>1.2E-2</v>
      </c>
      <c r="V30" s="492"/>
      <c r="W30" s="492"/>
      <c r="X30" s="492"/>
    </row>
    <row r="31" spans="1:28">
      <c r="A31" s="1267"/>
      <c r="B31" s="580">
        <v>2</v>
      </c>
      <c r="C31" s="580">
        <v>7.0000000000000001E-3</v>
      </c>
      <c r="D31" s="580">
        <v>9.9999999999999995E-7</v>
      </c>
      <c r="E31" s="502"/>
      <c r="F31" s="580">
        <f t="shared" si="13"/>
        <v>3.4995E-3</v>
      </c>
      <c r="G31" s="580">
        <f>(1.2/100)*B31</f>
        <v>2.4E-2</v>
      </c>
      <c r="H31" s="1269"/>
      <c r="I31" s="580">
        <v>2</v>
      </c>
      <c r="J31" s="580">
        <v>9.9999999999999995E-7</v>
      </c>
      <c r="K31" s="580">
        <v>9.9999999999999995E-7</v>
      </c>
      <c r="L31" s="502"/>
      <c r="M31" s="580">
        <f t="shared" si="14"/>
        <v>0</v>
      </c>
      <c r="N31" s="580">
        <f>(0/100)*I31</f>
        <v>0</v>
      </c>
      <c r="O31" s="1269"/>
      <c r="P31" s="425">
        <v>2</v>
      </c>
      <c r="Q31" s="588">
        <v>1.4E-2</v>
      </c>
      <c r="R31" s="588">
        <v>-8.0000000000000002E-3</v>
      </c>
      <c r="S31" s="588">
        <v>1.4E-2</v>
      </c>
      <c r="T31" s="580">
        <f t="shared" si="15"/>
        <v>1.0999999999999999E-2</v>
      </c>
      <c r="U31" s="580">
        <f>(1.2/100)*P31</f>
        <v>2.4E-2</v>
      </c>
      <c r="V31" s="492"/>
      <c r="W31" s="492"/>
      <c r="X31" s="492"/>
    </row>
    <row r="32" spans="1:28">
      <c r="A32" s="589"/>
      <c r="T32" s="554"/>
      <c r="V32" s="492"/>
      <c r="W32" s="492"/>
      <c r="X32" s="492"/>
    </row>
    <row r="33" spans="1:24" ht="14.5">
      <c r="A33" s="1267" t="s">
        <v>509</v>
      </c>
      <c r="B33" s="1275" t="s">
        <v>510</v>
      </c>
      <c r="C33" s="1275"/>
      <c r="D33" s="1275"/>
      <c r="E33" s="1275"/>
      <c r="F33" s="1275"/>
      <c r="G33" s="1275"/>
      <c r="H33" s="1269" t="s">
        <v>511</v>
      </c>
      <c r="I33" s="1268" t="s">
        <v>512</v>
      </c>
      <c r="J33" s="1268"/>
      <c r="K33" s="1268"/>
      <c r="L33" s="1268"/>
      <c r="M33" s="1268"/>
      <c r="N33" s="1268"/>
      <c r="O33" s="1269" t="s">
        <v>513</v>
      </c>
      <c r="P33" s="1275" t="s">
        <v>514</v>
      </c>
      <c r="Q33" s="1275"/>
      <c r="R33" s="1275"/>
      <c r="S33" s="1275"/>
      <c r="T33" s="1275"/>
      <c r="U33" s="1275"/>
      <c r="V33" s="492"/>
      <c r="W33" s="492"/>
      <c r="X33" s="492"/>
    </row>
    <row r="34" spans="1:24" ht="14">
      <c r="A34" s="1267"/>
      <c r="B34" s="1271" t="s">
        <v>499</v>
      </c>
      <c r="C34" s="1271"/>
      <c r="D34" s="1271"/>
      <c r="E34" s="1271"/>
      <c r="F34" s="1271"/>
      <c r="G34" s="1271"/>
      <c r="H34" s="1269"/>
      <c r="I34" s="1271" t="s">
        <v>499</v>
      </c>
      <c r="J34" s="1271"/>
      <c r="K34" s="1271"/>
      <c r="L34" s="1271"/>
      <c r="M34" s="1271"/>
      <c r="N34" s="1271"/>
      <c r="O34" s="1269"/>
      <c r="P34" s="1271" t="s">
        <v>499</v>
      </c>
      <c r="Q34" s="1271"/>
      <c r="R34" s="1271"/>
      <c r="S34" s="1271"/>
      <c r="T34" s="1271"/>
      <c r="U34" s="1271"/>
      <c r="V34" s="492"/>
      <c r="W34" s="492"/>
      <c r="X34" s="492"/>
    </row>
    <row r="35" spans="1:24" ht="13">
      <c r="A35" s="1267"/>
      <c r="B35" s="1273" t="str">
        <f>B4</f>
        <v>Setting VAC</v>
      </c>
      <c r="C35" s="1273"/>
      <c r="D35" s="1273"/>
      <c r="E35" s="1273"/>
      <c r="F35" s="1273" t="s">
        <v>501</v>
      </c>
      <c r="G35" s="1273" t="s">
        <v>397</v>
      </c>
      <c r="H35" s="1269"/>
      <c r="I35" s="1273" t="str">
        <f>B35</f>
        <v>Setting VAC</v>
      </c>
      <c r="J35" s="1273"/>
      <c r="K35" s="1273"/>
      <c r="L35" s="1273"/>
      <c r="M35" s="1273" t="s">
        <v>501</v>
      </c>
      <c r="N35" s="1273" t="s">
        <v>397</v>
      </c>
      <c r="O35" s="1269"/>
      <c r="P35" s="1273" t="str">
        <f>I35</f>
        <v>Setting VAC</v>
      </c>
      <c r="Q35" s="1273"/>
      <c r="R35" s="1273"/>
      <c r="S35" s="1273"/>
      <c r="T35" s="1273" t="s">
        <v>501</v>
      </c>
      <c r="U35" s="1273" t="s">
        <v>397</v>
      </c>
      <c r="V35" s="492"/>
      <c r="W35" s="492"/>
      <c r="X35" s="492"/>
    </row>
    <row r="36" spans="1:24" ht="14">
      <c r="A36" s="1267"/>
      <c r="B36" s="576" t="s">
        <v>502</v>
      </c>
      <c r="C36" s="577">
        <v>2021</v>
      </c>
      <c r="D36" s="577">
        <v>2019</v>
      </c>
      <c r="E36" s="577">
        <v>2016</v>
      </c>
      <c r="F36" s="1273"/>
      <c r="G36" s="1273"/>
      <c r="H36" s="1269"/>
      <c r="I36" s="576" t="s">
        <v>502</v>
      </c>
      <c r="J36" s="577">
        <v>2021</v>
      </c>
      <c r="K36" s="577">
        <v>2019</v>
      </c>
      <c r="L36" s="577">
        <v>2016</v>
      </c>
      <c r="M36" s="1273"/>
      <c r="N36" s="1273"/>
      <c r="O36" s="1269"/>
      <c r="P36" s="576" t="s">
        <v>502</v>
      </c>
      <c r="Q36" s="577">
        <v>2023</v>
      </c>
      <c r="R36" s="577">
        <v>2022</v>
      </c>
      <c r="S36" s="577">
        <v>2019</v>
      </c>
      <c r="T36" s="1273"/>
      <c r="U36" s="1273"/>
      <c r="V36" s="579"/>
      <c r="W36" s="579"/>
      <c r="X36" s="492"/>
    </row>
    <row r="37" spans="1:24">
      <c r="A37" s="1267"/>
      <c r="B37" s="580">
        <v>150</v>
      </c>
      <c r="C37" s="580">
        <v>-0.05</v>
      </c>
      <c r="D37" s="580">
        <v>0.11</v>
      </c>
      <c r="E37" s="502"/>
      <c r="F37" s="580">
        <f>0.5*(MAX(C37:E37)-MIN(C37:E37))</f>
        <v>0.08</v>
      </c>
      <c r="G37" s="580">
        <f t="shared" ref="G37:G42" si="16">(1.2/100)*B37</f>
        <v>1.8</v>
      </c>
      <c r="H37" s="1269"/>
      <c r="I37" s="580">
        <v>150</v>
      </c>
      <c r="J37" s="580">
        <v>0.25</v>
      </c>
      <c r="K37" s="580">
        <v>0.02</v>
      </c>
      <c r="L37" s="502"/>
      <c r="M37" s="580">
        <f>0.5*(MAX(J37:L37)-MIN(J37:L37))</f>
        <v>0.115</v>
      </c>
      <c r="N37" s="580">
        <f t="shared" ref="N37:N42" si="17">(1.2/100)*I37</f>
        <v>1.8</v>
      </c>
      <c r="O37" s="1269"/>
      <c r="P37" s="580">
        <v>150</v>
      </c>
      <c r="Q37" s="580">
        <v>0.14000000000000001</v>
      </c>
      <c r="R37" s="580">
        <v>0.15</v>
      </c>
      <c r="S37" s="502">
        <v>-0.15</v>
      </c>
      <c r="T37" s="580">
        <f>0.5*(MAX(Q37:S37)-MIN(Q37:S37))</f>
        <v>0.15</v>
      </c>
      <c r="U37" s="580">
        <f>(1.2/100)*P37</f>
        <v>1.8</v>
      </c>
      <c r="V37" s="584"/>
      <c r="W37" s="585"/>
      <c r="X37" s="492"/>
    </row>
    <row r="38" spans="1:24">
      <c r="A38" s="1267"/>
      <c r="B38" s="580">
        <v>180</v>
      </c>
      <c r="C38" s="580">
        <v>-0.04</v>
      </c>
      <c r="D38" s="580">
        <v>0.03</v>
      </c>
      <c r="E38" s="502"/>
      <c r="F38" s="580">
        <f t="shared" ref="F38:F42" si="18">0.5*(MAX(C38:E38)-MIN(C38:E38))</f>
        <v>3.5000000000000003E-2</v>
      </c>
      <c r="G38" s="580">
        <f t="shared" si="16"/>
        <v>2.16</v>
      </c>
      <c r="H38" s="1269"/>
      <c r="I38" s="580">
        <v>180</v>
      </c>
      <c r="J38" s="580">
        <v>0.09</v>
      </c>
      <c r="K38" s="580">
        <v>0.1</v>
      </c>
      <c r="L38" s="502"/>
      <c r="M38" s="580">
        <f t="shared" ref="M38:M42" si="19">0.5*(MAX(J38:L38)-MIN(J38:L38))</f>
        <v>5.0000000000000044E-3</v>
      </c>
      <c r="N38" s="580">
        <f t="shared" si="17"/>
        <v>2.16</v>
      </c>
      <c r="O38" s="1269"/>
      <c r="P38" s="580">
        <v>180</v>
      </c>
      <c r="Q38" s="580">
        <v>0.17</v>
      </c>
      <c r="R38" s="580">
        <v>0.17</v>
      </c>
      <c r="S38" s="502">
        <v>-0.11</v>
      </c>
      <c r="T38" s="580">
        <f t="shared" ref="T38:T42" si="20">0.5*(MAX(Q38:S38)-MIN(Q38:S38))</f>
        <v>0.14000000000000001</v>
      </c>
      <c r="U38" s="580">
        <f>(1.2/100)*P38</f>
        <v>2.16</v>
      </c>
      <c r="V38" s="584"/>
      <c r="W38" s="585"/>
      <c r="X38" s="492"/>
    </row>
    <row r="39" spans="1:24">
      <c r="A39" s="1267"/>
      <c r="B39" s="580">
        <v>200</v>
      </c>
      <c r="C39" s="580">
        <v>-0.67</v>
      </c>
      <c r="D39" s="580">
        <v>0.05</v>
      </c>
      <c r="E39" s="502"/>
      <c r="F39" s="580">
        <f t="shared" si="18"/>
        <v>0.36000000000000004</v>
      </c>
      <c r="G39" s="580">
        <f t="shared" si="16"/>
        <v>2.4</v>
      </c>
      <c r="H39" s="1269"/>
      <c r="I39" s="580">
        <v>200</v>
      </c>
      <c r="J39" s="580">
        <v>0.18</v>
      </c>
      <c r="K39" s="580">
        <v>-0.03</v>
      </c>
      <c r="L39" s="502"/>
      <c r="M39" s="580">
        <f t="shared" si="19"/>
        <v>0.105</v>
      </c>
      <c r="N39" s="580">
        <f t="shared" si="17"/>
        <v>2.4</v>
      </c>
      <c r="O39" s="1269"/>
      <c r="P39" s="580">
        <v>200</v>
      </c>
      <c r="Q39" s="580">
        <v>0.08</v>
      </c>
      <c r="R39" s="580">
        <v>0.1</v>
      </c>
      <c r="S39" s="502">
        <v>-0.1</v>
      </c>
      <c r="T39" s="580">
        <f t="shared" si="20"/>
        <v>0.1</v>
      </c>
      <c r="U39" s="580">
        <f>(1.2/100)*P39</f>
        <v>2.4</v>
      </c>
      <c r="V39" s="584"/>
      <c r="W39" s="585"/>
      <c r="X39" s="492"/>
    </row>
    <row r="40" spans="1:24">
      <c r="A40" s="1267"/>
      <c r="B40" s="580">
        <v>220</v>
      </c>
      <c r="C40" s="580">
        <v>9.9999999999999995E-7</v>
      </c>
      <c r="D40" s="580">
        <v>0.1</v>
      </c>
      <c r="E40" s="502"/>
      <c r="F40" s="580">
        <f t="shared" si="18"/>
        <v>4.9999500000000002E-2</v>
      </c>
      <c r="G40" s="580">
        <f t="shared" si="16"/>
        <v>2.64</v>
      </c>
      <c r="H40" s="1269"/>
      <c r="I40" s="580">
        <v>220</v>
      </c>
      <c r="J40" s="580">
        <v>0.56000000000000005</v>
      </c>
      <c r="K40" s="580">
        <v>0.38</v>
      </c>
      <c r="L40" s="502"/>
      <c r="M40" s="580">
        <f t="shared" si="19"/>
        <v>9.0000000000000024E-2</v>
      </c>
      <c r="N40" s="580">
        <f t="shared" si="17"/>
        <v>2.64</v>
      </c>
      <c r="O40" s="1269"/>
      <c r="P40" s="580">
        <v>220</v>
      </c>
      <c r="Q40" s="580">
        <v>0.06</v>
      </c>
      <c r="R40" s="580">
        <v>7.0000000000000007E-2</v>
      </c>
      <c r="S40" s="502">
        <v>-0.13</v>
      </c>
      <c r="T40" s="580">
        <f t="shared" si="20"/>
        <v>0.1</v>
      </c>
      <c r="U40" s="580">
        <f>(1.2/100)*P40</f>
        <v>2.64</v>
      </c>
      <c r="V40" s="584"/>
      <c r="W40" s="585"/>
      <c r="X40" s="492"/>
    </row>
    <row r="41" spans="1:24">
      <c r="A41" s="1267"/>
      <c r="B41" s="580">
        <v>230</v>
      </c>
      <c r="C41" s="580">
        <v>-0.11</v>
      </c>
      <c r="D41" s="580">
        <v>1.1100000000000001</v>
      </c>
      <c r="E41" s="502"/>
      <c r="F41" s="580">
        <f t="shared" si="18"/>
        <v>0.6100000000000001</v>
      </c>
      <c r="G41" s="580">
        <f t="shared" si="16"/>
        <v>2.7600000000000002</v>
      </c>
      <c r="H41" s="1269"/>
      <c r="I41" s="580">
        <v>230</v>
      </c>
      <c r="J41" s="580">
        <v>0.73</v>
      </c>
      <c r="K41" s="580">
        <v>-0.16</v>
      </c>
      <c r="L41" s="502"/>
      <c r="M41" s="580">
        <f t="shared" si="19"/>
        <v>0.44500000000000001</v>
      </c>
      <c r="N41" s="580">
        <f t="shared" si="17"/>
        <v>2.7600000000000002</v>
      </c>
      <c r="O41" s="1269"/>
      <c r="P41" s="580">
        <v>230</v>
      </c>
      <c r="Q41" s="580">
        <v>0.04</v>
      </c>
      <c r="R41" s="580">
        <v>0.08</v>
      </c>
      <c r="S41" s="502">
        <v>-0.15</v>
      </c>
      <c r="T41" s="580">
        <f t="shared" si="20"/>
        <v>0.11499999999999999</v>
      </c>
      <c r="U41" s="580">
        <f>(1.2/100)*P41</f>
        <v>2.7600000000000002</v>
      </c>
      <c r="V41" s="584"/>
      <c r="W41" s="585"/>
      <c r="X41" s="492"/>
    </row>
    <row r="42" spans="1:24">
      <c r="A42" s="1267"/>
      <c r="B42" s="580">
        <v>250</v>
      </c>
      <c r="C42" s="580">
        <v>9.9999999999999995E-7</v>
      </c>
      <c r="D42" s="580">
        <v>9.9999999999999995E-7</v>
      </c>
      <c r="E42" s="502"/>
      <c r="F42" s="580">
        <f t="shared" si="18"/>
        <v>0</v>
      </c>
      <c r="G42" s="580">
        <f t="shared" si="16"/>
        <v>3</v>
      </c>
      <c r="H42" s="1269"/>
      <c r="I42" s="580">
        <v>250</v>
      </c>
      <c r="J42" s="580">
        <v>9.9999999999999995E-7</v>
      </c>
      <c r="K42" s="580">
        <v>9.9999999999999995E-7</v>
      </c>
      <c r="L42" s="502"/>
      <c r="M42" s="580">
        <f t="shared" si="19"/>
        <v>0</v>
      </c>
      <c r="N42" s="580">
        <f t="shared" si="17"/>
        <v>3</v>
      </c>
      <c r="O42" s="1269"/>
      <c r="P42" s="580">
        <v>250</v>
      </c>
      <c r="Q42" s="580">
        <v>9.9999999999999995E-7</v>
      </c>
      <c r="R42" s="580">
        <v>9.9999999999999995E-7</v>
      </c>
      <c r="S42" s="502">
        <v>9.9999999999999995E-7</v>
      </c>
      <c r="T42" s="580">
        <f t="shared" si="20"/>
        <v>0</v>
      </c>
      <c r="U42" s="580">
        <f>(0/100)*P42</f>
        <v>0</v>
      </c>
      <c r="V42" s="584"/>
      <c r="W42" s="585"/>
      <c r="X42" s="492"/>
    </row>
    <row r="43" spans="1:24" ht="12.75" customHeight="1">
      <c r="A43" s="1267"/>
      <c r="B43" s="1274" t="str">
        <f>B12</f>
        <v>Current Leakage</v>
      </c>
      <c r="C43" s="1274"/>
      <c r="D43" s="1274"/>
      <c r="E43" s="1274"/>
      <c r="F43" s="1273" t="s">
        <v>501</v>
      </c>
      <c r="G43" s="1273" t="s">
        <v>397</v>
      </c>
      <c r="H43" s="1269"/>
      <c r="I43" s="1274" t="str">
        <f>B43</f>
        <v>Current Leakage</v>
      </c>
      <c r="J43" s="1274"/>
      <c r="K43" s="1274"/>
      <c r="L43" s="1274"/>
      <c r="M43" s="1273" t="s">
        <v>501</v>
      </c>
      <c r="N43" s="1273" t="s">
        <v>397</v>
      </c>
      <c r="O43" s="1269"/>
      <c r="P43" s="1274" t="str">
        <f>I43</f>
        <v>Current Leakage</v>
      </c>
      <c r="Q43" s="1274"/>
      <c r="R43" s="1274"/>
      <c r="S43" s="1274"/>
      <c r="T43" s="1273" t="s">
        <v>501</v>
      </c>
      <c r="U43" s="1273" t="s">
        <v>397</v>
      </c>
      <c r="V43" s="492"/>
      <c r="W43" s="492"/>
      <c r="X43" s="492"/>
    </row>
    <row r="44" spans="1:24" ht="14">
      <c r="A44" s="1267"/>
      <c r="B44" s="576" t="s">
        <v>504</v>
      </c>
      <c r="C44" s="577">
        <f>C36</f>
        <v>2021</v>
      </c>
      <c r="D44" s="577">
        <f>D36</f>
        <v>2019</v>
      </c>
      <c r="E44" s="577">
        <f>E36</f>
        <v>2016</v>
      </c>
      <c r="F44" s="1273"/>
      <c r="G44" s="1273"/>
      <c r="H44" s="1269"/>
      <c r="I44" s="576" t="s">
        <v>504</v>
      </c>
      <c r="J44" s="577">
        <f>J36</f>
        <v>2021</v>
      </c>
      <c r="K44" s="577">
        <f>K36</f>
        <v>2019</v>
      </c>
      <c r="L44" s="577">
        <f>L36</f>
        <v>2016</v>
      </c>
      <c r="M44" s="1273"/>
      <c r="N44" s="1273"/>
      <c r="O44" s="1269"/>
      <c r="P44" s="576" t="s">
        <v>504</v>
      </c>
      <c r="Q44" s="577">
        <f>Q36</f>
        <v>2023</v>
      </c>
      <c r="R44" s="577">
        <f>R36</f>
        <v>2022</v>
      </c>
      <c r="S44" s="577">
        <f>S36</f>
        <v>2019</v>
      </c>
      <c r="T44" s="1273"/>
      <c r="U44" s="1273"/>
      <c r="V44" s="492"/>
      <c r="W44" s="492"/>
      <c r="X44" s="492"/>
    </row>
    <row r="45" spans="1:24">
      <c r="A45" s="1267"/>
      <c r="B45" s="580">
        <v>0</v>
      </c>
      <c r="C45" s="580">
        <v>9.9999999999999995E-7</v>
      </c>
      <c r="D45" s="580">
        <v>9.9999999999999995E-7</v>
      </c>
      <c r="E45" s="502"/>
      <c r="F45" s="580">
        <f>0.5*(MAX(C45:E45)-MIN(C45:E45))</f>
        <v>0</v>
      </c>
      <c r="G45" s="580">
        <f t="shared" ref="G45:G50" si="21">(0.59/100)*B45</f>
        <v>0</v>
      </c>
      <c r="H45" s="1269"/>
      <c r="I45" s="580">
        <v>0</v>
      </c>
      <c r="J45" s="580">
        <v>9.9999999999999995E-7</v>
      </c>
      <c r="K45" s="580">
        <v>9.9999999999999995E-7</v>
      </c>
      <c r="L45" s="502"/>
      <c r="M45" s="580">
        <f>0.5*(MAX(J45:L45)-MIN(J45:L45))</f>
        <v>0</v>
      </c>
      <c r="N45" s="580">
        <f t="shared" ref="N45:N50" si="22">(0.59/100)*I45</f>
        <v>0</v>
      </c>
      <c r="O45" s="1269"/>
      <c r="P45" s="580">
        <v>0</v>
      </c>
      <c r="Q45" s="580">
        <v>9.9999999999999995E-7</v>
      </c>
      <c r="R45" s="580">
        <v>9.9999999999999995E-7</v>
      </c>
      <c r="S45" s="502">
        <v>9.9999999999999995E-7</v>
      </c>
      <c r="T45" s="580">
        <f>0.5*(MAX(Q45:S45)-MIN(Q45:S45))</f>
        <v>0</v>
      </c>
      <c r="U45" s="580">
        <f t="shared" ref="U45:U50" si="23">(0.59/100)*P45</f>
        <v>0</v>
      </c>
    </row>
    <row r="46" spans="1:24">
      <c r="A46" s="1267"/>
      <c r="B46" s="580">
        <v>50</v>
      </c>
      <c r="C46" s="580">
        <v>0.4</v>
      </c>
      <c r="D46" s="580">
        <v>-0.28999999999999998</v>
      </c>
      <c r="E46" s="502"/>
      <c r="F46" s="580">
        <f t="shared" ref="F46:F50" si="24">0.5*(MAX(C46:E46)-MIN(C46:E46))</f>
        <v>0.34499999999999997</v>
      </c>
      <c r="G46" s="580">
        <f t="shared" si="21"/>
        <v>0.29499999999999998</v>
      </c>
      <c r="H46" s="1269"/>
      <c r="I46" s="580">
        <v>50</v>
      </c>
      <c r="J46" s="580">
        <v>1.2</v>
      </c>
      <c r="K46" s="580">
        <v>-0.33</v>
      </c>
      <c r="L46" s="502"/>
      <c r="M46" s="580">
        <f t="shared" ref="M46:M50" si="25">0.5*(MAX(J46:L46)-MIN(J46:L46))</f>
        <v>0.76500000000000001</v>
      </c>
      <c r="N46" s="580">
        <f t="shared" si="22"/>
        <v>0.29499999999999998</v>
      </c>
      <c r="O46" s="1269"/>
      <c r="P46" s="580">
        <v>50</v>
      </c>
      <c r="Q46" s="580">
        <v>4.5</v>
      </c>
      <c r="R46" s="580">
        <v>19.100000000000001</v>
      </c>
      <c r="S46" s="502">
        <v>0.02</v>
      </c>
      <c r="T46" s="580">
        <f t="shared" ref="T46:T50" si="26">0.5*(MAX(Q46:S46)-MIN(Q46:S46))</f>
        <v>9.5400000000000009</v>
      </c>
      <c r="U46" s="580">
        <f t="shared" si="23"/>
        <v>0.29499999999999998</v>
      </c>
    </row>
    <row r="47" spans="1:24">
      <c r="A47" s="1267"/>
      <c r="B47" s="580">
        <v>100</v>
      </c>
      <c r="C47" s="580">
        <v>0.4</v>
      </c>
      <c r="D47" s="580">
        <v>-0.35</v>
      </c>
      <c r="E47" s="502"/>
      <c r="F47" s="580">
        <f t="shared" si="24"/>
        <v>0.375</v>
      </c>
      <c r="G47" s="580">
        <f t="shared" si="21"/>
        <v>0.59</v>
      </c>
      <c r="H47" s="1269"/>
      <c r="I47" s="580">
        <v>100</v>
      </c>
      <c r="J47" s="580">
        <v>3.9</v>
      </c>
      <c r="K47" s="580">
        <v>-0.42</v>
      </c>
      <c r="L47" s="502"/>
      <c r="M47" s="580">
        <f t="shared" si="25"/>
        <v>2.16</v>
      </c>
      <c r="N47" s="580">
        <f t="shared" si="22"/>
        <v>0.59</v>
      </c>
      <c r="O47" s="1269"/>
      <c r="P47" s="580">
        <v>100</v>
      </c>
      <c r="Q47" s="580">
        <v>6.2</v>
      </c>
      <c r="R47" s="580">
        <v>18.399999999999999</v>
      </c>
      <c r="S47" s="502">
        <v>0.22</v>
      </c>
      <c r="T47" s="580">
        <f t="shared" si="26"/>
        <v>9.09</v>
      </c>
      <c r="U47" s="580">
        <f t="shared" si="23"/>
        <v>0.59</v>
      </c>
    </row>
    <row r="48" spans="1:24">
      <c r="A48" s="1267"/>
      <c r="B48" s="580">
        <v>200</v>
      </c>
      <c r="C48" s="580">
        <v>0</v>
      </c>
      <c r="D48" s="580">
        <v>0.8</v>
      </c>
      <c r="E48" s="502"/>
      <c r="F48" s="580">
        <f t="shared" si="24"/>
        <v>0.4</v>
      </c>
      <c r="G48" s="580">
        <f t="shared" si="21"/>
        <v>1.18</v>
      </c>
      <c r="H48" s="1269"/>
      <c r="I48" s="580">
        <v>200</v>
      </c>
      <c r="J48" s="580">
        <v>0</v>
      </c>
      <c r="K48" s="580">
        <v>1.3</v>
      </c>
      <c r="L48" s="502"/>
      <c r="M48" s="580">
        <f t="shared" si="25"/>
        <v>0.65</v>
      </c>
      <c r="N48" s="580">
        <f t="shared" si="22"/>
        <v>1.18</v>
      </c>
      <c r="O48" s="1269"/>
      <c r="P48" s="580">
        <v>200</v>
      </c>
      <c r="Q48" s="580">
        <v>9.4</v>
      </c>
      <c r="R48" s="580">
        <v>14.4</v>
      </c>
      <c r="S48" s="502">
        <v>0.8</v>
      </c>
      <c r="T48" s="580">
        <f t="shared" si="26"/>
        <v>6.8</v>
      </c>
      <c r="U48" s="580">
        <f t="shared" si="23"/>
        <v>1.18</v>
      </c>
    </row>
    <row r="49" spans="1:21">
      <c r="A49" s="1267"/>
      <c r="B49" s="580">
        <v>500</v>
      </c>
      <c r="C49" s="580">
        <v>1.5</v>
      </c>
      <c r="D49" s="580">
        <v>1.2</v>
      </c>
      <c r="E49" s="502"/>
      <c r="F49" s="580">
        <f t="shared" si="24"/>
        <v>0.15000000000000002</v>
      </c>
      <c r="G49" s="580">
        <f t="shared" si="21"/>
        <v>2.9499999999999997</v>
      </c>
      <c r="H49" s="1269"/>
      <c r="I49" s="580">
        <v>500</v>
      </c>
      <c r="J49" s="580">
        <v>9.3000000000000007</v>
      </c>
      <c r="K49" s="580">
        <v>0.7</v>
      </c>
      <c r="L49" s="502"/>
      <c r="M49" s="580">
        <f t="shared" si="25"/>
        <v>4.3000000000000007</v>
      </c>
      <c r="N49" s="580">
        <f t="shared" si="22"/>
        <v>2.9499999999999997</v>
      </c>
      <c r="O49" s="1269"/>
      <c r="P49" s="580">
        <v>500</v>
      </c>
      <c r="Q49" s="580">
        <v>10.8</v>
      </c>
      <c r="R49" s="580">
        <v>6.2</v>
      </c>
      <c r="S49" s="502">
        <v>1.1000000000000001</v>
      </c>
      <c r="T49" s="580">
        <f t="shared" si="26"/>
        <v>4.8500000000000005</v>
      </c>
      <c r="U49" s="580">
        <f t="shared" si="23"/>
        <v>2.9499999999999997</v>
      </c>
    </row>
    <row r="50" spans="1:21">
      <c r="A50" s="1267"/>
      <c r="B50" s="580">
        <v>1000</v>
      </c>
      <c r="C50" s="580">
        <v>2</v>
      </c>
      <c r="D50" s="580">
        <v>2</v>
      </c>
      <c r="E50" s="502"/>
      <c r="F50" s="580">
        <f t="shared" si="24"/>
        <v>0</v>
      </c>
      <c r="G50" s="580">
        <f t="shared" si="21"/>
        <v>5.8999999999999995</v>
      </c>
      <c r="H50" s="1269"/>
      <c r="I50" s="580">
        <v>1000</v>
      </c>
      <c r="J50" s="580">
        <v>-110</v>
      </c>
      <c r="K50" s="580">
        <v>9.9999999999999995E-7</v>
      </c>
      <c r="L50" s="502"/>
      <c r="M50" s="580">
        <f t="shared" si="25"/>
        <v>55.000000499999999</v>
      </c>
      <c r="N50" s="580">
        <f t="shared" si="22"/>
        <v>5.8999999999999995</v>
      </c>
      <c r="O50" s="1269"/>
      <c r="P50" s="580">
        <v>1000</v>
      </c>
      <c r="Q50" s="580">
        <v>-88</v>
      </c>
      <c r="R50" s="580">
        <v>-11</v>
      </c>
      <c r="S50" s="502">
        <v>9.9999999999999995E-7</v>
      </c>
      <c r="T50" s="580">
        <f t="shared" si="26"/>
        <v>44.000000499999999</v>
      </c>
      <c r="U50" s="580">
        <f t="shared" si="23"/>
        <v>5.8999999999999995</v>
      </c>
    </row>
    <row r="51" spans="1:21" ht="13">
      <c r="A51" s="1267"/>
      <c r="B51" s="1274" t="str">
        <f>B20</f>
        <v>Main-PE</v>
      </c>
      <c r="C51" s="1274"/>
      <c r="D51" s="1274"/>
      <c r="E51" s="1274"/>
      <c r="F51" s="1273" t="s">
        <v>501</v>
      </c>
      <c r="G51" s="1273" t="s">
        <v>397</v>
      </c>
      <c r="H51" s="1269"/>
      <c r="I51" s="1274" t="str">
        <f>B51</f>
        <v>Main-PE</v>
      </c>
      <c r="J51" s="1274"/>
      <c r="K51" s="1274"/>
      <c r="L51" s="1274"/>
      <c r="M51" s="1273" t="s">
        <v>501</v>
      </c>
      <c r="N51" s="1273" t="s">
        <v>397</v>
      </c>
      <c r="O51" s="1269"/>
      <c r="P51" s="1274" t="str">
        <f>I51</f>
        <v>Main-PE</v>
      </c>
      <c r="Q51" s="1274"/>
      <c r="R51" s="1274"/>
      <c r="S51" s="1274"/>
      <c r="T51" s="1273" t="s">
        <v>501</v>
      </c>
      <c r="U51" s="1273" t="s">
        <v>397</v>
      </c>
    </row>
    <row r="52" spans="1:21" ht="14.5">
      <c r="A52" s="1267"/>
      <c r="B52" s="576" t="s">
        <v>506</v>
      </c>
      <c r="C52" s="577">
        <f>C36</f>
        <v>2021</v>
      </c>
      <c r="D52" s="577">
        <f>D36</f>
        <v>2019</v>
      </c>
      <c r="E52" s="577">
        <f>E36</f>
        <v>2016</v>
      </c>
      <c r="F52" s="1273"/>
      <c r="G52" s="1273"/>
      <c r="H52" s="1269"/>
      <c r="I52" s="576" t="s">
        <v>506</v>
      </c>
      <c r="J52" s="577">
        <f>J36</f>
        <v>2021</v>
      </c>
      <c r="K52" s="577">
        <f>K36</f>
        <v>2019</v>
      </c>
      <c r="L52" s="577">
        <f>L36</f>
        <v>2016</v>
      </c>
      <c r="M52" s="1273"/>
      <c r="N52" s="1273"/>
      <c r="O52" s="1269"/>
      <c r="P52" s="576" t="s">
        <v>506</v>
      </c>
      <c r="Q52" s="577">
        <f>Q36</f>
        <v>2023</v>
      </c>
      <c r="R52" s="577">
        <f>R36</f>
        <v>2022</v>
      </c>
      <c r="S52" s="577">
        <f>S36</f>
        <v>2019</v>
      </c>
      <c r="T52" s="1273"/>
      <c r="U52" s="1273"/>
    </row>
    <row r="53" spans="1:21">
      <c r="A53" s="1267"/>
      <c r="B53" s="580">
        <v>10</v>
      </c>
      <c r="C53" s="580">
        <v>9.9999999999999995E-7</v>
      </c>
      <c r="D53" s="580">
        <v>0.1</v>
      </c>
      <c r="E53" s="580"/>
      <c r="F53" s="580">
        <f>0.5*(MAX(C53:E53)-MIN(C53:E53))</f>
        <v>4.9999500000000002E-2</v>
      </c>
      <c r="G53" s="580">
        <f>(1.7/100)*B53</f>
        <v>0.17</v>
      </c>
      <c r="H53" s="1269"/>
      <c r="I53" s="580">
        <v>10</v>
      </c>
      <c r="J53" s="580">
        <v>9.9999999999999995E-7</v>
      </c>
      <c r="K53" s="580">
        <v>0.1</v>
      </c>
      <c r="L53" s="580"/>
      <c r="M53" s="580">
        <f>0.5*(MAX(J53:L53)-MIN(J53:L53))</f>
        <v>4.9999500000000002E-2</v>
      </c>
      <c r="N53" s="580">
        <f>(1.7/100)*I53</f>
        <v>0.17</v>
      </c>
      <c r="O53" s="1269"/>
      <c r="P53" s="580">
        <v>10</v>
      </c>
      <c r="Q53" s="580">
        <v>0</v>
      </c>
      <c r="R53" s="580">
        <v>0.1</v>
      </c>
      <c r="S53" s="580">
        <v>0.1</v>
      </c>
      <c r="T53" s="580">
        <f>0.5*(MAX(Q53:S53)-MIN(Q53:S53))</f>
        <v>0.05</v>
      </c>
      <c r="U53" s="580">
        <f>(1.7/100)*P53</f>
        <v>0.17</v>
      </c>
    </row>
    <row r="54" spans="1:21">
      <c r="A54" s="1267"/>
      <c r="B54" s="580">
        <v>20</v>
      </c>
      <c r="C54" s="580">
        <v>0.1</v>
      </c>
      <c r="D54" s="580">
        <v>0.2</v>
      </c>
      <c r="E54" s="580"/>
      <c r="F54" s="580">
        <f t="shared" ref="F54:F56" si="27">0.5*(MAX(C54:E54)-MIN(C54:E54))</f>
        <v>0.05</v>
      </c>
      <c r="G54" s="580">
        <f>(1.7/100)*B54</f>
        <v>0.34</v>
      </c>
      <c r="H54" s="1269"/>
      <c r="I54" s="580">
        <v>20</v>
      </c>
      <c r="J54" s="580">
        <v>0.1</v>
      </c>
      <c r="K54" s="580">
        <v>0.1</v>
      </c>
      <c r="L54" s="580"/>
      <c r="M54" s="580">
        <f t="shared" ref="M54:M56" si="28">0.5*(MAX(J54:L54)-MIN(J54:L54))</f>
        <v>0</v>
      </c>
      <c r="N54" s="580">
        <f>(1.7/100)*I54</f>
        <v>0.34</v>
      </c>
      <c r="O54" s="1269"/>
      <c r="P54" s="580">
        <v>20</v>
      </c>
      <c r="Q54" s="580">
        <v>0.1</v>
      </c>
      <c r="R54" s="580">
        <v>0.1</v>
      </c>
      <c r="S54" s="580">
        <v>0.1</v>
      </c>
      <c r="T54" s="580">
        <f t="shared" ref="T54:T56" si="29">0.5*(MAX(Q54:S54)-MIN(Q54:S54))</f>
        <v>0</v>
      </c>
      <c r="U54" s="580">
        <f>(1.7/100)*P54</f>
        <v>0.34</v>
      </c>
    </row>
    <row r="55" spans="1:21">
      <c r="A55" s="1267"/>
      <c r="B55" s="580">
        <v>50</v>
      </c>
      <c r="C55" s="580">
        <v>0.4</v>
      </c>
      <c r="D55" s="580">
        <v>0.5</v>
      </c>
      <c r="E55" s="580"/>
      <c r="F55" s="580">
        <f t="shared" si="27"/>
        <v>4.9999999999999989E-2</v>
      </c>
      <c r="G55" s="580">
        <f>(1.7/100)*B55</f>
        <v>0.85000000000000009</v>
      </c>
      <c r="H55" s="1269"/>
      <c r="I55" s="580">
        <v>50</v>
      </c>
      <c r="J55" s="580">
        <v>0.6</v>
      </c>
      <c r="K55" s="580">
        <v>0.4</v>
      </c>
      <c r="L55" s="580"/>
      <c r="M55" s="580">
        <f t="shared" si="28"/>
        <v>9.9999999999999978E-2</v>
      </c>
      <c r="N55" s="580">
        <f>(1.7/100)*I55</f>
        <v>0.85000000000000009</v>
      </c>
      <c r="O55" s="1269"/>
      <c r="P55" s="580">
        <v>50</v>
      </c>
      <c r="Q55" s="580">
        <v>0.1</v>
      </c>
      <c r="R55" s="580">
        <v>0.3</v>
      </c>
      <c r="S55" s="580">
        <v>0.3</v>
      </c>
      <c r="T55" s="580">
        <f t="shared" si="29"/>
        <v>9.9999999999999992E-2</v>
      </c>
      <c r="U55" s="580">
        <f>(1.7/100)*P55</f>
        <v>0.85000000000000009</v>
      </c>
    </row>
    <row r="56" spans="1:21">
      <c r="A56" s="1267"/>
      <c r="B56" s="580">
        <v>100</v>
      </c>
      <c r="C56" s="580">
        <v>1.4</v>
      </c>
      <c r="D56" s="580">
        <v>1</v>
      </c>
      <c r="E56" s="580"/>
      <c r="F56" s="580">
        <f t="shared" si="27"/>
        <v>0.19999999999999996</v>
      </c>
      <c r="G56" s="580">
        <f>(1.7/100)*B56</f>
        <v>1.7000000000000002</v>
      </c>
      <c r="H56" s="1269"/>
      <c r="I56" s="580">
        <v>100</v>
      </c>
      <c r="J56" s="580">
        <v>1.5</v>
      </c>
      <c r="K56" s="580">
        <v>0.8</v>
      </c>
      <c r="L56" s="580"/>
      <c r="M56" s="580">
        <f t="shared" si="28"/>
        <v>0.35</v>
      </c>
      <c r="N56" s="580">
        <f>(1.7/100)*I56</f>
        <v>1.7000000000000002</v>
      </c>
      <c r="O56" s="1269"/>
      <c r="P56" s="580">
        <v>100</v>
      </c>
      <c r="Q56" s="580">
        <v>2</v>
      </c>
      <c r="R56" s="580">
        <v>0.6</v>
      </c>
      <c r="S56" s="580">
        <v>0.6</v>
      </c>
      <c r="T56" s="580">
        <f t="shared" si="29"/>
        <v>0.7</v>
      </c>
      <c r="U56" s="580">
        <f>(1.7/100)*P56</f>
        <v>1.7000000000000002</v>
      </c>
    </row>
    <row r="57" spans="1:21" ht="12.75" customHeight="1">
      <c r="A57" s="1267"/>
      <c r="B57" s="1274" t="str">
        <f>B26</f>
        <v>Resistance</v>
      </c>
      <c r="C57" s="1274"/>
      <c r="D57" s="1274"/>
      <c r="E57" s="1274"/>
      <c r="F57" s="1273" t="s">
        <v>501</v>
      </c>
      <c r="G57" s="1273" t="s">
        <v>397</v>
      </c>
      <c r="H57" s="1269"/>
      <c r="I57" s="1274" t="str">
        <f>B57</f>
        <v>Resistance</v>
      </c>
      <c r="J57" s="1274"/>
      <c r="K57" s="1274"/>
      <c r="L57" s="1274"/>
      <c r="M57" s="1273" t="s">
        <v>501</v>
      </c>
      <c r="N57" s="1273" t="s">
        <v>397</v>
      </c>
      <c r="O57" s="1269"/>
      <c r="P57" s="1274" t="str">
        <f>I57</f>
        <v>Resistance</v>
      </c>
      <c r="Q57" s="1274"/>
      <c r="R57" s="1274"/>
      <c r="S57" s="1274"/>
      <c r="T57" s="1273" t="s">
        <v>501</v>
      </c>
      <c r="U57" s="1273" t="s">
        <v>397</v>
      </c>
    </row>
    <row r="58" spans="1:21" ht="14.5">
      <c r="A58" s="1267"/>
      <c r="B58" s="576" t="s">
        <v>508</v>
      </c>
      <c r="C58" s="577">
        <f>C36</f>
        <v>2021</v>
      </c>
      <c r="D58" s="577">
        <f>D36</f>
        <v>2019</v>
      </c>
      <c r="E58" s="577">
        <f>E36</f>
        <v>2016</v>
      </c>
      <c r="F58" s="1273"/>
      <c r="G58" s="1273"/>
      <c r="H58" s="1269"/>
      <c r="I58" s="576" t="s">
        <v>508</v>
      </c>
      <c r="J58" s="577">
        <f>J36</f>
        <v>2021</v>
      </c>
      <c r="K58" s="577">
        <f>K36</f>
        <v>2019</v>
      </c>
      <c r="L58" s="577">
        <f>L36</f>
        <v>2016</v>
      </c>
      <c r="M58" s="1273"/>
      <c r="N58" s="1273"/>
      <c r="O58" s="1269"/>
      <c r="P58" s="576" t="s">
        <v>508</v>
      </c>
      <c r="Q58" s="577">
        <f>Q36</f>
        <v>2023</v>
      </c>
      <c r="R58" s="577">
        <f>R36</f>
        <v>2022</v>
      </c>
      <c r="S58" s="577">
        <f>S36</f>
        <v>2019</v>
      </c>
      <c r="T58" s="1273"/>
      <c r="U58" s="1273"/>
    </row>
    <row r="59" spans="1:21">
      <c r="A59" s="1267"/>
      <c r="B59" s="580">
        <v>0.01</v>
      </c>
      <c r="C59" s="580">
        <v>9.9999999999999995E-7</v>
      </c>
      <c r="D59" s="580">
        <v>9.9999999999999995E-7</v>
      </c>
      <c r="E59" s="580"/>
      <c r="F59" s="580">
        <f>0.5*(MAX(C59:E59)-MIN(C59:E59))</f>
        <v>0</v>
      </c>
      <c r="G59" s="580">
        <f>(1.2/100)*B59</f>
        <v>1.2E-4</v>
      </c>
      <c r="H59" s="1269"/>
      <c r="I59" s="580">
        <v>0</v>
      </c>
      <c r="J59" s="580">
        <v>9.9999999999999995E-7</v>
      </c>
      <c r="K59" s="580">
        <v>9.9999999999999995E-7</v>
      </c>
      <c r="L59" s="580"/>
      <c r="M59" s="580">
        <f>0.5*(MAX(J59:L59)-MIN(J59:L59))</f>
        <v>0</v>
      </c>
      <c r="N59" s="580">
        <f>(1.2/100)*I59</f>
        <v>0</v>
      </c>
      <c r="O59" s="1269"/>
      <c r="P59" s="580">
        <v>0</v>
      </c>
      <c r="Q59" s="580">
        <v>0</v>
      </c>
      <c r="R59" s="580">
        <v>-3.0000000000000001E-3</v>
      </c>
      <c r="S59" s="580">
        <v>9.9999999999999995E-7</v>
      </c>
      <c r="T59" s="580">
        <f>0.5*(MAX(Q59:S59)-MIN(Q59:S59))</f>
        <v>1.5005000000000001E-3</v>
      </c>
      <c r="U59" s="580">
        <f>(1.2/100)*P59</f>
        <v>0</v>
      </c>
    </row>
    <row r="60" spans="1:21">
      <c r="A60" s="1267"/>
      <c r="B60" s="580">
        <v>0.1</v>
      </c>
      <c r="C60" s="580">
        <v>-2E-3</v>
      </c>
      <c r="D60" s="580">
        <v>9.9999999999999995E-7</v>
      </c>
      <c r="E60" s="580"/>
      <c r="F60" s="580">
        <f t="shared" ref="F60:F62" si="30">0.5*(MAX(C60:E60)-MIN(C60:E60))</f>
        <v>1.0005000000000001E-3</v>
      </c>
      <c r="G60" s="580">
        <f>(1.2/100)*B60</f>
        <v>1.2000000000000001E-3</v>
      </c>
      <c r="H60" s="1269"/>
      <c r="I60" s="580">
        <v>0.1</v>
      </c>
      <c r="J60" s="580">
        <v>-2E-3</v>
      </c>
      <c r="K60" s="580">
        <v>2E-3</v>
      </c>
      <c r="L60" s="580"/>
      <c r="M60" s="580">
        <f t="shared" ref="M60:M62" si="31">0.5*(MAX(J60:L60)-MIN(J60:L60))</f>
        <v>2E-3</v>
      </c>
      <c r="N60" s="580">
        <f>(1.2/100)*I60</f>
        <v>1.2000000000000001E-3</v>
      </c>
      <c r="O60" s="1269"/>
      <c r="P60" s="580">
        <v>0.1</v>
      </c>
      <c r="Q60" s="580">
        <v>0</v>
      </c>
      <c r="R60" s="580">
        <v>-3.0000000000000001E-3</v>
      </c>
      <c r="S60" s="580">
        <v>-2E-3</v>
      </c>
      <c r="T60" s="580">
        <f t="shared" ref="T60:T62" si="32">0.5*(MAX(Q60:S60)-MIN(Q60:S60))</f>
        <v>1.5E-3</v>
      </c>
      <c r="U60" s="580">
        <f>(1.2/100)*P60</f>
        <v>1.2000000000000001E-3</v>
      </c>
    </row>
    <row r="61" spans="1:21">
      <c r="A61" s="1267"/>
      <c r="B61" s="580">
        <v>1</v>
      </c>
      <c r="C61" s="580">
        <v>-8.0000000000000002E-3</v>
      </c>
      <c r="D61" s="580">
        <v>-1E-3</v>
      </c>
      <c r="E61" s="580"/>
      <c r="F61" s="580">
        <f t="shared" si="30"/>
        <v>3.5000000000000001E-3</v>
      </c>
      <c r="G61" s="580">
        <f>(1.2/100)*B61</f>
        <v>1.2E-2</v>
      </c>
      <c r="H61" s="1269"/>
      <c r="I61" s="580">
        <v>1</v>
      </c>
      <c r="J61" s="580">
        <v>6.3E-2</v>
      </c>
      <c r="K61" s="580">
        <v>1.2E-2</v>
      </c>
      <c r="L61" s="580"/>
      <c r="M61" s="580">
        <f t="shared" si="31"/>
        <v>2.5500000000000002E-2</v>
      </c>
      <c r="N61" s="580">
        <f>(1.2/100)*I61</f>
        <v>1.2E-2</v>
      </c>
      <c r="O61" s="1269"/>
      <c r="P61" s="580">
        <v>1</v>
      </c>
      <c r="Q61" s="580">
        <v>-6.0000000000000001E-3</v>
      </c>
      <c r="R61" s="580">
        <v>-7.0000000000000001E-3</v>
      </c>
      <c r="S61" s="580">
        <v>-1E-3</v>
      </c>
      <c r="T61" s="580">
        <f t="shared" si="32"/>
        <v>3.0000000000000001E-3</v>
      </c>
      <c r="U61" s="580">
        <f>(1.2/100)*P61</f>
        <v>1.2E-2</v>
      </c>
    </row>
    <row r="62" spans="1:21">
      <c r="A62" s="1267"/>
      <c r="B62" s="580">
        <v>2</v>
      </c>
      <c r="C62" s="580">
        <v>-7.0000000000000001E-3</v>
      </c>
      <c r="D62" s="580">
        <v>9.9999999999999995E-7</v>
      </c>
      <c r="E62" s="580"/>
      <c r="F62" s="580">
        <f t="shared" si="30"/>
        <v>3.5005000000000001E-3</v>
      </c>
      <c r="G62" s="580">
        <f>(1.2/100)*B62</f>
        <v>2.4E-2</v>
      </c>
      <c r="H62" s="1269"/>
      <c r="I62" s="580">
        <v>2</v>
      </c>
      <c r="J62" s="580">
        <v>9.0999999999999998E-2</v>
      </c>
      <c r="K62" s="580">
        <v>9.9999999999999995E-7</v>
      </c>
      <c r="L62" s="580"/>
      <c r="M62" s="580">
        <f t="shared" si="31"/>
        <v>4.5499499999999998E-2</v>
      </c>
      <c r="N62" s="580">
        <f>(1.2/100)*I62</f>
        <v>2.4E-2</v>
      </c>
      <c r="O62" s="1269"/>
      <c r="P62" s="580">
        <v>2</v>
      </c>
      <c r="Q62" s="580">
        <v>-7.0000000000000001E-3</v>
      </c>
      <c r="R62" s="580">
        <v>-7.0000000000000001E-3</v>
      </c>
      <c r="S62" s="580">
        <v>9.9999999999999995E-7</v>
      </c>
      <c r="T62" s="580">
        <f t="shared" si="32"/>
        <v>3.5005000000000001E-3</v>
      </c>
      <c r="U62" s="580">
        <f>(0/100)*P62</f>
        <v>0</v>
      </c>
    </row>
    <row r="63" spans="1:21" ht="15.5">
      <c r="A63" s="590"/>
      <c r="B63" s="417"/>
      <c r="C63" s="417"/>
      <c r="D63" s="591"/>
      <c r="E63" s="591"/>
      <c r="F63" s="591"/>
      <c r="H63" s="592"/>
      <c r="I63" s="593"/>
      <c r="J63" s="417"/>
      <c r="K63" s="591"/>
      <c r="L63" s="591"/>
      <c r="M63" s="591"/>
      <c r="O63" s="592"/>
      <c r="P63" s="417"/>
      <c r="Q63" s="417"/>
      <c r="T63" s="554"/>
    </row>
    <row r="64" spans="1:21" ht="14.5" customHeight="1">
      <c r="A64" s="1267" t="s">
        <v>205</v>
      </c>
      <c r="B64" s="1275" t="s">
        <v>515</v>
      </c>
      <c r="C64" s="1275"/>
      <c r="D64" s="1275"/>
      <c r="E64" s="1275"/>
      <c r="F64" s="1275"/>
      <c r="G64" s="1275"/>
      <c r="H64" s="1269" t="s">
        <v>516</v>
      </c>
      <c r="I64" s="1275" t="s">
        <v>517</v>
      </c>
      <c r="J64" s="1275"/>
      <c r="K64" s="1275"/>
      <c r="L64" s="1275"/>
      <c r="M64" s="1275"/>
      <c r="N64" s="1275"/>
      <c r="O64" s="1269" t="s">
        <v>518</v>
      </c>
      <c r="P64" s="1275" t="s">
        <v>519</v>
      </c>
      <c r="Q64" s="1275"/>
      <c r="R64" s="1275"/>
      <c r="S64" s="1275"/>
      <c r="T64" s="1275"/>
      <c r="U64" s="1275"/>
    </row>
    <row r="65" spans="1:21" ht="14">
      <c r="A65" s="1267"/>
      <c r="B65" s="1271" t="s">
        <v>499</v>
      </c>
      <c r="C65" s="1271"/>
      <c r="D65" s="1271"/>
      <c r="E65" s="1271"/>
      <c r="F65" s="1271"/>
      <c r="G65" s="1271"/>
      <c r="H65" s="1269"/>
      <c r="I65" s="1272" t="s">
        <v>499</v>
      </c>
      <c r="J65" s="1272"/>
      <c r="K65" s="1272"/>
      <c r="L65" s="1272"/>
      <c r="M65" s="1272"/>
      <c r="N65" s="1272"/>
      <c r="O65" s="1269"/>
      <c r="P65" s="1272" t="s">
        <v>499</v>
      </c>
      <c r="Q65" s="1272"/>
      <c r="R65" s="1272"/>
      <c r="S65" s="1272"/>
      <c r="T65" s="1272"/>
      <c r="U65" s="1272"/>
    </row>
    <row r="66" spans="1:21" ht="13">
      <c r="A66" s="1267"/>
      <c r="B66" s="1273" t="s">
        <v>500</v>
      </c>
      <c r="C66" s="1273"/>
      <c r="D66" s="1273"/>
      <c r="E66" s="1273"/>
      <c r="F66" s="1273" t="s">
        <v>501</v>
      </c>
      <c r="G66" s="1273" t="s">
        <v>397</v>
      </c>
      <c r="H66" s="1269"/>
      <c r="I66" s="1273" t="str">
        <f>B66</f>
        <v>Setting VAC</v>
      </c>
      <c r="J66" s="1273"/>
      <c r="K66" s="1273"/>
      <c r="L66" s="1273"/>
      <c r="M66" s="1273" t="s">
        <v>501</v>
      </c>
      <c r="N66" s="1273" t="s">
        <v>397</v>
      </c>
      <c r="O66" s="1269"/>
      <c r="P66" s="1273" t="str">
        <f>B66</f>
        <v>Setting VAC</v>
      </c>
      <c r="Q66" s="1273"/>
      <c r="R66" s="1273"/>
      <c r="S66" s="1273"/>
      <c r="T66" s="1273" t="s">
        <v>501</v>
      </c>
      <c r="U66" s="1273" t="s">
        <v>397</v>
      </c>
    </row>
    <row r="67" spans="1:21" ht="14">
      <c r="A67" s="1267"/>
      <c r="B67" s="576" t="s">
        <v>502</v>
      </c>
      <c r="C67" s="577">
        <v>2023</v>
      </c>
      <c r="D67" s="577">
        <v>2022</v>
      </c>
      <c r="E67" s="577">
        <v>2020</v>
      </c>
      <c r="F67" s="1273"/>
      <c r="G67" s="1273"/>
      <c r="H67" s="1269"/>
      <c r="I67" s="576" t="s">
        <v>502</v>
      </c>
      <c r="J67" s="577">
        <v>2023</v>
      </c>
      <c r="K67" s="577">
        <v>2022</v>
      </c>
      <c r="L67" s="577">
        <v>2020</v>
      </c>
      <c r="M67" s="1273"/>
      <c r="N67" s="1273"/>
      <c r="O67" s="1269"/>
      <c r="P67" s="576" t="s">
        <v>502</v>
      </c>
      <c r="Q67" s="577">
        <v>2023</v>
      </c>
      <c r="R67" s="577">
        <v>2022</v>
      </c>
      <c r="S67" s="577">
        <v>2020</v>
      </c>
      <c r="T67" s="1273"/>
      <c r="U67" s="1273"/>
    </row>
    <row r="68" spans="1:21">
      <c r="A68" s="1267"/>
      <c r="B68" s="580">
        <v>150</v>
      </c>
      <c r="C68" s="580">
        <v>0.14000000000000001</v>
      </c>
      <c r="D68" s="580">
        <v>0.36</v>
      </c>
      <c r="E68" s="580">
        <v>0.21</v>
      </c>
      <c r="F68" s="580">
        <f>0.5*(MAX(C68:E68)-MIN(C68:E68))</f>
        <v>0.10999999999999999</v>
      </c>
      <c r="G68" s="580">
        <f t="shared" ref="G68:G73" si="33">(1.2/100)*B68</f>
        <v>1.8</v>
      </c>
      <c r="H68" s="1269"/>
      <c r="I68" s="580">
        <v>150</v>
      </c>
      <c r="J68" s="580">
        <v>-0.5</v>
      </c>
      <c r="K68" s="580">
        <v>-0.17</v>
      </c>
      <c r="L68" s="580">
        <v>-0.24</v>
      </c>
      <c r="M68" s="580">
        <f>0.5*(MAX(J68:L68)-MIN(J68:L68))</f>
        <v>0.16499999999999998</v>
      </c>
      <c r="N68" s="580">
        <f t="shared" ref="N68:N73" si="34">(1.2/100)*I68</f>
        <v>1.8</v>
      </c>
      <c r="O68" s="1269"/>
      <c r="P68" s="580">
        <v>150</v>
      </c>
      <c r="Q68" s="580">
        <v>-0.08</v>
      </c>
      <c r="R68" s="580">
        <v>-0.08</v>
      </c>
      <c r="S68" s="580">
        <v>-0.17</v>
      </c>
      <c r="T68" s="580">
        <f>0.5*(MAX(Q68:S68)-MIN(Q68:S68))</f>
        <v>4.5000000000000005E-2</v>
      </c>
      <c r="U68" s="580">
        <f t="shared" ref="U68:U73" si="35">(1.2/100)*P68</f>
        <v>1.8</v>
      </c>
    </row>
    <row r="69" spans="1:21">
      <c r="A69" s="1267"/>
      <c r="B69" s="580">
        <v>180</v>
      </c>
      <c r="C69" s="580">
        <v>0.34</v>
      </c>
      <c r="D69" s="580">
        <v>0.46</v>
      </c>
      <c r="E69" s="580">
        <v>0.33</v>
      </c>
      <c r="F69" s="580">
        <f t="shared" ref="F69:F73" si="36">0.5*(MAX(C69:E69)-MIN(C69:E69))</f>
        <v>6.5000000000000002E-2</v>
      </c>
      <c r="G69" s="580">
        <f t="shared" si="33"/>
        <v>2.16</v>
      </c>
      <c r="H69" s="1269"/>
      <c r="I69" s="580">
        <v>180</v>
      </c>
      <c r="J69" s="580">
        <v>-0.19</v>
      </c>
      <c r="K69" s="580">
        <v>-0.39</v>
      </c>
      <c r="L69" s="580">
        <v>-0.14000000000000001</v>
      </c>
      <c r="M69" s="580">
        <f t="shared" ref="M69:M73" si="37">0.5*(MAX(J69:L69)-MIN(J69:L69))</f>
        <v>0.125</v>
      </c>
      <c r="N69" s="580">
        <f t="shared" si="34"/>
        <v>2.16</v>
      </c>
      <c r="O69" s="1269"/>
      <c r="P69" s="580">
        <v>180</v>
      </c>
      <c r="Q69" s="580">
        <v>-0.2</v>
      </c>
      <c r="R69" s="580">
        <v>-0.2</v>
      </c>
      <c r="S69" s="580">
        <v>-0.22</v>
      </c>
      <c r="T69" s="580">
        <f t="shared" ref="T69:T73" si="38">0.5*(MAX(Q69:S69)-MIN(Q69:S69))</f>
        <v>9.999999999999995E-3</v>
      </c>
      <c r="U69" s="580">
        <f t="shared" si="35"/>
        <v>2.16</v>
      </c>
    </row>
    <row r="70" spans="1:21">
      <c r="A70" s="1267"/>
      <c r="B70" s="580">
        <v>200</v>
      </c>
      <c r="C70" s="580">
        <v>0.42</v>
      </c>
      <c r="D70" s="580">
        <v>0.52</v>
      </c>
      <c r="E70" s="580">
        <v>0.34</v>
      </c>
      <c r="F70" s="580">
        <f t="shared" si="36"/>
        <v>0.09</v>
      </c>
      <c r="G70" s="580">
        <f t="shared" si="33"/>
        <v>2.4</v>
      </c>
      <c r="H70" s="1269"/>
      <c r="I70" s="580">
        <v>200</v>
      </c>
      <c r="J70" s="580">
        <v>-7.0000000000000007E-2</v>
      </c>
      <c r="K70" s="580">
        <v>-0.23</v>
      </c>
      <c r="L70" s="580">
        <v>-0.33</v>
      </c>
      <c r="M70" s="580">
        <f t="shared" si="37"/>
        <v>0.13</v>
      </c>
      <c r="N70" s="580">
        <f t="shared" si="34"/>
        <v>2.4</v>
      </c>
      <c r="O70" s="1269"/>
      <c r="P70" s="580">
        <v>200</v>
      </c>
      <c r="Q70" s="580">
        <v>-0.25</v>
      </c>
      <c r="R70" s="580">
        <v>-0.25</v>
      </c>
      <c r="S70" s="580">
        <v>-0.33</v>
      </c>
      <c r="T70" s="580">
        <f t="shared" si="38"/>
        <v>4.0000000000000008E-2</v>
      </c>
      <c r="U70" s="580">
        <f t="shared" si="35"/>
        <v>2.4</v>
      </c>
    </row>
    <row r="71" spans="1:21">
      <c r="A71" s="1267"/>
      <c r="B71" s="580">
        <v>220</v>
      </c>
      <c r="C71" s="580">
        <v>0.32</v>
      </c>
      <c r="D71" s="580">
        <v>0.57999999999999996</v>
      </c>
      <c r="E71" s="580">
        <v>0.37</v>
      </c>
      <c r="F71" s="580">
        <f t="shared" si="36"/>
        <v>0.12999999999999998</v>
      </c>
      <c r="G71" s="580">
        <f t="shared" si="33"/>
        <v>2.64</v>
      </c>
      <c r="H71" s="1269"/>
      <c r="I71" s="580">
        <v>220</v>
      </c>
      <c r="J71" s="580">
        <v>-0.39</v>
      </c>
      <c r="K71" s="580">
        <v>-0.16</v>
      </c>
      <c r="L71" s="580">
        <v>-0.45</v>
      </c>
      <c r="M71" s="580">
        <f t="shared" si="37"/>
        <v>0.14500000000000002</v>
      </c>
      <c r="N71" s="580">
        <f t="shared" si="34"/>
        <v>2.64</v>
      </c>
      <c r="O71" s="1269"/>
      <c r="P71" s="580">
        <v>220</v>
      </c>
      <c r="Q71" s="580">
        <v>-0.28999999999999998</v>
      </c>
      <c r="R71" s="580">
        <v>-0.28999999999999998</v>
      </c>
      <c r="S71" s="580">
        <v>-0.39</v>
      </c>
      <c r="T71" s="580">
        <f t="shared" si="38"/>
        <v>5.0000000000000017E-2</v>
      </c>
      <c r="U71" s="580">
        <f t="shared" si="35"/>
        <v>2.64</v>
      </c>
    </row>
    <row r="72" spans="1:21">
      <c r="A72" s="1267"/>
      <c r="B72" s="580">
        <v>230</v>
      </c>
      <c r="C72" s="580">
        <v>0.38</v>
      </c>
      <c r="D72" s="580">
        <v>0.47</v>
      </c>
      <c r="E72" s="580">
        <v>0.47</v>
      </c>
      <c r="F72" s="580">
        <f t="shared" si="36"/>
        <v>4.4999999999999984E-2</v>
      </c>
      <c r="G72" s="580">
        <f t="shared" si="33"/>
        <v>2.7600000000000002</v>
      </c>
      <c r="H72" s="1269"/>
      <c r="I72" s="580">
        <v>230</v>
      </c>
      <c r="J72" s="580">
        <v>-0.3</v>
      </c>
      <c r="K72" s="580">
        <v>-0.15</v>
      </c>
      <c r="L72" s="580">
        <v>-0.54</v>
      </c>
      <c r="M72" s="580">
        <f t="shared" si="37"/>
        <v>0.19500000000000001</v>
      </c>
      <c r="N72" s="580">
        <f t="shared" si="34"/>
        <v>2.7600000000000002</v>
      </c>
      <c r="O72" s="1269"/>
      <c r="P72" s="580">
        <v>230</v>
      </c>
      <c r="Q72" s="580">
        <v>-0.34</v>
      </c>
      <c r="R72" s="580">
        <v>-0.34</v>
      </c>
      <c r="S72" s="580">
        <v>-0.39</v>
      </c>
      <c r="T72" s="580">
        <f t="shared" si="38"/>
        <v>2.4999999999999994E-2</v>
      </c>
      <c r="U72" s="580">
        <f t="shared" si="35"/>
        <v>2.7600000000000002</v>
      </c>
    </row>
    <row r="73" spans="1:21">
      <c r="A73" s="1267"/>
      <c r="B73" s="580">
        <v>250</v>
      </c>
      <c r="C73" s="580">
        <v>1.0000000000000001E-5</v>
      </c>
      <c r="D73" s="580">
        <v>1.0000000000000001E-5</v>
      </c>
      <c r="E73" s="580">
        <v>0.38</v>
      </c>
      <c r="F73" s="580">
        <f t="shared" si="36"/>
        <v>0.189995</v>
      </c>
      <c r="G73" s="580">
        <f t="shared" si="33"/>
        <v>3</v>
      </c>
      <c r="H73" s="1269"/>
      <c r="I73" s="580">
        <v>250</v>
      </c>
      <c r="J73" s="580">
        <v>0</v>
      </c>
      <c r="K73" s="580">
        <v>9.9999999999999995E-7</v>
      </c>
      <c r="L73" s="580">
        <v>-0.49</v>
      </c>
      <c r="M73" s="580">
        <f t="shared" si="37"/>
        <v>0.24500049999999998</v>
      </c>
      <c r="N73" s="580">
        <f t="shared" si="34"/>
        <v>3</v>
      </c>
      <c r="O73" s="1269"/>
      <c r="P73" s="580">
        <v>250</v>
      </c>
      <c r="Q73" s="580">
        <v>0</v>
      </c>
      <c r="R73" s="580">
        <v>0</v>
      </c>
      <c r="S73" s="580">
        <v>-0.39</v>
      </c>
      <c r="T73" s="580">
        <f t="shared" si="38"/>
        <v>0.19500000000000001</v>
      </c>
      <c r="U73" s="580">
        <f t="shared" si="35"/>
        <v>3</v>
      </c>
    </row>
    <row r="74" spans="1:21" ht="12.75" customHeight="1">
      <c r="A74" s="1267"/>
      <c r="B74" s="1274" t="s">
        <v>503</v>
      </c>
      <c r="C74" s="1274"/>
      <c r="D74" s="1274"/>
      <c r="E74" s="1274"/>
      <c r="F74" s="1273" t="s">
        <v>501</v>
      </c>
      <c r="G74" s="1273" t="s">
        <v>397</v>
      </c>
      <c r="H74" s="1269"/>
      <c r="I74" s="1274" t="str">
        <f>B74</f>
        <v>Current Leakage</v>
      </c>
      <c r="J74" s="1274"/>
      <c r="K74" s="1274"/>
      <c r="L74" s="1274"/>
      <c r="M74" s="1273" t="s">
        <v>501</v>
      </c>
      <c r="N74" s="1273" t="s">
        <v>397</v>
      </c>
      <c r="O74" s="1269"/>
      <c r="P74" s="1274" t="str">
        <f>B74</f>
        <v>Current Leakage</v>
      </c>
      <c r="Q74" s="1274"/>
      <c r="R74" s="1274"/>
      <c r="S74" s="1274"/>
      <c r="T74" s="1273" t="s">
        <v>501</v>
      </c>
      <c r="U74" s="1273" t="s">
        <v>397</v>
      </c>
    </row>
    <row r="75" spans="1:21" ht="14">
      <c r="A75" s="1267"/>
      <c r="B75" s="576" t="s">
        <v>504</v>
      </c>
      <c r="C75" s="577">
        <f>C67</f>
        <v>2023</v>
      </c>
      <c r="D75" s="577">
        <f>D67</f>
        <v>2022</v>
      </c>
      <c r="E75" s="577">
        <f>E67</f>
        <v>2020</v>
      </c>
      <c r="F75" s="1273"/>
      <c r="G75" s="1273"/>
      <c r="H75" s="1269"/>
      <c r="I75" s="576" t="s">
        <v>504</v>
      </c>
      <c r="J75" s="577">
        <f>J67</f>
        <v>2023</v>
      </c>
      <c r="K75" s="577">
        <f>K67</f>
        <v>2022</v>
      </c>
      <c r="L75" s="577">
        <f>L67</f>
        <v>2020</v>
      </c>
      <c r="M75" s="1273"/>
      <c r="N75" s="1273"/>
      <c r="O75" s="1269"/>
      <c r="P75" s="576" t="s">
        <v>504</v>
      </c>
      <c r="Q75" s="577">
        <f>Q67</f>
        <v>2023</v>
      </c>
      <c r="R75" s="577">
        <f>R67</f>
        <v>2022</v>
      </c>
      <c r="S75" s="577">
        <f>S67</f>
        <v>2020</v>
      </c>
      <c r="T75" s="1273"/>
      <c r="U75" s="1273"/>
    </row>
    <row r="76" spans="1:21">
      <c r="A76" s="1267"/>
      <c r="B76" s="580">
        <v>0</v>
      </c>
      <c r="C76" s="580">
        <v>9.9999999999999995E-7</v>
      </c>
      <c r="D76" s="580">
        <v>9.9999999999999995E-7</v>
      </c>
      <c r="E76" s="580">
        <v>9.9999999999999995E-7</v>
      </c>
      <c r="F76" s="580">
        <f>0.5*(MAX(C76:E76)-MIN(C76:E76))</f>
        <v>0</v>
      </c>
      <c r="G76" s="580">
        <f t="shared" ref="G76:G81" si="39">(0.59/100)*B76</f>
        <v>0</v>
      </c>
      <c r="H76" s="1269"/>
      <c r="I76" s="580">
        <v>0</v>
      </c>
      <c r="J76" s="580">
        <v>0</v>
      </c>
      <c r="K76" s="580">
        <v>9.9999999999999995E-7</v>
      </c>
      <c r="L76" s="580">
        <v>9.9999999999999995E-7</v>
      </c>
      <c r="M76" s="580">
        <f>0.5*(MAX(J76:L76)-MIN(J76:L76))</f>
        <v>4.9999999999999998E-7</v>
      </c>
      <c r="N76" s="580">
        <f t="shared" ref="N76:N81" si="40">(0.59/100)*I76</f>
        <v>0</v>
      </c>
      <c r="O76" s="1269"/>
      <c r="P76" s="580">
        <v>0</v>
      </c>
      <c r="Q76" s="580">
        <v>9.9999999999999995E-7</v>
      </c>
      <c r="R76" s="580">
        <v>9.9999999999999995E-7</v>
      </c>
      <c r="S76" s="580">
        <v>9.9999999999999995E-7</v>
      </c>
      <c r="T76" s="580">
        <f>0.5*(MAX(Q76:S76)-MIN(Q76:S76))</f>
        <v>0</v>
      </c>
      <c r="U76" s="580">
        <f t="shared" ref="U76:U81" si="41">(0.59/100)*P76</f>
        <v>0</v>
      </c>
    </row>
    <row r="77" spans="1:21">
      <c r="A77" s="1267"/>
      <c r="B77" s="580">
        <v>50</v>
      </c>
      <c r="C77" s="580">
        <v>5</v>
      </c>
      <c r="D77" s="580">
        <v>1.9</v>
      </c>
      <c r="E77" s="580">
        <v>1.7</v>
      </c>
      <c r="F77" s="580">
        <f t="shared" ref="F77:F81" si="42">0.5*(MAX(C77:E77)-MIN(C77:E77))</f>
        <v>1.65</v>
      </c>
      <c r="G77" s="580">
        <f t="shared" si="39"/>
        <v>0.29499999999999998</v>
      </c>
      <c r="H77" s="1269"/>
      <c r="I77" s="580">
        <v>20</v>
      </c>
      <c r="J77" s="580">
        <v>4.7</v>
      </c>
      <c r="K77" s="580">
        <v>6.6</v>
      </c>
      <c r="L77" s="580">
        <v>0.9</v>
      </c>
      <c r="M77" s="580">
        <f t="shared" ref="M77:M81" si="43">0.5*(MAX(J77:L77)-MIN(J77:L77))</f>
        <v>2.8499999999999996</v>
      </c>
      <c r="N77" s="580">
        <f t="shared" si="40"/>
        <v>0.11799999999999999</v>
      </c>
      <c r="O77" s="1269"/>
      <c r="P77" s="580">
        <v>25</v>
      </c>
      <c r="Q77" s="580">
        <v>3</v>
      </c>
      <c r="R77" s="580">
        <v>4.9000000000000004</v>
      </c>
      <c r="S77" s="580">
        <v>0.8</v>
      </c>
      <c r="T77" s="580">
        <f t="shared" ref="T77:T81" si="44">0.5*(MAX(Q77:S77)-MIN(Q77:S77))</f>
        <v>2.0500000000000003</v>
      </c>
      <c r="U77" s="580">
        <f t="shared" si="41"/>
        <v>0.14749999999999999</v>
      </c>
    </row>
    <row r="78" spans="1:21">
      <c r="A78" s="1267"/>
      <c r="B78" s="580">
        <v>100</v>
      </c>
      <c r="C78" s="580">
        <v>6.2</v>
      </c>
      <c r="D78" s="580">
        <v>1.7</v>
      </c>
      <c r="E78" s="580">
        <v>1.7</v>
      </c>
      <c r="F78" s="580">
        <f t="shared" si="42"/>
        <v>2.25</v>
      </c>
      <c r="G78" s="580">
        <f t="shared" si="39"/>
        <v>0.59</v>
      </c>
      <c r="H78" s="1269"/>
      <c r="I78" s="580">
        <v>50</v>
      </c>
      <c r="J78" s="580">
        <v>4.7</v>
      </c>
      <c r="K78" s="580">
        <v>5</v>
      </c>
      <c r="L78" s="580">
        <v>2.1</v>
      </c>
      <c r="M78" s="580">
        <f t="shared" si="43"/>
        <v>1.45</v>
      </c>
      <c r="N78" s="580">
        <f t="shared" si="40"/>
        <v>0.29499999999999998</v>
      </c>
      <c r="O78" s="1269"/>
      <c r="P78" s="580">
        <v>50</v>
      </c>
      <c r="Q78" s="580">
        <v>4.0999999999999996</v>
      </c>
      <c r="R78" s="580">
        <v>9.1999999999999993</v>
      </c>
      <c r="S78" s="580">
        <v>1.7</v>
      </c>
      <c r="T78" s="580">
        <f t="shared" si="44"/>
        <v>3.7499999999999996</v>
      </c>
      <c r="U78" s="580">
        <f t="shared" si="41"/>
        <v>0.29499999999999998</v>
      </c>
    </row>
    <row r="79" spans="1:21">
      <c r="A79" s="1267"/>
      <c r="B79" s="580">
        <v>200</v>
      </c>
      <c r="C79" s="580">
        <v>8.6</v>
      </c>
      <c r="D79" s="580">
        <v>1.5</v>
      </c>
      <c r="E79" s="580">
        <v>0.4</v>
      </c>
      <c r="F79" s="580">
        <f t="shared" si="42"/>
        <v>4.0999999999999996</v>
      </c>
      <c r="G79" s="580">
        <f t="shared" si="39"/>
        <v>1.18</v>
      </c>
      <c r="H79" s="1269"/>
      <c r="I79" s="580">
        <v>200</v>
      </c>
      <c r="J79" s="580">
        <v>7.7</v>
      </c>
      <c r="K79" s="580">
        <v>-8.1999999999999993</v>
      </c>
      <c r="L79" s="580">
        <v>3.7</v>
      </c>
      <c r="M79" s="580">
        <f t="shared" si="43"/>
        <v>7.9499999999999993</v>
      </c>
      <c r="N79" s="580">
        <f t="shared" si="40"/>
        <v>1.18</v>
      </c>
      <c r="O79" s="1269"/>
      <c r="P79" s="580">
        <v>100</v>
      </c>
      <c r="Q79" s="580">
        <v>6</v>
      </c>
      <c r="R79" s="580">
        <v>7.7</v>
      </c>
      <c r="S79" s="580">
        <v>3.4</v>
      </c>
      <c r="T79" s="580">
        <f t="shared" si="44"/>
        <v>2.1500000000000004</v>
      </c>
      <c r="U79" s="580">
        <f t="shared" si="41"/>
        <v>0.59</v>
      </c>
    </row>
    <row r="80" spans="1:21">
      <c r="A80" s="1267"/>
      <c r="B80" s="580">
        <v>500</v>
      </c>
      <c r="C80" s="580">
        <v>9.3000000000000007</v>
      </c>
      <c r="D80" s="580">
        <v>0.9</v>
      </c>
      <c r="E80" s="580">
        <v>3</v>
      </c>
      <c r="F80" s="580">
        <f t="shared" si="42"/>
        <v>4.2</v>
      </c>
      <c r="G80" s="580">
        <f t="shared" si="39"/>
        <v>2.9499999999999997</v>
      </c>
      <c r="H80" s="1269"/>
      <c r="I80" s="580">
        <v>500</v>
      </c>
      <c r="J80" s="580">
        <v>6</v>
      </c>
      <c r="K80" s="580">
        <v>-31.8</v>
      </c>
      <c r="L80" s="580">
        <v>8.3000000000000007</v>
      </c>
      <c r="M80" s="580">
        <f t="shared" si="43"/>
        <v>20.05</v>
      </c>
      <c r="N80" s="580">
        <f t="shared" si="40"/>
        <v>2.9499999999999997</v>
      </c>
      <c r="O80" s="1269"/>
      <c r="P80" s="580">
        <v>500</v>
      </c>
      <c r="Q80" s="580">
        <v>9.5</v>
      </c>
      <c r="R80" s="580">
        <v>-25.1</v>
      </c>
      <c r="S80" s="580">
        <v>7.2</v>
      </c>
      <c r="T80" s="580">
        <f t="shared" si="44"/>
        <v>17.3</v>
      </c>
      <c r="U80" s="580">
        <f t="shared" si="41"/>
        <v>2.9499999999999997</v>
      </c>
    </row>
    <row r="81" spans="1:21">
      <c r="A81" s="1267"/>
      <c r="B81" s="580">
        <v>1000</v>
      </c>
      <c r="C81" s="580">
        <v>-88</v>
      </c>
      <c r="D81" s="580">
        <v>1</v>
      </c>
      <c r="E81" s="580">
        <v>9.9999999999999995E-7</v>
      </c>
      <c r="F81" s="580">
        <f t="shared" si="42"/>
        <v>44.5</v>
      </c>
      <c r="G81" s="580">
        <f t="shared" si="39"/>
        <v>5.8999999999999995</v>
      </c>
      <c r="H81" s="1269"/>
      <c r="I81" s="580">
        <v>1000</v>
      </c>
      <c r="J81" s="580">
        <v>-88</v>
      </c>
      <c r="K81" s="580">
        <v>-74</v>
      </c>
      <c r="L81" s="580">
        <v>9.9999999999999995E-7</v>
      </c>
      <c r="M81" s="580">
        <f t="shared" si="43"/>
        <v>44.000000499999999</v>
      </c>
      <c r="N81" s="580">
        <f t="shared" si="40"/>
        <v>5.8999999999999995</v>
      </c>
      <c r="O81" s="1269"/>
      <c r="P81" s="580">
        <v>1000</v>
      </c>
      <c r="Q81" s="580">
        <v>-88</v>
      </c>
      <c r="R81" s="580">
        <v>-66</v>
      </c>
      <c r="S81" s="580">
        <v>9.9999999999999995E-7</v>
      </c>
      <c r="T81" s="580">
        <f t="shared" si="44"/>
        <v>44.000000499999999</v>
      </c>
      <c r="U81" s="580">
        <f t="shared" si="41"/>
        <v>5.8999999999999995</v>
      </c>
    </row>
    <row r="82" spans="1:21" ht="13">
      <c r="A82" s="1267"/>
      <c r="B82" s="1274" t="s">
        <v>505</v>
      </c>
      <c r="C82" s="1274"/>
      <c r="D82" s="1274"/>
      <c r="E82" s="1274"/>
      <c r="F82" s="1273" t="s">
        <v>501</v>
      </c>
      <c r="G82" s="1273" t="s">
        <v>397</v>
      </c>
      <c r="H82" s="1269"/>
      <c r="I82" s="1274" t="s">
        <v>505</v>
      </c>
      <c r="J82" s="1274"/>
      <c r="K82" s="1274"/>
      <c r="L82" s="1274"/>
      <c r="M82" s="1273" t="s">
        <v>501</v>
      </c>
      <c r="N82" s="1273" t="s">
        <v>397</v>
      </c>
      <c r="O82" s="1269"/>
      <c r="P82" s="1274" t="str">
        <f>B82</f>
        <v>Main-PE</v>
      </c>
      <c r="Q82" s="1274"/>
      <c r="R82" s="1274"/>
      <c r="S82" s="1274"/>
      <c r="T82" s="1273" t="s">
        <v>501</v>
      </c>
      <c r="U82" s="1273" t="s">
        <v>397</v>
      </c>
    </row>
    <row r="83" spans="1:21" ht="14.5">
      <c r="A83" s="1267"/>
      <c r="B83" s="576" t="s">
        <v>506</v>
      </c>
      <c r="C83" s="577">
        <f>C67</f>
        <v>2023</v>
      </c>
      <c r="D83" s="577">
        <f>D67</f>
        <v>2022</v>
      </c>
      <c r="E83" s="577">
        <f>E67</f>
        <v>2020</v>
      </c>
      <c r="F83" s="1273"/>
      <c r="G83" s="1273"/>
      <c r="H83" s="1269"/>
      <c r="I83" s="576" t="s">
        <v>506</v>
      </c>
      <c r="J83" s="577">
        <f>J67</f>
        <v>2023</v>
      </c>
      <c r="K83" s="577">
        <f>K67</f>
        <v>2022</v>
      </c>
      <c r="L83" s="577">
        <f>L67</f>
        <v>2020</v>
      </c>
      <c r="M83" s="1273"/>
      <c r="N83" s="1273"/>
      <c r="O83" s="1269"/>
      <c r="P83" s="576" t="s">
        <v>506</v>
      </c>
      <c r="Q83" s="577">
        <f>Q67</f>
        <v>2023</v>
      </c>
      <c r="R83" s="577">
        <f>R67</f>
        <v>2022</v>
      </c>
      <c r="S83" s="577">
        <f>S67</f>
        <v>2020</v>
      </c>
      <c r="T83" s="1273"/>
      <c r="U83" s="1273"/>
    </row>
    <row r="84" spans="1:21">
      <c r="A84" s="1267"/>
      <c r="B84" s="580">
        <v>10</v>
      </c>
      <c r="C84" s="580">
        <v>0</v>
      </c>
      <c r="D84" s="580">
        <v>9.9999999999999995E-7</v>
      </c>
      <c r="E84" s="580">
        <v>9.9999999999999995E-7</v>
      </c>
      <c r="F84" s="580">
        <f>0.5*(MAX(C84:E84)-MIN(C84:E84))</f>
        <v>4.9999999999999998E-7</v>
      </c>
      <c r="G84" s="580">
        <f>(1.7/100)*B84</f>
        <v>0.17</v>
      </c>
      <c r="H84" s="1269"/>
      <c r="I84" s="580">
        <v>10</v>
      </c>
      <c r="J84" s="580">
        <v>0</v>
      </c>
      <c r="K84" s="580">
        <v>9.9999999999999995E-7</v>
      </c>
      <c r="L84" s="580">
        <v>9.9999999999999995E-7</v>
      </c>
      <c r="M84" s="580">
        <f>0.5*(MAX(J84:L84)-MIN(J84:L84))</f>
        <v>4.9999999999999998E-7</v>
      </c>
      <c r="N84" s="580">
        <f>(1.7/100)*I84</f>
        <v>0.17</v>
      </c>
      <c r="O84" s="1269"/>
      <c r="P84" s="580">
        <v>10</v>
      </c>
      <c r="Q84" s="580">
        <v>9.9999999999999995E-7</v>
      </c>
      <c r="R84" s="580">
        <v>9.9999999999999995E-7</v>
      </c>
      <c r="S84" s="580">
        <v>9.9999999999999995E-7</v>
      </c>
      <c r="T84" s="580">
        <f>0.5*(MAX(Q84:S84)-MIN(Q84:S84))</f>
        <v>0</v>
      </c>
      <c r="U84" s="580">
        <f>(1.7/100)*P84</f>
        <v>0.17</v>
      </c>
    </row>
    <row r="85" spans="1:21">
      <c r="A85" s="1267"/>
      <c r="B85" s="580">
        <v>20</v>
      </c>
      <c r="C85" s="580">
        <v>0.1</v>
      </c>
      <c r="D85" s="580">
        <v>0.1</v>
      </c>
      <c r="E85" s="580">
        <v>9.9999999999999995E-7</v>
      </c>
      <c r="F85" s="580">
        <f t="shared" ref="F85:F87" si="45">0.5*(MAX(C85:E85)-MIN(C85:E85))</f>
        <v>4.9999500000000002E-2</v>
      </c>
      <c r="G85" s="580">
        <f>(1.7/100)*B85</f>
        <v>0.34</v>
      </c>
      <c r="H85" s="1269"/>
      <c r="I85" s="580">
        <v>20</v>
      </c>
      <c r="J85" s="580">
        <v>0.1</v>
      </c>
      <c r="K85" s="580">
        <v>9.9999999999999995E-7</v>
      </c>
      <c r="L85" s="580">
        <v>9.9999999999999995E-7</v>
      </c>
      <c r="M85" s="580">
        <f t="shared" ref="M85:M87" si="46">0.5*(MAX(J85:L85)-MIN(J85:L85))</f>
        <v>4.9999500000000002E-2</v>
      </c>
      <c r="N85" s="580">
        <f t="shared" ref="N85:N87" si="47">(1.7/100)*I85</f>
        <v>0.34</v>
      </c>
      <c r="O85" s="1269"/>
      <c r="P85" s="580">
        <v>20</v>
      </c>
      <c r="Q85" s="580">
        <v>9.9999999999999995E-7</v>
      </c>
      <c r="R85" s="580">
        <v>9.9999999999999995E-7</v>
      </c>
      <c r="S85" s="580">
        <v>9.9999999999999995E-7</v>
      </c>
      <c r="T85" s="580">
        <f t="shared" ref="T85:T87" si="48">0.5*(MAX(Q85:S85)-MIN(Q85:S85))</f>
        <v>0</v>
      </c>
      <c r="U85" s="580">
        <f t="shared" ref="U85:U87" si="49">(1.7/100)*P85</f>
        <v>0.34</v>
      </c>
    </row>
    <row r="86" spans="1:21">
      <c r="A86" s="1267"/>
      <c r="B86" s="580">
        <v>50</v>
      </c>
      <c r="C86" s="580">
        <v>0.3</v>
      </c>
      <c r="D86" s="580">
        <v>0.5</v>
      </c>
      <c r="E86" s="580">
        <v>9.9999999999999995E-7</v>
      </c>
      <c r="F86" s="580">
        <f t="shared" si="45"/>
        <v>0.24999950000000001</v>
      </c>
      <c r="G86" s="580">
        <f>(1.7/100)*B86</f>
        <v>0.85000000000000009</v>
      </c>
      <c r="H86" s="1269"/>
      <c r="I86" s="580">
        <v>50</v>
      </c>
      <c r="J86" s="580">
        <v>0.3</v>
      </c>
      <c r="K86" s="580">
        <v>0.2</v>
      </c>
      <c r="L86" s="580">
        <v>9.9999999999999995E-7</v>
      </c>
      <c r="M86" s="580">
        <f t="shared" si="46"/>
        <v>0.14999950000000001</v>
      </c>
      <c r="N86" s="580">
        <f t="shared" si="47"/>
        <v>0.85000000000000009</v>
      </c>
      <c r="O86" s="1269"/>
      <c r="P86" s="580">
        <v>50</v>
      </c>
      <c r="Q86" s="580">
        <v>0.2</v>
      </c>
      <c r="R86" s="580">
        <v>0.2</v>
      </c>
      <c r="S86" s="580">
        <v>9.9999999999999995E-7</v>
      </c>
      <c r="T86" s="580">
        <f t="shared" si="48"/>
        <v>9.9999500000000005E-2</v>
      </c>
      <c r="U86" s="580">
        <f t="shared" si="49"/>
        <v>0.85000000000000009</v>
      </c>
    </row>
    <row r="87" spans="1:21">
      <c r="A87" s="1267"/>
      <c r="B87" s="580">
        <v>100</v>
      </c>
      <c r="C87" s="580">
        <v>0.8</v>
      </c>
      <c r="D87" s="580">
        <v>0.9</v>
      </c>
      <c r="E87" s="580">
        <v>9.9999999999999995E-7</v>
      </c>
      <c r="F87" s="580">
        <f t="shared" si="45"/>
        <v>0.4499995</v>
      </c>
      <c r="G87" s="580">
        <f>(1.7/100)*B87</f>
        <v>1.7000000000000002</v>
      </c>
      <c r="H87" s="1269"/>
      <c r="I87" s="580">
        <v>100</v>
      </c>
      <c r="J87" s="580">
        <v>0.7</v>
      </c>
      <c r="K87" s="580">
        <v>0.4</v>
      </c>
      <c r="L87" s="580">
        <v>9.9999999999999995E-7</v>
      </c>
      <c r="M87" s="580">
        <f t="shared" si="46"/>
        <v>0.34999949999999996</v>
      </c>
      <c r="N87" s="580">
        <f t="shared" si="47"/>
        <v>1.7000000000000002</v>
      </c>
      <c r="O87" s="1269"/>
      <c r="P87" s="580">
        <v>100</v>
      </c>
      <c r="Q87" s="580">
        <v>1.1000000000000001</v>
      </c>
      <c r="R87" s="580">
        <v>0.6</v>
      </c>
      <c r="S87" s="580">
        <v>9.9999999999999995E-7</v>
      </c>
      <c r="T87" s="580">
        <f t="shared" si="48"/>
        <v>0.54999950000000009</v>
      </c>
      <c r="U87" s="580">
        <f t="shared" si="49"/>
        <v>1.7000000000000002</v>
      </c>
    </row>
    <row r="88" spans="1:21" ht="12.75" customHeight="1">
      <c r="A88" s="1267"/>
      <c r="B88" s="1274" t="s">
        <v>507</v>
      </c>
      <c r="C88" s="1274"/>
      <c r="D88" s="1274"/>
      <c r="E88" s="1274"/>
      <c r="F88" s="1273" t="s">
        <v>501</v>
      </c>
      <c r="G88" s="1273" t="s">
        <v>397</v>
      </c>
      <c r="H88" s="1269"/>
      <c r="I88" s="1274" t="s">
        <v>507</v>
      </c>
      <c r="J88" s="1274"/>
      <c r="K88" s="1274"/>
      <c r="L88" s="1274"/>
      <c r="M88" s="1273" t="s">
        <v>501</v>
      </c>
      <c r="N88" s="1273" t="s">
        <v>397</v>
      </c>
      <c r="O88" s="1269"/>
      <c r="P88" s="1274" t="str">
        <f>B88</f>
        <v>Resistance</v>
      </c>
      <c r="Q88" s="1274"/>
      <c r="R88" s="1274"/>
      <c r="S88" s="1274"/>
      <c r="T88" s="1273" t="s">
        <v>501</v>
      </c>
      <c r="U88" s="1273" t="s">
        <v>397</v>
      </c>
    </row>
    <row r="89" spans="1:21" ht="14.5">
      <c r="A89" s="1267"/>
      <c r="B89" s="576" t="s">
        <v>508</v>
      </c>
      <c r="C89" s="577">
        <f>C67</f>
        <v>2023</v>
      </c>
      <c r="D89" s="577">
        <f>D67</f>
        <v>2022</v>
      </c>
      <c r="E89" s="577">
        <f>E67</f>
        <v>2020</v>
      </c>
      <c r="F89" s="1273"/>
      <c r="G89" s="1273"/>
      <c r="H89" s="1269"/>
      <c r="I89" s="576" t="s">
        <v>508</v>
      </c>
      <c r="J89" s="577">
        <f>J67</f>
        <v>2023</v>
      </c>
      <c r="K89" s="577">
        <f>K67</f>
        <v>2022</v>
      </c>
      <c r="L89" s="577">
        <f>L67</f>
        <v>2020</v>
      </c>
      <c r="M89" s="1273"/>
      <c r="N89" s="1273"/>
      <c r="O89" s="1269"/>
      <c r="P89" s="576" t="s">
        <v>508</v>
      </c>
      <c r="Q89" s="577">
        <f>Q67</f>
        <v>2023</v>
      </c>
      <c r="R89" s="577">
        <f>R67</f>
        <v>2022</v>
      </c>
      <c r="S89" s="577">
        <f>S67</f>
        <v>2020</v>
      </c>
      <c r="T89" s="1273"/>
      <c r="U89" s="1273"/>
    </row>
    <row r="90" spans="1:21">
      <c r="A90" s="1267"/>
      <c r="B90" s="580">
        <v>0.1</v>
      </c>
      <c r="C90" s="580">
        <v>3.0000000000000001E-3</v>
      </c>
      <c r="D90" s="580">
        <v>9.9999999999999995E-7</v>
      </c>
      <c r="E90" s="580">
        <v>9.9999999999999995E-7</v>
      </c>
      <c r="F90" s="580">
        <f>0.5*(MAX(C90:E90)-MIN(C90:E90))</f>
        <v>1.4995E-3</v>
      </c>
      <c r="G90" s="580">
        <f>(1.2/100)*B90</f>
        <v>1.2000000000000001E-3</v>
      </c>
      <c r="H90" s="1269"/>
      <c r="I90" s="927">
        <v>0.1</v>
      </c>
      <c r="J90" s="927">
        <v>-3.0000000000000001E-3</v>
      </c>
      <c r="K90" s="927">
        <v>-1E-3</v>
      </c>
      <c r="L90" s="927">
        <v>-1E-3</v>
      </c>
      <c r="M90" s="927">
        <f>0.5*(MAX(J90:L90)-MIN(J90:L90))</f>
        <v>1E-3</v>
      </c>
      <c r="N90" s="927">
        <f>(1.2/100)*I90</f>
        <v>1.2000000000000001E-3</v>
      </c>
      <c r="O90" s="1269"/>
      <c r="P90" s="425">
        <v>1E-3</v>
      </c>
      <c r="Q90" s="425">
        <v>0</v>
      </c>
      <c r="R90" s="425">
        <v>-2E-3</v>
      </c>
      <c r="S90" s="425">
        <v>-1E-3</v>
      </c>
      <c r="T90" s="425">
        <f>0.5*(MAX(Q90:S90)-MIN(Q90:S90))</f>
        <v>1E-3</v>
      </c>
      <c r="U90" s="425">
        <f>(1.2/100)*P90</f>
        <v>1.2E-5</v>
      </c>
    </row>
    <row r="91" spans="1:21">
      <c r="A91" s="1267"/>
      <c r="B91" s="580">
        <v>0.5</v>
      </c>
      <c r="C91" s="580">
        <v>8.0000000000000002E-3</v>
      </c>
      <c r="D91" s="580">
        <v>3.0000000000000001E-3</v>
      </c>
      <c r="E91" s="580">
        <v>9.9999999999999995E-7</v>
      </c>
      <c r="F91" s="580">
        <f t="shared" ref="F91:F93" si="50">0.5*(MAX(C91:E91)-MIN(C91:E91))</f>
        <v>3.9995000000000005E-3</v>
      </c>
      <c r="G91" s="580">
        <f>(1.2/100)*B91</f>
        <v>6.0000000000000001E-3</v>
      </c>
      <c r="H91" s="1269"/>
      <c r="I91" s="927">
        <v>0.5</v>
      </c>
      <c r="J91" s="927">
        <v>1E-3</v>
      </c>
      <c r="K91" s="927">
        <v>4.0000000000000001E-3</v>
      </c>
      <c r="L91" s="927">
        <v>-3.0000000000000001E-3</v>
      </c>
      <c r="M91" s="927">
        <f t="shared" ref="M91:M93" si="51">0.5*(MAX(J91:L91)-MIN(J91:L91))</f>
        <v>3.5000000000000001E-3</v>
      </c>
      <c r="N91" s="927">
        <f>(1.2/100)*I91</f>
        <v>6.0000000000000001E-3</v>
      </c>
      <c r="O91" s="1269"/>
      <c r="P91" s="425">
        <v>0.10199999999999999</v>
      </c>
      <c r="Q91" s="425">
        <v>0</v>
      </c>
      <c r="R91" s="425">
        <v>1E-3</v>
      </c>
      <c r="S91" s="425">
        <v>-2E-3</v>
      </c>
      <c r="T91" s="425">
        <f t="shared" ref="T91:T93" si="52">0.5*(MAX(Q91:S91)-MIN(Q91:S91))</f>
        <v>1.5E-3</v>
      </c>
      <c r="U91" s="425">
        <f>(1.2/100)*P91</f>
        <v>1.224E-3</v>
      </c>
    </row>
    <row r="92" spans="1:21">
      <c r="A92" s="1267"/>
      <c r="B92" s="580">
        <v>1</v>
      </c>
      <c r="C92" s="580">
        <v>-6.0000000000000001E-3</v>
      </c>
      <c r="D92" s="580">
        <v>2E-3</v>
      </c>
      <c r="E92" s="580">
        <v>-2E-3</v>
      </c>
      <c r="F92" s="580">
        <f t="shared" si="50"/>
        <v>4.0000000000000001E-3</v>
      </c>
      <c r="G92" s="580">
        <f>(1.2/100)*B92</f>
        <v>1.2E-2</v>
      </c>
      <c r="H92" s="1269"/>
      <c r="I92" s="927">
        <v>1</v>
      </c>
      <c r="J92" s="927">
        <v>-1E-3</v>
      </c>
      <c r="K92" s="927">
        <v>5.0000000000000001E-3</v>
      </c>
      <c r="L92" s="927">
        <v>1E-3</v>
      </c>
      <c r="M92" s="927">
        <f t="shared" si="51"/>
        <v>3.0000000000000001E-3</v>
      </c>
      <c r="N92" s="927">
        <f>(1.2/100)*I92</f>
        <v>1.2E-2</v>
      </c>
      <c r="O92" s="1269"/>
      <c r="P92" s="425">
        <v>0.5</v>
      </c>
      <c r="Q92" s="425">
        <v>2E-3</v>
      </c>
      <c r="R92" s="425">
        <v>4.0000000000000001E-3</v>
      </c>
      <c r="S92" s="425">
        <v>9.9999999999999995E-7</v>
      </c>
      <c r="T92" s="425">
        <f t="shared" si="52"/>
        <v>1.9995E-3</v>
      </c>
      <c r="U92" s="425">
        <f>(1.2/100)*P92</f>
        <v>6.0000000000000001E-3</v>
      </c>
    </row>
    <row r="93" spans="1:21">
      <c r="A93" s="1267"/>
      <c r="B93" s="580">
        <v>2</v>
      </c>
      <c r="C93" s="580">
        <v>-8.0000000000000002E-3</v>
      </c>
      <c r="D93" s="580">
        <v>-1E-3</v>
      </c>
      <c r="E93" s="580">
        <v>9.9999999999999995E-7</v>
      </c>
      <c r="F93" s="580">
        <f t="shared" si="50"/>
        <v>4.0004999999999997E-3</v>
      </c>
      <c r="G93" s="580">
        <f>(1.2/100)*B93</f>
        <v>2.4E-2</v>
      </c>
      <c r="H93" s="1269"/>
      <c r="I93" s="927">
        <v>2</v>
      </c>
      <c r="J93" s="927">
        <v>-6.0000000000000001E-3</v>
      </c>
      <c r="K93" s="927">
        <v>5.0000000000000001E-3</v>
      </c>
      <c r="L93" s="927">
        <v>-1E-3</v>
      </c>
      <c r="M93" s="927">
        <f t="shared" si="51"/>
        <v>5.4999999999999997E-3</v>
      </c>
      <c r="N93" s="927">
        <f>(1.2/100)*I93</f>
        <v>2.4E-2</v>
      </c>
      <c r="O93" s="1269"/>
      <c r="P93" s="425">
        <v>1</v>
      </c>
      <c r="Q93" s="425">
        <v>-5.0000000000000001E-3</v>
      </c>
      <c r="R93" s="425">
        <v>9.9999999999999995E-7</v>
      </c>
      <c r="S93" s="425">
        <v>-1E-3</v>
      </c>
      <c r="T93" s="425">
        <f t="shared" si="52"/>
        <v>2.5005000000000001E-3</v>
      </c>
      <c r="U93" s="425">
        <f>(1.2/100)*P93</f>
        <v>1.2E-2</v>
      </c>
    </row>
    <row r="94" spans="1:21" ht="15.5">
      <c r="A94" s="595"/>
      <c r="B94" s="417"/>
      <c r="C94" s="417"/>
      <c r="D94" s="591"/>
      <c r="E94" s="498"/>
      <c r="F94" s="596"/>
      <c r="H94" s="592"/>
      <c r="I94" s="417"/>
      <c r="J94" s="417"/>
      <c r="K94" s="591"/>
      <c r="L94" s="591"/>
      <c r="M94" s="591"/>
      <c r="O94" s="592"/>
      <c r="P94" s="417"/>
      <c r="Q94" s="417"/>
      <c r="R94" s="591"/>
      <c r="S94" s="591"/>
      <c r="T94" s="591"/>
    </row>
    <row r="95" spans="1:21" ht="14.5">
      <c r="A95" s="1267" t="s">
        <v>520</v>
      </c>
      <c r="B95" s="1276">
        <v>10</v>
      </c>
      <c r="C95" s="1276"/>
      <c r="D95" s="1276"/>
      <c r="E95" s="1276"/>
      <c r="F95" s="1276"/>
      <c r="G95" s="1276"/>
      <c r="H95" s="1269" t="s">
        <v>521</v>
      </c>
      <c r="I95" s="1270">
        <v>11</v>
      </c>
      <c r="J95" s="1270"/>
      <c r="K95" s="1270"/>
      <c r="L95" s="1270"/>
      <c r="M95" s="1270"/>
      <c r="N95" s="1270"/>
      <c r="O95" s="1269" t="s">
        <v>522</v>
      </c>
      <c r="P95" s="1270">
        <v>12</v>
      </c>
      <c r="Q95" s="1270"/>
      <c r="R95" s="1270"/>
      <c r="S95" s="1270"/>
      <c r="T95" s="1270"/>
      <c r="U95" s="1270"/>
    </row>
    <row r="96" spans="1:21" ht="14">
      <c r="A96" s="1267"/>
      <c r="B96" s="1271" t="s">
        <v>499</v>
      </c>
      <c r="C96" s="1271"/>
      <c r="D96" s="1271"/>
      <c r="E96" s="1271"/>
      <c r="F96" s="1271"/>
      <c r="G96" s="1271"/>
      <c r="H96" s="1269"/>
      <c r="I96" s="1272" t="s">
        <v>499</v>
      </c>
      <c r="J96" s="1272"/>
      <c r="K96" s="1272"/>
      <c r="L96" s="1272"/>
      <c r="M96" s="1272"/>
      <c r="N96" s="1272"/>
      <c r="O96" s="1269"/>
      <c r="P96" s="1272" t="s">
        <v>499</v>
      </c>
      <c r="Q96" s="1272"/>
      <c r="R96" s="1272"/>
      <c r="S96" s="1272"/>
      <c r="T96" s="1272"/>
      <c r="U96" s="1272"/>
    </row>
    <row r="97" spans="1:21" ht="13">
      <c r="A97" s="1267"/>
      <c r="B97" s="1273" t="s">
        <v>500</v>
      </c>
      <c r="C97" s="1273"/>
      <c r="D97" s="1273"/>
      <c r="E97" s="1273"/>
      <c r="F97" s="1273" t="s">
        <v>501</v>
      </c>
      <c r="G97" s="1273" t="s">
        <v>397</v>
      </c>
      <c r="H97" s="1269"/>
      <c r="I97" s="1273" t="str">
        <f>B97</f>
        <v>Setting VAC</v>
      </c>
      <c r="J97" s="1273"/>
      <c r="K97" s="1273"/>
      <c r="L97" s="1273"/>
      <c r="M97" s="1273" t="s">
        <v>501</v>
      </c>
      <c r="N97" s="1273" t="s">
        <v>397</v>
      </c>
      <c r="O97" s="1269"/>
      <c r="P97" s="1273" t="str">
        <f>B97</f>
        <v>Setting VAC</v>
      </c>
      <c r="Q97" s="1273"/>
      <c r="R97" s="1273"/>
      <c r="S97" s="1273"/>
      <c r="T97" s="1273" t="s">
        <v>501</v>
      </c>
      <c r="U97" s="1273" t="s">
        <v>397</v>
      </c>
    </row>
    <row r="98" spans="1:21" ht="14">
      <c r="A98" s="1267"/>
      <c r="B98" s="576" t="s">
        <v>502</v>
      </c>
      <c r="C98" s="578">
        <v>2021</v>
      </c>
      <c r="D98" s="578" t="s">
        <v>156</v>
      </c>
      <c r="E98" s="577">
        <v>2016</v>
      </c>
      <c r="F98" s="1273"/>
      <c r="G98" s="1273"/>
      <c r="H98" s="1269"/>
      <c r="I98" s="576" t="s">
        <v>502</v>
      </c>
      <c r="J98" s="578" t="s">
        <v>156</v>
      </c>
      <c r="K98" s="578" t="s">
        <v>156</v>
      </c>
      <c r="L98" s="577">
        <v>2016</v>
      </c>
      <c r="M98" s="1273"/>
      <c r="N98" s="1273"/>
      <c r="O98" s="1269"/>
      <c r="P98" s="576" t="s">
        <v>502</v>
      </c>
      <c r="Q98" s="578" t="s">
        <v>156</v>
      </c>
      <c r="R98" s="578" t="s">
        <v>156</v>
      </c>
      <c r="S98" s="577">
        <v>2016</v>
      </c>
      <c r="T98" s="1273"/>
      <c r="U98" s="1273"/>
    </row>
    <row r="99" spans="1:21" ht="13">
      <c r="A99" s="1267"/>
      <c r="B99" s="580">
        <v>150</v>
      </c>
      <c r="C99" s="425">
        <v>-0.05</v>
      </c>
      <c r="D99" s="582" t="s">
        <v>156</v>
      </c>
      <c r="E99" s="502"/>
      <c r="F99" s="581">
        <f>0.5*(MAX(C99:E99)-MIN(C99:E99))</f>
        <v>0</v>
      </c>
      <c r="G99" s="582" t="s">
        <v>156</v>
      </c>
      <c r="H99" s="1269"/>
      <c r="I99" s="580">
        <v>150</v>
      </c>
      <c r="J99" s="594">
        <v>9.9999999999999995E-7</v>
      </c>
      <c r="K99" s="582" t="s">
        <v>156</v>
      </c>
      <c r="L99" s="502"/>
      <c r="M99" s="581">
        <f>0.5*(MAX(J99:L99)-MIN(J99:L99))</f>
        <v>0</v>
      </c>
      <c r="N99" s="582" t="s">
        <v>156</v>
      </c>
      <c r="O99" s="1269"/>
      <c r="P99" s="580">
        <v>150</v>
      </c>
      <c r="Q99" s="594">
        <v>9.9999999999999995E-7</v>
      </c>
      <c r="R99" s="582" t="s">
        <v>156</v>
      </c>
      <c r="S99" s="502"/>
      <c r="T99" s="581">
        <f>0.5*(MAX(Q99:S99)-MIN(Q99:S99))</f>
        <v>0</v>
      </c>
      <c r="U99" s="582" t="s">
        <v>156</v>
      </c>
    </row>
    <row r="100" spans="1:21" ht="13">
      <c r="A100" s="1267"/>
      <c r="B100" s="580">
        <v>180</v>
      </c>
      <c r="C100" s="425">
        <v>-0.04</v>
      </c>
      <c r="D100" s="583" t="s">
        <v>156</v>
      </c>
      <c r="E100" s="502"/>
      <c r="F100" s="581">
        <f t="shared" ref="F100:F104" si="53">0.5*(MAX(C100:E100)-MIN(C100:E100))</f>
        <v>0</v>
      </c>
      <c r="G100" s="582" t="s">
        <v>156</v>
      </c>
      <c r="H100" s="1269"/>
      <c r="I100" s="580">
        <v>180</v>
      </c>
      <c r="J100" s="594">
        <v>9.9999999999999995E-7</v>
      </c>
      <c r="K100" s="583" t="s">
        <v>156</v>
      </c>
      <c r="L100" s="502"/>
      <c r="M100" s="581">
        <f t="shared" ref="M100:M104" si="54">0.5*(MAX(J100:L100)-MIN(J100:L100))</f>
        <v>0</v>
      </c>
      <c r="N100" s="583" t="s">
        <v>156</v>
      </c>
      <c r="O100" s="1269"/>
      <c r="P100" s="580">
        <v>180</v>
      </c>
      <c r="Q100" s="594">
        <v>9.9999999999999995E-7</v>
      </c>
      <c r="R100" s="583" t="s">
        <v>156</v>
      </c>
      <c r="S100" s="502"/>
      <c r="T100" s="581">
        <f t="shared" ref="T100:T104" si="55">0.5*(MAX(Q100:S100)-MIN(Q100:S100))</f>
        <v>0</v>
      </c>
      <c r="U100" s="583" t="s">
        <v>156</v>
      </c>
    </row>
    <row r="101" spans="1:21" ht="13">
      <c r="A101" s="1267"/>
      <c r="B101" s="425">
        <v>200</v>
      </c>
      <c r="C101" s="425">
        <v>-0.67</v>
      </c>
      <c r="D101" s="583" t="s">
        <v>156</v>
      </c>
      <c r="E101" s="502"/>
      <c r="F101" s="581">
        <f t="shared" si="53"/>
        <v>0</v>
      </c>
      <c r="G101" s="582" t="s">
        <v>156</v>
      </c>
      <c r="H101" s="1269"/>
      <c r="I101" s="425">
        <v>200</v>
      </c>
      <c r="J101" s="425">
        <v>9.9999999999999995E-7</v>
      </c>
      <c r="K101" s="583" t="s">
        <v>156</v>
      </c>
      <c r="L101" s="502"/>
      <c r="M101" s="581">
        <f t="shared" si="54"/>
        <v>0</v>
      </c>
      <c r="N101" s="583" t="s">
        <v>156</v>
      </c>
      <c r="O101" s="1269"/>
      <c r="P101" s="425">
        <v>200</v>
      </c>
      <c r="Q101" s="594">
        <v>9.9999999999999995E-7</v>
      </c>
      <c r="R101" s="583" t="s">
        <v>156</v>
      </c>
      <c r="S101" s="502"/>
      <c r="T101" s="581">
        <f t="shared" si="55"/>
        <v>0</v>
      </c>
      <c r="U101" s="583" t="s">
        <v>156</v>
      </c>
    </row>
    <row r="102" spans="1:21" ht="13">
      <c r="A102" s="1267"/>
      <c r="B102" s="425">
        <v>220</v>
      </c>
      <c r="C102" s="425">
        <v>9.9999999999999995E-7</v>
      </c>
      <c r="D102" s="583" t="s">
        <v>156</v>
      </c>
      <c r="E102" s="502"/>
      <c r="F102" s="581">
        <f t="shared" si="53"/>
        <v>0</v>
      </c>
      <c r="G102" s="582" t="s">
        <v>156</v>
      </c>
      <c r="H102" s="1269"/>
      <c r="I102" s="425">
        <v>220</v>
      </c>
      <c r="J102" s="425">
        <v>9.9999999999999995E-7</v>
      </c>
      <c r="K102" s="583" t="s">
        <v>156</v>
      </c>
      <c r="L102" s="502"/>
      <c r="M102" s="581">
        <f t="shared" si="54"/>
        <v>0</v>
      </c>
      <c r="N102" s="583" t="s">
        <v>156</v>
      </c>
      <c r="O102" s="1269"/>
      <c r="P102" s="425">
        <v>220</v>
      </c>
      <c r="Q102" s="594">
        <v>9.9999999999999995E-7</v>
      </c>
      <c r="R102" s="583" t="s">
        <v>156</v>
      </c>
      <c r="S102" s="502"/>
      <c r="T102" s="581">
        <f t="shared" si="55"/>
        <v>0</v>
      </c>
      <c r="U102" s="583" t="s">
        <v>156</v>
      </c>
    </row>
    <row r="103" spans="1:21" ht="13">
      <c r="A103" s="1267"/>
      <c r="B103" s="425">
        <v>230</v>
      </c>
      <c r="C103" s="425">
        <v>-0.11</v>
      </c>
      <c r="D103" s="583" t="s">
        <v>156</v>
      </c>
      <c r="E103" s="502"/>
      <c r="F103" s="581">
        <f t="shared" si="53"/>
        <v>0</v>
      </c>
      <c r="G103" s="582" t="s">
        <v>156</v>
      </c>
      <c r="H103" s="1269"/>
      <c r="I103" s="425">
        <v>230</v>
      </c>
      <c r="J103" s="425">
        <v>9.9999999999999995E-7</v>
      </c>
      <c r="K103" s="583" t="s">
        <v>156</v>
      </c>
      <c r="L103" s="502"/>
      <c r="M103" s="581">
        <f t="shared" si="54"/>
        <v>0</v>
      </c>
      <c r="N103" s="583" t="s">
        <v>156</v>
      </c>
      <c r="O103" s="1269"/>
      <c r="P103" s="425">
        <v>230</v>
      </c>
      <c r="Q103" s="594">
        <v>9.9999999999999995E-7</v>
      </c>
      <c r="R103" s="583" t="s">
        <v>156</v>
      </c>
      <c r="S103" s="502"/>
      <c r="T103" s="581">
        <f t="shared" si="55"/>
        <v>0</v>
      </c>
      <c r="U103" s="583" t="s">
        <v>156</v>
      </c>
    </row>
    <row r="104" spans="1:21" ht="13">
      <c r="A104" s="1267"/>
      <c r="B104" s="425">
        <v>250</v>
      </c>
      <c r="C104" s="425">
        <v>-0.11</v>
      </c>
      <c r="D104" s="583" t="s">
        <v>156</v>
      </c>
      <c r="E104" s="502"/>
      <c r="F104" s="581">
        <f t="shared" si="53"/>
        <v>0</v>
      </c>
      <c r="G104" s="582" t="s">
        <v>156</v>
      </c>
      <c r="H104" s="1269"/>
      <c r="I104" s="425">
        <v>250</v>
      </c>
      <c r="J104" s="425">
        <v>9.9999999999999995E-7</v>
      </c>
      <c r="K104" s="583" t="s">
        <v>156</v>
      </c>
      <c r="L104" s="502"/>
      <c r="M104" s="581">
        <f t="shared" si="54"/>
        <v>0</v>
      </c>
      <c r="N104" s="583" t="s">
        <v>156</v>
      </c>
      <c r="O104" s="1269"/>
      <c r="P104" s="425">
        <v>250</v>
      </c>
      <c r="Q104" s="594">
        <v>9.9999999999999995E-7</v>
      </c>
      <c r="R104" s="583" t="s">
        <v>156</v>
      </c>
      <c r="S104" s="502"/>
      <c r="T104" s="581">
        <f t="shared" si="55"/>
        <v>0</v>
      </c>
      <c r="U104" s="583" t="s">
        <v>156</v>
      </c>
    </row>
    <row r="105" spans="1:21" ht="13" customHeight="1">
      <c r="A105" s="1267"/>
      <c r="B105" s="1274" t="s">
        <v>503</v>
      </c>
      <c r="C105" s="1274"/>
      <c r="D105" s="1274"/>
      <c r="E105" s="1274"/>
      <c r="F105" s="1273" t="s">
        <v>501</v>
      </c>
      <c r="G105" s="1273" t="s">
        <v>397</v>
      </c>
      <c r="H105" s="1269"/>
      <c r="I105" s="1274" t="str">
        <f>B105</f>
        <v>Current Leakage</v>
      </c>
      <c r="J105" s="1274"/>
      <c r="K105" s="1274"/>
      <c r="L105" s="1274"/>
      <c r="M105" s="1273" t="s">
        <v>501</v>
      </c>
      <c r="N105" s="1273" t="s">
        <v>397</v>
      </c>
      <c r="O105" s="1269"/>
      <c r="P105" s="1274" t="str">
        <f>B105</f>
        <v>Current Leakage</v>
      </c>
      <c r="Q105" s="1274"/>
      <c r="R105" s="1274"/>
      <c r="S105" s="1274"/>
      <c r="T105" s="1273" t="s">
        <v>501</v>
      </c>
      <c r="U105" s="1273" t="s">
        <v>397</v>
      </c>
    </row>
    <row r="106" spans="1:21" ht="14">
      <c r="A106" s="1267"/>
      <c r="B106" s="576" t="s">
        <v>504</v>
      </c>
      <c r="C106" s="577">
        <f>C98</f>
        <v>2021</v>
      </c>
      <c r="D106" s="577" t="str">
        <f>D98</f>
        <v>-</v>
      </c>
      <c r="E106" s="577">
        <f>E98</f>
        <v>2016</v>
      </c>
      <c r="F106" s="1273"/>
      <c r="G106" s="1273"/>
      <c r="H106" s="1269"/>
      <c r="I106" s="576" t="s">
        <v>504</v>
      </c>
      <c r="J106" s="577" t="str">
        <f>J98</f>
        <v>-</v>
      </c>
      <c r="K106" s="577" t="str">
        <f>K98</f>
        <v>-</v>
      </c>
      <c r="L106" s="577">
        <f>L98</f>
        <v>2016</v>
      </c>
      <c r="M106" s="1273"/>
      <c r="N106" s="1273"/>
      <c r="O106" s="1269"/>
      <c r="P106" s="576" t="s">
        <v>504</v>
      </c>
      <c r="Q106" s="577" t="str">
        <f>Q98</f>
        <v>-</v>
      </c>
      <c r="R106" s="577" t="str">
        <f>R98</f>
        <v>-</v>
      </c>
      <c r="S106" s="577">
        <f>S98</f>
        <v>2016</v>
      </c>
      <c r="T106" s="1273"/>
      <c r="U106" s="1273"/>
    </row>
    <row r="107" spans="1:21" ht="13">
      <c r="A107" s="1267"/>
      <c r="B107" s="425">
        <v>0</v>
      </c>
      <c r="C107" s="425">
        <v>9.9999999999999995E-7</v>
      </c>
      <c r="D107" s="582" t="s">
        <v>156</v>
      </c>
      <c r="E107" s="502"/>
      <c r="F107" s="581">
        <f>0.5*(MAX(C107:E107)-MIN(C107:E107))</f>
        <v>0</v>
      </c>
      <c r="G107" s="582" t="s">
        <v>156</v>
      </c>
      <c r="H107" s="1269"/>
      <c r="I107" s="425">
        <v>0</v>
      </c>
      <c r="J107" s="425">
        <v>9.9999999999999995E-7</v>
      </c>
      <c r="K107" s="582" t="s">
        <v>156</v>
      </c>
      <c r="L107" s="502"/>
      <c r="M107" s="581">
        <f>0.5*(MAX(J107:L107)-MIN(J107:L107))</f>
        <v>0</v>
      </c>
      <c r="N107" s="582" t="s">
        <v>156</v>
      </c>
      <c r="O107" s="1269"/>
      <c r="P107" s="425">
        <v>0</v>
      </c>
      <c r="Q107" s="425">
        <v>9.9999999999999995E-7</v>
      </c>
      <c r="R107" s="582" t="s">
        <v>156</v>
      </c>
      <c r="S107" s="502"/>
      <c r="T107" s="581">
        <f>0.5*(MAX(Q107:S107)-MIN(Q107:S107))</f>
        <v>0</v>
      </c>
      <c r="U107" s="582" t="s">
        <v>156</v>
      </c>
    </row>
    <row r="108" spans="1:21" ht="13">
      <c r="A108" s="1267"/>
      <c r="B108" s="425">
        <v>50</v>
      </c>
      <c r="C108" s="425">
        <v>0.4</v>
      </c>
      <c r="D108" s="583" t="s">
        <v>156</v>
      </c>
      <c r="E108" s="502"/>
      <c r="F108" s="581">
        <f t="shared" ref="F108:F112" si="56">0.5*(MAX(C108:E108)-MIN(C108:E108))</f>
        <v>0</v>
      </c>
      <c r="G108" s="582" t="s">
        <v>156</v>
      </c>
      <c r="H108" s="1269"/>
      <c r="I108" s="425">
        <v>50</v>
      </c>
      <c r="J108" s="425">
        <v>9.9999999999999995E-7</v>
      </c>
      <c r="K108" s="583" t="s">
        <v>156</v>
      </c>
      <c r="L108" s="502"/>
      <c r="M108" s="581">
        <f t="shared" ref="M108:M112" si="57">0.5*(MAX(J108:L108)-MIN(J108:L108))</f>
        <v>0</v>
      </c>
      <c r="N108" s="583" t="s">
        <v>156</v>
      </c>
      <c r="O108" s="1269"/>
      <c r="P108" s="425">
        <v>50</v>
      </c>
      <c r="Q108" s="425">
        <v>9.9999999999999995E-7</v>
      </c>
      <c r="R108" s="583" t="s">
        <v>156</v>
      </c>
      <c r="S108" s="502"/>
      <c r="T108" s="581">
        <f t="shared" ref="T108:T112" si="58">0.5*(MAX(Q108:S108)-MIN(Q108:S108))</f>
        <v>0</v>
      </c>
      <c r="U108" s="583" t="s">
        <v>156</v>
      </c>
    </row>
    <row r="109" spans="1:21" ht="13">
      <c r="A109" s="1267"/>
      <c r="B109" s="425">
        <v>100</v>
      </c>
      <c r="C109" s="425">
        <v>0.4</v>
      </c>
      <c r="D109" s="583" t="s">
        <v>156</v>
      </c>
      <c r="E109" s="502"/>
      <c r="F109" s="581">
        <f t="shared" si="56"/>
        <v>0</v>
      </c>
      <c r="G109" s="582" t="s">
        <v>156</v>
      </c>
      <c r="H109" s="1269"/>
      <c r="I109" s="425">
        <v>100</v>
      </c>
      <c r="J109" s="594">
        <v>9.9999999999999995E-7</v>
      </c>
      <c r="K109" s="583" t="s">
        <v>156</v>
      </c>
      <c r="L109" s="502"/>
      <c r="M109" s="581">
        <f t="shared" si="57"/>
        <v>0</v>
      </c>
      <c r="N109" s="583" t="s">
        <v>156</v>
      </c>
      <c r="O109" s="1269"/>
      <c r="P109" s="425">
        <v>100</v>
      </c>
      <c r="Q109" s="425">
        <v>9.9999999999999995E-7</v>
      </c>
      <c r="R109" s="583" t="s">
        <v>156</v>
      </c>
      <c r="S109" s="502"/>
      <c r="T109" s="581">
        <f t="shared" si="58"/>
        <v>0</v>
      </c>
      <c r="U109" s="583" t="s">
        <v>156</v>
      </c>
    </row>
    <row r="110" spans="1:21" ht="13">
      <c r="A110" s="1267"/>
      <c r="B110" s="425">
        <v>200</v>
      </c>
      <c r="C110" s="425">
        <v>0.4</v>
      </c>
      <c r="D110" s="583" t="s">
        <v>156</v>
      </c>
      <c r="E110" s="502"/>
      <c r="F110" s="581">
        <f t="shared" si="56"/>
        <v>0</v>
      </c>
      <c r="G110" s="582" t="s">
        <v>156</v>
      </c>
      <c r="H110" s="1269"/>
      <c r="I110" s="425">
        <v>200</v>
      </c>
      <c r="J110" s="425">
        <v>9.9999999999999995E-7</v>
      </c>
      <c r="K110" s="583" t="s">
        <v>156</v>
      </c>
      <c r="L110" s="502"/>
      <c r="M110" s="581">
        <f t="shared" si="57"/>
        <v>0</v>
      </c>
      <c r="N110" s="583" t="s">
        <v>156</v>
      </c>
      <c r="O110" s="1269"/>
      <c r="P110" s="425">
        <v>200</v>
      </c>
      <c r="Q110" s="425">
        <v>9.9999999999999995E-7</v>
      </c>
      <c r="R110" s="583" t="s">
        <v>156</v>
      </c>
      <c r="S110" s="502"/>
      <c r="T110" s="581">
        <f t="shared" si="58"/>
        <v>0</v>
      </c>
      <c r="U110" s="583" t="s">
        <v>156</v>
      </c>
    </row>
    <row r="111" spans="1:21" ht="13">
      <c r="A111" s="1267"/>
      <c r="B111" s="425">
        <v>500</v>
      </c>
      <c r="C111" s="425">
        <v>1.5</v>
      </c>
      <c r="D111" s="583" t="s">
        <v>156</v>
      </c>
      <c r="E111" s="502"/>
      <c r="F111" s="581">
        <f t="shared" si="56"/>
        <v>0</v>
      </c>
      <c r="G111" s="582" t="s">
        <v>156</v>
      </c>
      <c r="H111" s="1269"/>
      <c r="I111" s="425">
        <v>500</v>
      </c>
      <c r="J111" s="425">
        <v>9.9999999999999995E-7</v>
      </c>
      <c r="K111" s="583" t="s">
        <v>156</v>
      </c>
      <c r="L111" s="502"/>
      <c r="M111" s="581">
        <f t="shared" si="57"/>
        <v>0</v>
      </c>
      <c r="N111" s="583" t="s">
        <v>156</v>
      </c>
      <c r="O111" s="1269"/>
      <c r="P111" s="425">
        <v>500</v>
      </c>
      <c r="Q111" s="425">
        <v>9.9999999999999995E-7</v>
      </c>
      <c r="R111" s="583" t="s">
        <v>156</v>
      </c>
      <c r="S111" s="502"/>
      <c r="T111" s="581">
        <f t="shared" si="58"/>
        <v>0</v>
      </c>
      <c r="U111" s="583" t="s">
        <v>156</v>
      </c>
    </row>
    <row r="112" spans="1:21" ht="13">
      <c r="A112" s="1267"/>
      <c r="B112" s="425">
        <v>1000</v>
      </c>
      <c r="C112" s="425">
        <v>2</v>
      </c>
      <c r="D112" s="583" t="s">
        <v>156</v>
      </c>
      <c r="E112" s="502"/>
      <c r="F112" s="581">
        <f t="shared" si="56"/>
        <v>0</v>
      </c>
      <c r="G112" s="582" t="s">
        <v>156</v>
      </c>
      <c r="H112" s="1269"/>
      <c r="I112" s="425">
        <v>1000</v>
      </c>
      <c r="J112" s="425">
        <v>9.9999999999999995E-7</v>
      </c>
      <c r="K112" s="583" t="s">
        <v>156</v>
      </c>
      <c r="L112" s="502"/>
      <c r="M112" s="581">
        <f t="shared" si="57"/>
        <v>0</v>
      </c>
      <c r="N112" s="583" t="s">
        <v>156</v>
      </c>
      <c r="O112" s="1269"/>
      <c r="P112" s="425">
        <v>1000</v>
      </c>
      <c r="Q112" s="425">
        <v>9.9999999999999995E-7</v>
      </c>
      <c r="R112" s="583" t="s">
        <v>156</v>
      </c>
      <c r="S112" s="502"/>
      <c r="T112" s="581">
        <f t="shared" si="58"/>
        <v>0</v>
      </c>
      <c r="U112" s="583" t="s">
        <v>156</v>
      </c>
    </row>
    <row r="113" spans="1:21" ht="13">
      <c r="A113" s="1267"/>
      <c r="B113" s="1274" t="s">
        <v>505</v>
      </c>
      <c r="C113" s="1274"/>
      <c r="D113" s="1274"/>
      <c r="E113" s="1274"/>
      <c r="F113" s="1273" t="s">
        <v>501</v>
      </c>
      <c r="G113" s="1273" t="s">
        <v>397</v>
      </c>
      <c r="H113" s="1269"/>
      <c r="I113" s="1274" t="s">
        <v>505</v>
      </c>
      <c r="J113" s="1274"/>
      <c r="K113" s="1274"/>
      <c r="L113" s="1274"/>
      <c r="M113" s="1273" t="s">
        <v>501</v>
      </c>
      <c r="N113" s="1273" t="s">
        <v>397</v>
      </c>
      <c r="O113" s="1269"/>
      <c r="P113" s="1274" t="str">
        <f>B113</f>
        <v>Main-PE</v>
      </c>
      <c r="Q113" s="1274"/>
      <c r="R113" s="1274"/>
      <c r="S113" s="1274"/>
      <c r="T113" s="1273" t="s">
        <v>501</v>
      </c>
      <c r="U113" s="1273" t="s">
        <v>397</v>
      </c>
    </row>
    <row r="114" spans="1:21" ht="14.5">
      <c r="A114" s="1267"/>
      <c r="B114" s="576" t="s">
        <v>506</v>
      </c>
      <c r="C114" s="577">
        <f>C98</f>
        <v>2021</v>
      </c>
      <c r="D114" s="577" t="str">
        <f>D98</f>
        <v>-</v>
      </c>
      <c r="E114" s="577">
        <f>E98</f>
        <v>2016</v>
      </c>
      <c r="F114" s="1273"/>
      <c r="G114" s="1273"/>
      <c r="H114" s="1269"/>
      <c r="I114" s="576" t="s">
        <v>506</v>
      </c>
      <c r="J114" s="577" t="str">
        <f>J98</f>
        <v>-</v>
      </c>
      <c r="K114" s="577" t="str">
        <f>K98</f>
        <v>-</v>
      </c>
      <c r="L114" s="577">
        <f>L98</f>
        <v>2016</v>
      </c>
      <c r="M114" s="1273"/>
      <c r="N114" s="1273"/>
      <c r="O114" s="1269"/>
      <c r="P114" s="576" t="s">
        <v>506</v>
      </c>
      <c r="Q114" s="577" t="str">
        <f>Q98</f>
        <v>-</v>
      </c>
      <c r="R114" s="577" t="str">
        <f>R98</f>
        <v>-</v>
      </c>
      <c r="S114" s="577">
        <f>S98</f>
        <v>2016</v>
      </c>
      <c r="T114" s="1273"/>
      <c r="U114" s="1273"/>
    </row>
    <row r="115" spans="1:21">
      <c r="A115" s="1267"/>
      <c r="B115" s="425">
        <v>10</v>
      </c>
      <c r="C115" s="425">
        <v>9.9999999999999995E-7</v>
      </c>
      <c r="D115" s="583" t="s">
        <v>156</v>
      </c>
      <c r="E115" s="502"/>
      <c r="F115" s="581">
        <f>0.5*(MAX(C115:E115)-MIN(C115:E115))</f>
        <v>0</v>
      </c>
      <c r="G115" s="587" t="s">
        <v>156</v>
      </c>
      <c r="H115" s="1269"/>
      <c r="I115" s="425">
        <v>10</v>
      </c>
      <c r="J115" s="425">
        <v>9.9999999999999995E-7</v>
      </c>
      <c r="K115" s="583" t="s">
        <v>156</v>
      </c>
      <c r="L115" s="502"/>
      <c r="M115" s="581">
        <f>0.5*(MAX(J115:L115)-MIN(J115:L115))</f>
        <v>0</v>
      </c>
      <c r="N115" s="583" t="s">
        <v>156</v>
      </c>
      <c r="O115" s="1269"/>
      <c r="P115" s="425">
        <v>10</v>
      </c>
      <c r="Q115" s="425">
        <v>9.9999999999999995E-7</v>
      </c>
      <c r="R115" s="583" t="s">
        <v>156</v>
      </c>
      <c r="S115" s="502"/>
      <c r="T115" s="581">
        <f>0.5*(MAX(Q115:S115)-MIN(Q115:S115))</f>
        <v>0</v>
      </c>
      <c r="U115" s="583" t="s">
        <v>156</v>
      </c>
    </row>
    <row r="116" spans="1:21">
      <c r="A116" s="1267"/>
      <c r="B116" s="425">
        <v>20</v>
      </c>
      <c r="C116" s="425">
        <v>0.1</v>
      </c>
      <c r="D116" s="583" t="s">
        <v>156</v>
      </c>
      <c r="E116" s="502"/>
      <c r="F116" s="581">
        <f t="shared" ref="F116:F118" si="59">0.5*(MAX(C116:E116)-MIN(C116:E116))</f>
        <v>0</v>
      </c>
      <c r="G116" s="587" t="s">
        <v>156</v>
      </c>
      <c r="H116" s="1269"/>
      <c r="I116" s="425">
        <v>20</v>
      </c>
      <c r="J116" s="425">
        <v>9.9999999999999995E-7</v>
      </c>
      <c r="K116" s="583" t="s">
        <v>156</v>
      </c>
      <c r="L116" s="502"/>
      <c r="M116" s="581">
        <f t="shared" ref="M116:M118" si="60">0.5*(MAX(J116:L116)-MIN(J116:L116))</f>
        <v>0</v>
      </c>
      <c r="N116" s="583" t="s">
        <v>156</v>
      </c>
      <c r="O116" s="1269"/>
      <c r="P116" s="425">
        <v>20</v>
      </c>
      <c r="Q116" s="425">
        <v>9.9999999999999995E-7</v>
      </c>
      <c r="R116" s="583" t="s">
        <v>156</v>
      </c>
      <c r="S116" s="502"/>
      <c r="T116" s="581">
        <f t="shared" ref="T116:T118" si="61">0.5*(MAX(Q116:S116)-MIN(Q116:S116))</f>
        <v>0</v>
      </c>
      <c r="U116" s="583" t="s">
        <v>156</v>
      </c>
    </row>
    <row r="117" spans="1:21">
      <c r="A117" s="1267"/>
      <c r="B117" s="425">
        <v>50</v>
      </c>
      <c r="C117" s="425">
        <v>0.4</v>
      </c>
      <c r="D117" s="587" t="s">
        <v>156</v>
      </c>
      <c r="E117" s="502"/>
      <c r="F117" s="581">
        <f t="shared" si="59"/>
        <v>0</v>
      </c>
      <c r="G117" s="587" t="s">
        <v>156</v>
      </c>
      <c r="H117" s="1269"/>
      <c r="I117" s="425">
        <v>50</v>
      </c>
      <c r="J117" s="425">
        <v>9.9999999999999995E-7</v>
      </c>
      <c r="K117" s="587" t="s">
        <v>156</v>
      </c>
      <c r="L117" s="502"/>
      <c r="M117" s="581">
        <f t="shared" si="60"/>
        <v>0</v>
      </c>
      <c r="N117" s="587" t="s">
        <v>156</v>
      </c>
      <c r="O117" s="1269"/>
      <c r="P117" s="425">
        <v>50</v>
      </c>
      <c r="Q117" s="425">
        <v>9.9999999999999995E-7</v>
      </c>
      <c r="R117" s="587" t="s">
        <v>156</v>
      </c>
      <c r="S117" s="502"/>
      <c r="T117" s="581">
        <f t="shared" si="61"/>
        <v>0</v>
      </c>
      <c r="U117" s="587" t="s">
        <v>156</v>
      </c>
    </row>
    <row r="118" spans="1:21">
      <c r="A118" s="1267"/>
      <c r="B118" s="425">
        <v>100</v>
      </c>
      <c r="C118" s="425">
        <v>1.4</v>
      </c>
      <c r="D118" s="587" t="s">
        <v>156</v>
      </c>
      <c r="E118" s="502"/>
      <c r="F118" s="581">
        <f t="shared" si="59"/>
        <v>0</v>
      </c>
      <c r="G118" s="587" t="s">
        <v>156</v>
      </c>
      <c r="H118" s="1269"/>
      <c r="I118" s="425">
        <v>100</v>
      </c>
      <c r="J118" s="425">
        <v>9.9999999999999995E-7</v>
      </c>
      <c r="K118" s="587" t="s">
        <v>156</v>
      </c>
      <c r="L118" s="502"/>
      <c r="M118" s="581">
        <f t="shared" si="60"/>
        <v>0</v>
      </c>
      <c r="N118" s="587" t="s">
        <v>156</v>
      </c>
      <c r="O118" s="1269"/>
      <c r="P118" s="425">
        <v>100</v>
      </c>
      <c r="Q118" s="425">
        <v>9.9999999999999995E-7</v>
      </c>
      <c r="R118" s="587" t="s">
        <v>156</v>
      </c>
      <c r="S118" s="502"/>
      <c r="T118" s="581">
        <f t="shared" si="61"/>
        <v>0</v>
      </c>
      <c r="U118" s="587" t="s">
        <v>156</v>
      </c>
    </row>
    <row r="119" spans="1:21" ht="13" customHeight="1">
      <c r="A119" s="1267"/>
      <c r="B119" s="1274" t="s">
        <v>507</v>
      </c>
      <c r="C119" s="1274"/>
      <c r="D119" s="1274"/>
      <c r="E119" s="1274"/>
      <c r="F119" s="1273" t="s">
        <v>501</v>
      </c>
      <c r="G119" s="1273" t="s">
        <v>397</v>
      </c>
      <c r="H119" s="1269"/>
      <c r="I119" s="1274" t="s">
        <v>507</v>
      </c>
      <c r="J119" s="1274"/>
      <c r="K119" s="1274"/>
      <c r="L119" s="1274"/>
      <c r="M119" s="1273" t="s">
        <v>501</v>
      </c>
      <c r="N119" s="1273" t="s">
        <v>397</v>
      </c>
      <c r="O119" s="1269"/>
      <c r="P119" s="1274" t="str">
        <f>B119</f>
        <v>Resistance</v>
      </c>
      <c r="Q119" s="1274"/>
      <c r="R119" s="1274"/>
      <c r="S119" s="1274"/>
      <c r="T119" s="1273" t="s">
        <v>501</v>
      </c>
      <c r="U119" s="1273" t="s">
        <v>397</v>
      </c>
    </row>
    <row r="120" spans="1:21" ht="14.5">
      <c r="A120" s="1267"/>
      <c r="B120" s="576" t="s">
        <v>508</v>
      </c>
      <c r="C120" s="577">
        <f>C98</f>
        <v>2021</v>
      </c>
      <c r="D120" s="577" t="str">
        <f>D98</f>
        <v>-</v>
      </c>
      <c r="E120" s="577">
        <f>E98</f>
        <v>2016</v>
      </c>
      <c r="F120" s="1273"/>
      <c r="G120" s="1273"/>
      <c r="H120" s="1269"/>
      <c r="I120" s="576" t="s">
        <v>508</v>
      </c>
      <c r="J120" s="577" t="str">
        <f>J98</f>
        <v>-</v>
      </c>
      <c r="K120" s="577" t="str">
        <f>K98</f>
        <v>-</v>
      </c>
      <c r="L120" s="577">
        <f>L98</f>
        <v>2016</v>
      </c>
      <c r="M120" s="1273"/>
      <c r="N120" s="1273"/>
      <c r="O120" s="1269"/>
      <c r="P120" s="576" t="s">
        <v>508</v>
      </c>
      <c r="Q120" s="577" t="str">
        <f>Q98</f>
        <v>-</v>
      </c>
      <c r="R120" s="577" t="str">
        <f>R98</f>
        <v>-</v>
      </c>
      <c r="S120" s="577">
        <f>S98</f>
        <v>2016</v>
      </c>
      <c r="T120" s="1273"/>
      <c r="U120" s="1273"/>
    </row>
    <row r="121" spans="1:21">
      <c r="A121" s="1267"/>
      <c r="B121" s="425">
        <v>0</v>
      </c>
      <c r="C121" s="425">
        <v>9.9999999999999995E-7</v>
      </c>
      <c r="D121" s="587" t="s">
        <v>156</v>
      </c>
      <c r="E121" s="502"/>
      <c r="F121" s="581">
        <f>0.5*(MAX(C121:E121)-MIN(C121:E121))</f>
        <v>0</v>
      </c>
      <c r="G121" s="587" t="s">
        <v>156</v>
      </c>
      <c r="H121" s="1269"/>
      <c r="I121" s="425">
        <v>0.01</v>
      </c>
      <c r="J121" s="594">
        <v>9.9999999999999995E-7</v>
      </c>
      <c r="K121" s="587" t="s">
        <v>156</v>
      </c>
      <c r="L121" s="502"/>
      <c r="M121" s="581">
        <f>0.5*(MAX(J121:L121)-MIN(J121:L121))</f>
        <v>0</v>
      </c>
      <c r="N121" s="587" t="s">
        <v>156</v>
      </c>
      <c r="O121" s="1269"/>
      <c r="P121" s="425">
        <v>0.01</v>
      </c>
      <c r="Q121" s="594">
        <v>9.9999999999999995E-7</v>
      </c>
      <c r="R121" s="587" t="s">
        <v>156</v>
      </c>
      <c r="S121" s="502"/>
      <c r="T121" s="581">
        <f>0.5*(MAX(Q121:S121)-MIN(Q121:S121))</f>
        <v>0</v>
      </c>
      <c r="U121" s="587" t="s">
        <v>156</v>
      </c>
    </row>
    <row r="122" spans="1:21">
      <c r="A122" s="1267"/>
      <c r="B122" s="425">
        <v>0.1</v>
      </c>
      <c r="C122" s="425">
        <v>-2E-3</v>
      </c>
      <c r="D122" s="583" t="s">
        <v>156</v>
      </c>
      <c r="E122" s="502"/>
      <c r="F122" s="581">
        <f t="shared" ref="F122:F124" si="62">0.5*(MAX(C122:E122)-MIN(C122:E122))</f>
        <v>0</v>
      </c>
      <c r="G122" s="587" t="s">
        <v>156</v>
      </c>
      <c r="H122" s="1269"/>
      <c r="I122" s="425">
        <v>0.1</v>
      </c>
      <c r="J122" s="425">
        <v>9.9999999999999995E-7</v>
      </c>
      <c r="K122" s="583" t="s">
        <v>156</v>
      </c>
      <c r="L122" s="502"/>
      <c r="M122" s="581">
        <f t="shared" ref="M122:M124" si="63">0.5*(MAX(J122:L122)-MIN(J122:L122))</f>
        <v>0</v>
      </c>
      <c r="N122" s="583" t="s">
        <v>156</v>
      </c>
      <c r="O122" s="1269"/>
      <c r="P122" s="425">
        <v>0.1</v>
      </c>
      <c r="Q122" s="594">
        <v>9.9999999999999995E-7</v>
      </c>
      <c r="R122" s="583" t="s">
        <v>156</v>
      </c>
      <c r="S122" s="502"/>
      <c r="T122" s="581">
        <f t="shared" ref="T122:T124" si="64">0.5*(MAX(Q122:S122)-MIN(Q122:S122))</f>
        <v>0</v>
      </c>
      <c r="U122" s="583" t="s">
        <v>156</v>
      </c>
    </row>
    <row r="123" spans="1:21">
      <c r="A123" s="1267"/>
      <c r="B123" s="425">
        <v>1</v>
      </c>
      <c r="C123" s="425">
        <v>-8.0000000000000002E-3</v>
      </c>
      <c r="D123" s="583" t="s">
        <v>156</v>
      </c>
      <c r="E123" s="502"/>
      <c r="F123" s="581">
        <f t="shared" si="62"/>
        <v>0</v>
      </c>
      <c r="G123" s="587" t="s">
        <v>156</v>
      </c>
      <c r="H123" s="1269"/>
      <c r="I123" s="425">
        <v>1</v>
      </c>
      <c r="J123" s="425">
        <v>9.9999999999999995E-7</v>
      </c>
      <c r="K123" s="583" t="s">
        <v>156</v>
      </c>
      <c r="L123" s="502"/>
      <c r="M123" s="581">
        <f t="shared" si="63"/>
        <v>0</v>
      </c>
      <c r="N123" s="583" t="s">
        <v>156</v>
      </c>
      <c r="O123" s="1269"/>
      <c r="P123" s="425">
        <v>1</v>
      </c>
      <c r="Q123" s="594">
        <v>9.9999999999999995E-7</v>
      </c>
      <c r="R123" s="583" t="s">
        <v>156</v>
      </c>
      <c r="S123" s="502"/>
      <c r="T123" s="581">
        <f t="shared" si="64"/>
        <v>0</v>
      </c>
      <c r="U123" s="583" t="s">
        <v>156</v>
      </c>
    </row>
    <row r="124" spans="1:21">
      <c r="A124" s="1267"/>
      <c r="B124" s="425">
        <v>2</v>
      </c>
      <c r="C124" s="425">
        <v>-7.0000000000000001E-3</v>
      </c>
      <c r="D124" s="583" t="s">
        <v>156</v>
      </c>
      <c r="E124" s="502"/>
      <c r="F124" s="581">
        <f t="shared" si="62"/>
        <v>0</v>
      </c>
      <c r="G124" s="587" t="s">
        <v>156</v>
      </c>
      <c r="H124" s="1269"/>
      <c r="I124" s="425">
        <v>2</v>
      </c>
      <c r="J124" s="425">
        <v>9.9999999999999995E-7</v>
      </c>
      <c r="K124" s="583" t="s">
        <v>156</v>
      </c>
      <c r="L124" s="502"/>
      <c r="M124" s="581">
        <f t="shared" si="63"/>
        <v>0</v>
      </c>
      <c r="N124" s="583" t="s">
        <v>156</v>
      </c>
      <c r="O124" s="1269"/>
      <c r="P124" s="425">
        <v>2</v>
      </c>
      <c r="Q124" s="594">
        <v>9.9999999999999995E-7</v>
      </c>
      <c r="R124" s="583" t="s">
        <v>156</v>
      </c>
      <c r="S124" s="502"/>
      <c r="T124" s="581">
        <f t="shared" si="64"/>
        <v>0</v>
      </c>
      <c r="U124" s="583" t="s">
        <v>156</v>
      </c>
    </row>
    <row r="125" spans="1:21" ht="15.5">
      <c r="A125" s="1279"/>
      <c r="B125" s="1280"/>
      <c r="C125" s="1280"/>
      <c r="D125" s="1280"/>
      <c r="E125" s="1280"/>
      <c r="F125" s="1280"/>
      <c r="G125" s="1280"/>
      <c r="H125" s="1280"/>
      <c r="I125" s="1280"/>
      <c r="J125" s="1280"/>
      <c r="K125" s="1280"/>
      <c r="L125" s="1280"/>
      <c r="M125" s="1280"/>
      <c r="N125" s="1280"/>
      <c r="O125" s="1280"/>
      <c r="P125" s="1280"/>
      <c r="Q125" s="1280"/>
      <c r="R125" s="1280"/>
      <c r="S125" s="1280"/>
      <c r="T125" s="1280"/>
      <c r="U125" s="1280"/>
    </row>
    <row r="126" spans="1:21" ht="15.5">
      <c r="A126" s="1279"/>
      <c r="B126" s="1280"/>
      <c r="C126" s="1280"/>
      <c r="D126" s="1280"/>
      <c r="E126" s="1280"/>
      <c r="F126" s="1280"/>
      <c r="G126" s="1280"/>
      <c r="H126" s="1280"/>
      <c r="I126" s="1280"/>
      <c r="J126" s="1280"/>
      <c r="K126" s="1280"/>
      <c r="L126" s="1280"/>
      <c r="M126" s="1280"/>
      <c r="N126" s="1280"/>
      <c r="O126" s="1280"/>
      <c r="P126" s="1280"/>
      <c r="Q126" s="1280"/>
      <c r="R126" s="1280"/>
      <c r="S126" s="1280"/>
      <c r="T126" s="1280"/>
      <c r="U126" s="1280"/>
    </row>
    <row r="127" spans="1:21">
      <c r="A127" s="597"/>
      <c r="B127" s="436"/>
      <c r="C127" s="436"/>
      <c r="D127" s="598"/>
      <c r="E127" s="598"/>
      <c r="F127" s="598"/>
      <c r="G127" s="598"/>
      <c r="H127" s="598"/>
      <c r="I127" s="598"/>
      <c r="J127" s="598"/>
      <c r="K127" s="598"/>
      <c r="L127" s="598"/>
      <c r="M127" s="598"/>
      <c r="N127" s="598"/>
      <c r="O127" s="598"/>
      <c r="P127" s="598"/>
      <c r="Q127" s="598"/>
    </row>
    <row r="128" spans="1:21" ht="14">
      <c r="A128" s="1281" t="s">
        <v>523</v>
      </c>
      <c r="B128" s="1282"/>
      <c r="C128" s="1283" t="s">
        <v>499</v>
      </c>
      <c r="D128" s="1283"/>
      <c r="E128" s="1283"/>
      <c r="F128" s="1283"/>
      <c r="G128" s="1283"/>
      <c r="H128" s="1283"/>
      <c r="J128" s="1281" t="str">
        <f>A128</f>
        <v>No. Urut</v>
      </c>
      <c r="K128" s="1282"/>
      <c r="L128" s="1284" t="s">
        <v>499</v>
      </c>
      <c r="M128" s="1285"/>
      <c r="N128" s="1285"/>
      <c r="O128" s="1286"/>
      <c r="P128" s="599"/>
      <c r="Q128" s="599"/>
    </row>
    <row r="129" spans="1:17" ht="13" customHeight="1">
      <c r="A129" s="1281"/>
      <c r="B129" s="1282"/>
      <c r="C129" s="1287" t="str">
        <f>B4</f>
        <v>Setting VAC</v>
      </c>
      <c r="D129" s="1287"/>
      <c r="E129" s="1287"/>
      <c r="F129" s="1287"/>
      <c r="G129" s="600" t="s">
        <v>501</v>
      </c>
      <c r="H129" s="600" t="s">
        <v>397</v>
      </c>
      <c r="J129" s="1281"/>
      <c r="K129" s="1282"/>
      <c r="L129" s="1277" t="str">
        <f>B12</f>
        <v>Current Leakage</v>
      </c>
      <c r="M129" s="1277"/>
      <c r="N129" s="1277"/>
      <c r="O129" s="1277"/>
      <c r="P129" s="600" t="s">
        <v>501</v>
      </c>
      <c r="Q129" s="600" t="s">
        <v>397</v>
      </c>
    </row>
    <row r="130" spans="1:17" ht="14">
      <c r="A130" s="1281"/>
      <c r="B130" s="1282"/>
      <c r="C130" s="601" t="s">
        <v>502</v>
      </c>
      <c r="D130" s="600"/>
      <c r="E130" s="600"/>
      <c r="F130" s="502"/>
      <c r="G130" s="600"/>
      <c r="H130" s="600"/>
      <c r="J130" s="1281"/>
      <c r="K130" s="1282"/>
      <c r="L130" s="601" t="s">
        <v>504</v>
      </c>
      <c r="M130" s="600"/>
      <c r="N130" s="600"/>
      <c r="O130" s="502"/>
      <c r="P130" s="600"/>
      <c r="Q130" s="600"/>
    </row>
    <row r="131" spans="1:17">
      <c r="A131" s="1278" t="s">
        <v>518</v>
      </c>
      <c r="B131" s="602">
        <v>1</v>
      </c>
      <c r="C131" s="602">
        <f t="shared" ref="C131:H131" si="65">B6</f>
        <v>150</v>
      </c>
      <c r="D131" s="602">
        <f t="shared" si="65"/>
        <v>0.31</v>
      </c>
      <c r="E131" s="602">
        <f t="shared" si="65"/>
        <v>0.76</v>
      </c>
      <c r="F131" s="602">
        <f t="shared" si="65"/>
        <v>0</v>
      </c>
      <c r="G131" s="602">
        <f t="shared" si="65"/>
        <v>0.22500000000000001</v>
      </c>
      <c r="H131" s="602">
        <f t="shared" si="65"/>
        <v>1.8</v>
      </c>
      <c r="J131" s="1278" t="s">
        <v>518</v>
      </c>
      <c r="K131" s="602">
        <v>1</v>
      </c>
      <c r="L131" s="602">
        <f t="shared" ref="L131:Q131" si="66">B14</f>
        <v>0</v>
      </c>
      <c r="M131" s="602">
        <f t="shared" si="66"/>
        <v>9.9999999999999995E-7</v>
      </c>
      <c r="N131" s="602">
        <f t="shared" si="66"/>
        <v>9.9999999999999995E-7</v>
      </c>
      <c r="O131" s="602">
        <f t="shared" si="66"/>
        <v>0</v>
      </c>
      <c r="P131" s="602">
        <f t="shared" si="66"/>
        <v>0</v>
      </c>
      <c r="Q131" s="602">
        <f t="shared" si="66"/>
        <v>0</v>
      </c>
    </row>
    <row r="132" spans="1:17">
      <c r="A132" s="1278"/>
      <c r="B132" s="602">
        <v>2</v>
      </c>
      <c r="C132" s="602">
        <f t="shared" ref="C132:H132" si="67">I6</f>
        <v>150</v>
      </c>
      <c r="D132" s="602">
        <f t="shared" si="67"/>
        <v>0.15</v>
      </c>
      <c r="E132" s="602">
        <f t="shared" si="67"/>
        <v>0.23</v>
      </c>
      <c r="F132" s="602">
        <f t="shared" si="67"/>
        <v>0</v>
      </c>
      <c r="G132" s="602">
        <f t="shared" si="67"/>
        <v>4.0000000000000008E-2</v>
      </c>
      <c r="H132" s="602">
        <f t="shared" si="67"/>
        <v>1.8</v>
      </c>
      <c r="J132" s="1278"/>
      <c r="K132" s="602">
        <v>2</v>
      </c>
      <c r="L132" s="602">
        <f t="shared" ref="L132:Q132" si="68">I14</f>
        <v>0</v>
      </c>
      <c r="M132" s="602">
        <f t="shared" si="68"/>
        <v>9.9999999999999995E-7</v>
      </c>
      <c r="N132" s="602">
        <f t="shared" si="68"/>
        <v>9.9999999999999995E-7</v>
      </c>
      <c r="O132" s="602">
        <f t="shared" si="68"/>
        <v>0</v>
      </c>
      <c r="P132" s="602">
        <f t="shared" si="68"/>
        <v>0</v>
      </c>
      <c r="Q132" s="602">
        <f t="shared" si="68"/>
        <v>0.3</v>
      </c>
    </row>
    <row r="133" spans="1:17">
      <c r="A133" s="1278"/>
      <c r="B133" s="602">
        <v>3</v>
      </c>
      <c r="C133" s="602">
        <f t="shared" ref="C133:H133" si="69">P6</f>
        <v>150</v>
      </c>
      <c r="D133" s="602">
        <f t="shared" si="69"/>
        <v>0.06</v>
      </c>
      <c r="E133" s="602">
        <f t="shared" si="69"/>
        <v>-1.43</v>
      </c>
      <c r="F133" s="602">
        <f t="shared" si="69"/>
        <v>-1.6</v>
      </c>
      <c r="G133" s="602">
        <f t="shared" si="69"/>
        <v>0.83000000000000007</v>
      </c>
      <c r="H133" s="602">
        <f t="shared" si="69"/>
        <v>1.8</v>
      </c>
      <c r="J133" s="1278"/>
      <c r="K133" s="602">
        <v>3</v>
      </c>
      <c r="L133" s="602">
        <f t="shared" ref="L133:Q133" si="70">P14</f>
        <v>9.9999999999999995E-7</v>
      </c>
      <c r="M133" s="602">
        <f t="shared" si="70"/>
        <v>0</v>
      </c>
      <c r="N133" s="602">
        <f t="shared" si="70"/>
        <v>9.9999999999999995E-7</v>
      </c>
      <c r="O133" s="602">
        <f t="shared" si="70"/>
        <v>9.9999999999999995E-7</v>
      </c>
      <c r="P133" s="602">
        <f t="shared" si="70"/>
        <v>4.9999999999999998E-7</v>
      </c>
      <c r="Q133" s="602">
        <f t="shared" si="70"/>
        <v>5.8999999999999999E-9</v>
      </c>
    </row>
    <row r="134" spans="1:17">
      <c r="A134" s="1278"/>
      <c r="B134" s="602">
        <v>4</v>
      </c>
      <c r="C134" s="602">
        <f t="shared" ref="C134:H134" si="71">B37</f>
        <v>150</v>
      </c>
      <c r="D134" s="602">
        <f t="shared" si="71"/>
        <v>-0.05</v>
      </c>
      <c r="E134" s="602">
        <f t="shared" si="71"/>
        <v>0.11</v>
      </c>
      <c r="F134" s="602">
        <f t="shared" si="71"/>
        <v>0</v>
      </c>
      <c r="G134" s="602">
        <f t="shared" si="71"/>
        <v>0.08</v>
      </c>
      <c r="H134" s="602">
        <f t="shared" si="71"/>
        <v>1.8</v>
      </c>
      <c r="J134" s="1278"/>
      <c r="K134" s="602">
        <v>4</v>
      </c>
      <c r="L134" s="602">
        <f t="shared" ref="L134:Q134" si="72">B45</f>
        <v>0</v>
      </c>
      <c r="M134" s="602">
        <f t="shared" si="72"/>
        <v>9.9999999999999995E-7</v>
      </c>
      <c r="N134" s="602">
        <f t="shared" si="72"/>
        <v>9.9999999999999995E-7</v>
      </c>
      <c r="O134" s="602">
        <f t="shared" si="72"/>
        <v>0</v>
      </c>
      <c r="P134" s="602">
        <f t="shared" si="72"/>
        <v>0</v>
      </c>
      <c r="Q134" s="602">
        <f t="shared" si="72"/>
        <v>0</v>
      </c>
    </row>
    <row r="135" spans="1:17">
      <c r="A135" s="1278"/>
      <c r="B135" s="602">
        <v>5</v>
      </c>
      <c r="C135" s="602">
        <f t="shared" ref="C135:H135" si="73">I37</f>
        <v>150</v>
      </c>
      <c r="D135" s="602">
        <f t="shared" si="73"/>
        <v>0.25</v>
      </c>
      <c r="E135" s="602">
        <f t="shared" si="73"/>
        <v>0.02</v>
      </c>
      <c r="F135" s="602">
        <f t="shared" si="73"/>
        <v>0</v>
      </c>
      <c r="G135" s="602">
        <f t="shared" si="73"/>
        <v>0.115</v>
      </c>
      <c r="H135" s="602">
        <f t="shared" si="73"/>
        <v>1.8</v>
      </c>
      <c r="J135" s="1278"/>
      <c r="K135" s="602">
        <v>5</v>
      </c>
      <c r="L135" s="602">
        <f t="shared" ref="L135:Q135" si="74">I45</f>
        <v>0</v>
      </c>
      <c r="M135" s="602">
        <f t="shared" si="74"/>
        <v>9.9999999999999995E-7</v>
      </c>
      <c r="N135" s="602">
        <f t="shared" si="74"/>
        <v>9.9999999999999995E-7</v>
      </c>
      <c r="O135" s="602">
        <f t="shared" si="74"/>
        <v>0</v>
      </c>
      <c r="P135" s="602">
        <f t="shared" si="74"/>
        <v>0</v>
      </c>
      <c r="Q135" s="602">
        <f t="shared" si="74"/>
        <v>0</v>
      </c>
    </row>
    <row r="136" spans="1:17">
      <c r="A136" s="1278"/>
      <c r="B136" s="602">
        <v>6</v>
      </c>
      <c r="C136" s="602">
        <f t="shared" ref="C136:H136" si="75">P37</f>
        <v>150</v>
      </c>
      <c r="D136" s="602">
        <f t="shared" si="75"/>
        <v>0.14000000000000001</v>
      </c>
      <c r="E136" s="602">
        <f t="shared" si="75"/>
        <v>0.15</v>
      </c>
      <c r="F136" s="602">
        <f t="shared" si="75"/>
        <v>-0.15</v>
      </c>
      <c r="G136" s="602">
        <f t="shared" si="75"/>
        <v>0.15</v>
      </c>
      <c r="H136" s="602">
        <f t="shared" si="75"/>
        <v>1.8</v>
      </c>
      <c r="J136" s="1278"/>
      <c r="K136" s="602">
        <v>6</v>
      </c>
      <c r="L136" s="602">
        <f t="shared" ref="L136:Q136" si="76">P45</f>
        <v>0</v>
      </c>
      <c r="M136" s="602">
        <f t="shared" si="76"/>
        <v>9.9999999999999995E-7</v>
      </c>
      <c r="N136" s="602">
        <f t="shared" si="76"/>
        <v>9.9999999999999995E-7</v>
      </c>
      <c r="O136" s="602">
        <f t="shared" si="76"/>
        <v>9.9999999999999995E-7</v>
      </c>
      <c r="P136" s="602">
        <f t="shared" si="76"/>
        <v>0</v>
      </c>
      <c r="Q136" s="602">
        <f t="shared" si="76"/>
        <v>0</v>
      </c>
    </row>
    <row r="137" spans="1:17">
      <c r="A137" s="1278"/>
      <c r="B137" s="602">
        <v>7</v>
      </c>
      <c r="C137" s="602">
        <f t="shared" ref="C137:H137" si="77">B68</f>
        <v>150</v>
      </c>
      <c r="D137" s="602">
        <f t="shared" si="77"/>
        <v>0.14000000000000001</v>
      </c>
      <c r="E137" s="602">
        <f t="shared" si="77"/>
        <v>0.36</v>
      </c>
      <c r="F137" s="602">
        <f t="shared" si="77"/>
        <v>0.21</v>
      </c>
      <c r="G137" s="602">
        <f t="shared" si="77"/>
        <v>0.10999999999999999</v>
      </c>
      <c r="H137" s="602">
        <f t="shared" si="77"/>
        <v>1.8</v>
      </c>
      <c r="J137" s="1278"/>
      <c r="K137" s="602">
        <v>7</v>
      </c>
      <c r="L137" s="602">
        <f t="shared" ref="L137:Q137" si="78">B76</f>
        <v>0</v>
      </c>
      <c r="M137" s="602">
        <f t="shared" si="78"/>
        <v>9.9999999999999995E-7</v>
      </c>
      <c r="N137" s="602">
        <f t="shared" si="78"/>
        <v>9.9999999999999995E-7</v>
      </c>
      <c r="O137" s="602">
        <f t="shared" si="78"/>
        <v>9.9999999999999995E-7</v>
      </c>
      <c r="P137" s="602">
        <f t="shared" si="78"/>
        <v>0</v>
      </c>
      <c r="Q137" s="602">
        <f t="shared" si="78"/>
        <v>0</v>
      </c>
    </row>
    <row r="138" spans="1:17">
      <c r="A138" s="1278"/>
      <c r="B138" s="602">
        <v>8</v>
      </c>
      <c r="C138" s="602">
        <f t="shared" ref="C138:H138" si="79">I68</f>
        <v>150</v>
      </c>
      <c r="D138" s="602">
        <f t="shared" si="79"/>
        <v>-0.5</v>
      </c>
      <c r="E138" s="602">
        <f t="shared" si="79"/>
        <v>-0.17</v>
      </c>
      <c r="F138" s="602">
        <f t="shared" si="79"/>
        <v>-0.24</v>
      </c>
      <c r="G138" s="602">
        <f t="shared" si="79"/>
        <v>0.16499999999999998</v>
      </c>
      <c r="H138" s="602">
        <f t="shared" si="79"/>
        <v>1.8</v>
      </c>
      <c r="J138" s="1278"/>
      <c r="K138" s="602">
        <v>8</v>
      </c>
      <c r="L138" s="602">
        <f t="shared" ref="L138:Q138" si="80">I76</f>
        <v>0</v>
      </c>
      <c r="M138" s="602">
        <f t="shared" si="80"/>
        <v>0</v>
      </c>
      <c r="N138" s="602">
        <f t="shared" si="80"/>
        <v>9.9999999999999995E-7</v>
      </c>
      <c r="O138" s="602">
        <f t="shared" si="80"/>
        <v>9.9999999999999995E-7</v>
      </c>
      <c r="P138" s="602">
        <f t="shared" si="80"/>
        <v>4.9999999999999998E-7</v>
      </c>
      <c r="Q138" s="602">
        <f t="shared" si="80"/>
        <v>0</v>
      </c>
    </row>
    <row r="139" spans="1:17">
      <c r="A139" s="1278"/>
      <c r="B139" s="602">
        <v>9</v>
      </c>
      <c r="C139" s="602">
        <f t="shared" ref="C139:H139" si="81">P68</f>
        <v>150</v>
      </c>
      <c r="D139" s="602">
        <f t="shared" si="81"/>
        <v>-0.08</v>
      </c>
      <c r="E139" s="602">
        <f t="shared" si="81"/>
        <v>-0.08</v>
      </c>
      <c r="F139" s="602">
        <f t="shared" si="81"/>
        <v>-0.17</v>
      </c>
      <c r="G139" s="602">
        <f t="shared" si="81"/>
        <v>4.5000000000000005E-2</v>
      </c>
      <c r="H139" s="602">
        <f t="shared" si="81"/>
        <v>1.8</v>
      </c>
      <c r="J139" s="1278"/>
      <c r="K139" s="602">
        <v>9</v>
      </c>
      <c r="L139" s="602">
        <f t="shared" ref="L139:Q139" si="82">P76</f>
        <v>0</v>
      </c>
      <c r="M139" s="602">
        <f t="shared" si="82"/>
        <v>9.9999999999999995E-7</v>
      </c>
      <c r="N139" s="602">
        <f t="shared" si="82"/>
        <v>9.9999999999999995E-7</v>
      </c>
      <c r="O139" s="602">
        <f t="shared" si="82"/>
        <v>9.9999999999999995E-7</v>
      </c>
      <c r="P139" s="602">
        <f t="shared" si="82"/>
        <v>0</v>
      </c>
      <c r="Q139" s="602">
        <f t="shared" si="82"/>
        <v>0</v>
      </c>
    </row>
    <row r="140" spans="1:17">
      <c r="A140" s="1278"/>
      <c r="B140" s="602">
        <v>10</v>
      </c>
      <c r="C140" s="602">
        <f>B99</f>
        <v>150</v>
      </c>
      <c r="D140" s="602">
        <f t="shared" ref="D140:F140" si="83">C99</f>
        <v>-0.05</v>
      </c>
      <c r="E140" s="602" t="str">
        <f t="shared" si="83"/>
        <v>-</v>
      </c>
      <c r="F140" s="602">
        <f t="shared" si="83"/>
        <v>0</v>
      </c>
      <c r="G140" s="602">
        <f>F99</f>
        <v>0</v>
      </c>
      <c r="H140" s="602" t="str">
        <f>G99</f>
        <v>-</v>
      </c>
      <c r="J140" s="1278"/>
      <c r="K140" s="602">
        <v>10</v>
      </c>
      <c r="L140" s="602">
        <f t="shared" ref="L140:Q140" si="84">B107</f>
        <v>0</v>
      </c>
      <c r="M140" s="602">
        <f t="shared" si="84"/>
        <v>9.9999999999999995E-7</v>
      </c>
      <c r="N140" s="602" t="str">
        <f t="shared" si="84"/>
        <v>-</v>
      </c>
      <c r="O140" s="602">
        <f t="shared" si="84"/>
        <v>0</v>
      </c>
      <c r="P140" s="602">
        <f t="shared" si="84"/>
        <v>0</v>
      </c>
      <c r="Q140" s="602" t="str">
        <f t="shared" si="84"/>
        <v>-</v>
      </c>
    </row>
    <row r="141" spans="1:17">
      <c r="A141" s="1278"/>
      <c r="B141" s="602">
        <v>11</v>
      </c>
      <c r="C141" s="602">
        <f>I99</f>
        <v>150</v>
      </c>
      <c r="D141" s="602">
        <f t="shared" ref="D141:F141" si="85">J99</f>
        <v>9.9999999999999995E-7</v>
      </c>
      <c r="E141" s="602" t="str">
        <f t="shared" si="85"/>
        <v>-</v>
      </c>
      <c r="F141" s="602">
        <f t="shared" si="85"/>
        <v>0</v>
      </c>
      <c r="G141" s="602">
        <f>M99</f>
        <v>0</v>
      </c>
      <c r="H141" s="602" t="str">
        <f>N99</f>
        <v>-</v>
      </c>
      <c r="J141" s="1278"/>
      <c r="K141" s="602">
        <v>11</v>
      </c>
      <c r="L141" s="602">
        <f t="shared" ref="L141:Q141" si="86">I107</f>
        <v>0</v>
      </c>
      <c r="M141" s="602">
        <f t="shared" si="86"/>
        <v>9.9999999999999995E-7</v>
      </c>
      <c r="N141" s="602" t="str">
        <f t="shared" si="86"/>
        <v>-</v>
      </c>
      <c r="O141" s="602">
        <f t="shared" si="86"/>
        <v>0</v>
      </c>
      <c r="P141" s="602">
        <f t="shared" si="86"/>
        <v>0</v>
      </c>
      <c r="Q141" s="602" t="str">
        <f t="shared" si="86"/>
        <v>-</v>
      </c>
    </row>
    <row r="142" spans="1:17">
      <c r="A142" s="1278"/>
      <c r="B142" s="602">
        <v>12</v>
      </c>
      <c r="C142" s="602">
        <f>P99</f>
        <v>150</v>
      </c>
      <c r="D142" s="602">
        <f t="shared" ref="D142:F142" si="87">Q99</f>
        <v>9.9999999999999995E-7</v>
      </c>
      <c r="E142" s="602" t="str">
        <f t="shared" si="87"/>
        <v>-</v>
      </c>
      <c r="F142" s="602">
        <f t="shared" si="87"/>
        <v>0</v>
      </c>
      <c r="G142" s="602">
        <f>T99</f>
        <v>0</v>
      </c>
      <c r="H142" s="602" t="str">
        <f>U99</f>
        <v>-</v>
      </c>
      <c r="J142" s="1278"/>
      <c r="K142" s="602">
        <v>12</v>
      </c>
      <c r="L142" s="602">
        <f t="shared" ref="L142:Q142" si="88">P107</f>
        <v>0</v>
      </c>
      <c r="M142" s="602">
        <f t="shared" si="88"/>
        <v>9.9999999999999995E-7</v>
      </c>
      <c r="N142" s="602" t="str">
        <f t="shared" si="88"/>
        <v>-</v>
      </c>
      <c r="O142" s="602">
        <f t="shared" si="88"/>
        <v>0</v>
      </c>
      <c r="P142" s="602">
        <f t="shared" si="88"/>
        <v>0</v>
      </c>
      <c r="Q142" s="602" t="str">
        <f t="shared" si="88"/>
        <v>-</v>
      </c>
    </row>
    <row r="143" spans="1:17" s="492" customFormat="1" ht="13">
      <c r="A143" s="603"/>
      <c r="B143" s="603"/>
      <c r="C143" s="522"/>
      <c r="D143" s="522"/>
      <c r="E143" s="522"/>
      <c r="F143" s="604"/>
      <c r="G143" s="522"/>
      <c r="H143" s="522"/>
      <c r="J143" s="603"/>
      <c r="K143" s="603"/>
      <c r="L143" s="605"/>
      <c r="M143" s="605"/>
      <c r="N143" s="605"/>
      <c r="O143" s="604"/>
      <c r="P143" s="605"/>
      <c r="Q143" s="605"/>
    </row>
    <row r="144" spans="1:17">
      <c r="A144" s="1278" t="s">
        <v>524</v>
      </c>
      <c r="B144" s="602">
        <v>1</v>
      </c>
      <c r="C144" s="602">
        <f t="shared" ref="C144:H144" si="89">B7</f>
        <v>180</v>
      </c>
      <c r="D144" s="602">
        <f t="shared" si="89"/>
        <v>0.1</v>
      </c>
      <c r="E144" s="602">
        <f t="shared" si="89"/>
        <v>-0.03</v>
      </c>
      <c r="F144" s="602">
        <f t="shared" si="89"/>
        <v>0</v>
      </c>
      <c r="G144" s="602">
        <f t="shared" si="89"/>
        <v>6.5000000000000002E-2</v>
      </c>
      <c r="H144" s="602">
        <f t="shared" si="89"/>
        <v>2.16</v>
      </c>
      <c r="J144" s="1278" t="s">
        <v>524</v>
      </c>
      <c r="K144" s="602">
        <v>1</v>
      </c>
      <c r="L144" s="602">
        <f t="shared" ref="L144:Q144" si="90">B15</f>
        <v>50</v>
      </c>
      <c r="M144" s="602">
        <f t="shared" si="90"/>
        <v>0.1</v>
      </c>
      <c r="N144" s="602">
        <f t="shared" si="90"/>
        <v>-0.06</v>
      </c>
      <c r="O144" s="602">
        <f t="shared" si="90"/>
        <v>0</v>
      </c>
      <c r="P144" s="602">
        <f t="shared" si="90"/>
        <v>0.08</v>
      </c>
      <c r="Q144" s="602">
        <f t="shared" si="90"/>
        <v>0.29499999999999998</v>
      </c>
    </row>
    <row r="145" spans="1:17">
      <c r="A145" s="1278"/>
      <c r="B145" s="602">
        <v>2</v>
      </c>
      <c r="C145" s="602">
        <f t="shared" ref="C145:H145" si="91">I7</f>
        <v>180</v>
      </c>
      <c r="D145" s="602">
        <f t="shared" si="91"/>
        <v>0.12</v>
      </c>
      <c r="E145" s="602">
        <f t="shared" si="91"/>
        <v>-0.06</v>
      </c>
      <c r="F145" s="602">
        <f t="shared" si="91"/>
        <v>0</v>
      </c>
      <c r="G145" s="602">
        <f t="shared" si="91"/>
        <v>0.09</v>
      </c>
      <c r="H145" s="602">
        <f t="shared" si="91"/>
        <v>2.16</v>
      </c>
      <c r="J145" s="1278"/>
      <c r="K145" s="602">
        <v>2</v>
      </c>
      <c r="L145" s="602">
        <f t="shared" ref="L145:Q145" si="92">I15</f>
        <v>50</v>
      </c>
      <c r="M145" s="602">
        <f t="shared" si="92"/>
        <v>-0.08</v>
      </c>
      <c r="N145" s="602">
        <f t="shared" si="92"/>
        <v>0.1</v>
      </c>
      <c r="O145" s="602">
        <f t="shared" si="92"/>
        <v>0</v>
      </c>
      <c r="P145" s="602">
        <f t="shared" si="92"/>
        <v>0.09</v>
      </c>
      <c r="Q145" s="602">
        <f t="shared" si="92"/>
        <v>0.29499999999999998</v>
      </c>
    </row>
    <row r="146" spans="1:17">
      <c r="A146" s="1278"/>
      <c r="B146" s="602">
        <v>3</v>
      </c>
      <c r="C146" s="602">
        <f t="shared" ref="C146:H146" si="93">P7</f>
        <v>180</v>
      </c>
      <c r="D146" s="602">
        <f t="shared" si="93"/>
        <v>-1.94</v>
      </c>
      <c r="E146" s="602">
        <f t="shared" si="93"/>
        <v>-1.81</v>
      </c>
      <c r="F146" s="602">
        <f t="shared" si="93"/>
        <v>-1.9</v>
      </c>
      <c r="G146" s="602">
        <f t="shared" si="93"/>
        <v>6.4999999999999947E-2</v>
      </c>
      <c r="H146" s="602">
        <f t="shared" si="93"/>
        <v>2.16</v>
      </c>
      <c r="J146" s="1278"/>
      <c r="K146" s="602">
        <v>3</v>
      </c>
      <c r="L146" s="602">
        <f t="shared" ref="L146:Q146" si="94">P15</f>
        <v>50</v>
      </c>
      <c r="M146" s="602">
        <f t="shared" si="94"/>
        <v>2.7</v>
      </c>
      <c r="N146" s="602">
        <f t="shared" si="94"/>
        <v>9.1</v>
      </c>
      <c r="O146" s="602">
        <f t="shared" si="94"/>
        <v>-0.62</v>
      </c>
      <c r="P146" s="602">
        <f t="shared" si="94"/>
        <v>4.8599999999999994</v>
      </c>
      <c r="Q146" s="602">
        <f t="shared" si="94"/>
        <v>0.29499999999999998</v>
      </c>
    </row>
    <row r="147" spans="1:17">
      <c r="A147" s="1278"/>
      <c r="B147" s="602">
        <v>4</v>
      </c>
      <c r="C147" s="602">
        <f t="shared" ref="C147:H147" si="95">B38</f>
        <v>180</v>
      </c>
      <c r="D147" s="602">
        <f t="shared" si="95"/>
        <v>-0.04</v>
      </c>
      <c r="E147" s="602">
        <f t="shared" si="95"/>
        <v>0.03</v>
      </c>
      <c r="F147" s="602">
        <f t="shared" si="95"/>
        <v>0</v>
      </c>
      <c r="G147" s="602">
        <f t="shared" si="95"/>
        <v>3.5000000000000003E-2</v>
      </c>
      <c r="H147" s="602">
        <f t="shared" si="95"/>
        <v>2.16</v>
      </c>
      <c r="J147" s="1278"/>
      <c r="K147" s="602">
        <v>4</v>
      </c>
      <c r="L147" s="602">
        <f t="shared" ref="L147:Q147" si="96">B46</f>
        <v>50</v>
      </c>
      <c r="M147" s="602">
        <f t="shared" si="96"/>
        <v>0.4</v>
      </c>
      <c r="N147" s="602">
        <f t="shared" si="96"/>
        <v>-0.28999999999999998</v>
      </c>
      <c r="O147" s="602">
        <f t="shared" si="96"/>
        <v>0</v>
      </c>
      <c r="P147" s="602">
        <f t="shared" si="96"/>
        <v>0.34499999999999997</v>
      </c>
      <c r="Q147" s="602">
        <f t="shared" si="96"/>
        <v>0.29499999999999998</v>
      </c>
    </row>
    <row r="148" spans="1:17">
      <c r="A148" s="1278"/>
      <c r="B148" s="602">
        <v>5</v>
      </c>
      <c r="C148" s="602">
        <f t="shared" ref="C148:H148" si="97">I38</f>
        <v>180</v>
      </c>
      <c r="D148" s="602">
        <f t="shared" si="97"/>
        <v>0.09</v>
      </c>
      <c r="E148" s="602">
        <f t="shared" si="97"/>
        <v>0.1</v>
      </c>
      <c r="F148" s="602">
        <f t="shared" si="97"/>
        <v>0</v>
      </c>
      <c r="G148" s="602">
        <f t="shared" si="97"/>
        <v>5.0000000000000044E-3</v>
      </c>
      <c r="H148" s="602">
        <f t="shared" si="97"/>
        <v>2.16</v>
      </c>
      <c r="J148" s="1278"/>
      <c r="K148" s="602">
        <v>5</v>
      </c>
      <c r="L148" s="602">
        <f t="shared" ref="L148:Q148" si="98">I46</f>
        <v>50</v>
      </c>
      <c r="M148" s="602">
        <f t="shared" si="98"/>
        <v>1.2</v>
      </c>
      <c r="N148" s="602">
        <f t="shared" si="98"/>
        <v>-0.33</v>
      </c>
      <c r="O148" s="602">
        <f t="shared" si="98"/>
        <v>0</v>
      </c>
      <c r="P148" s="602">
        <f t="shared" si="98"/>
        <v>0.76500000000000001</v>
      </c>
      <c r="Q148" s="602">
        <f t="shared" si="98"/>
        <v>0.29499999999999998</v>
      </c>
    </row>
    <row r="149" spans="1:17">
      <c r="A149" s="1278"/>
      <c r="B149" s="602">
        <v>6</v>
      </c>
      <c r="C149" s="602">
        <f t="shared" ref="C149:H149" si="99">P38</f>
        <v>180</v>
      </c>
      <c r="D149" s="602">
        <f t="shared" si="99"/>
        <v>0.17</v>
      </c>
      <c r="E149" s="602">
        <f t="shared" si="99"/>
        <v>0.17</v>
      </c>
      <c r="F149" s="602">
        <f t="shared" si="99"/>
        <v>-0.11</v>
      </c>
      <c r="G149" s="602">
        <f t="shared" si="99"/>
        <v>0.14000000000000001</v>
      </c>
      <c r="H149" s="602">
        <f t="shared" si="99"/>
        <v>2.16</v>
      </c>
      <c r="J149" s="1278"/>
      <c r="K149" s="602">
        <v>6</v>
      </c>
      <c r="L149" s="602">
        <f t="shared" ref="L149:Q149" si="100">P46</f>
        <v>50</v>
      </c>
      <c r="M149" s="602">
        <f t="shared" si="100"/>
        <v>4.5</v>
      </c>
      <c r="N149" s="602">
        <f t="shared" si="100"/>
        <v>19.100000000000001</v>
      </c>
      <c r="O149" s="602">
        <f t="shared" si="100"/>
        <v>0.02</v>
      </c>
      <c r="P149" s="602">
        <f t="shared" si="100"/>
        <v>9.5400000000000009</v>
      </c>
      <c r="Q149" s="602">
        <f t="shared" si="100"/>
        <v>0.29499999999999998</v>
      </c>
    </row>
    <row r="150" spans="1:17">
      <c r="A150" s="1278"/>
      <c r="B150" s="602">
        <v>7</v>
      </c>
      <c r="C150" s="602">
        <f t="shared" ref="C150:H150" si="101">B69</f>
        <v>180</v>
      </c>
      <c r="D150" s="602">
        <f t="shared" si="101"/>
        <v>0.34</v>
      </c>
      <c r="E150" s="602">
        <f t="shared" si="101"/>
        <v>0.46</v>
      </c>
      <c r="F150" s="602">
        <f t="shared" si="101"/>
        <v>0.33</v>
      </c>
      <c r="G150" s="602">
        <f t="shared" si="101"/>
        <v>6.5000000000000002E-2</v>
      </c>
      <c r="H150" s="602">
        <f t="shared" si="101"/>
        <v>2.16</v>
      </c>
      <c r="J150" s="1278"/>
      <c r="K150" s="602">
        <v>7</v>
      </c>
      <c r="L150" s="602">
        <f t="shared" ref="L150:Q150" si="102">B77</f>
        <v>50</v>
      </c>
      <c r="M150" s="602">
        <f t="shared" si="102"/>
        <v>5</v>
      </c>
      <c r="N150" s="602">
        <f t="shared" si="102"/>
        <v>1.9</v>
      </c>
      <c r="O150" s="602">
        <f t="shared" si="102"/>
        <v>1.7</v>
      </c>
      <c r="P150" s="602">
        <f t="shared" si="102"/>
        <v>1.65</v>
      </c>
      <c r="Q150" s="602">
        <f t="shared" si="102"/>
        <v>0.29499999999999998</v>
      </c>
    </row>
    <row r="151" spans="1:17">
      <c r="A151" s="1278"/>
      <c r="B151" s="602">
        <v>8</v>
      </c>
      <c r="C151" s="602">
        <f t="shared" ref="C151:H151" si="103">I69</f>
        <v>180</v>
      </c>
      <c r="D151" s="602">
        <f t="shared" si="103"/>
        <v>-0.19</v>
      </c>
      <c r="E151" s="602">
        <f t="shared" si="103"/>
        <v>-0.39</v>
      </c>
      <c r="F151" s="602">
        <f t="shared" si="103"/>
        <v>-0.14000000000000001</v>
      </c>
      <c r="G151" s="602">
        <f t="shared" si="103"/>
        <v>0.125</v>
      </c>
      <c r="H151" s="602">
        <f t="shared" si="103"/>
        <v>2.16</v>
      </c>
      <c r="J151" s="1278"/>
      <c r="K151" s="602">
        <v>8</v>
      </c>
      <c r="L151" s="602">
        <f t="shared" ref="L151:Q151" si="104">I77</f>
        <v>20</v>
      </c>
      <c r="M151" s="602">
        <f t="shared" si="104"/>
        <v>4.7</v>
      </c>
      <c r="N151" s="602">
        <f t="shared" si="104"/>
        <v>6.6</v>
      </c>
      <c r="O151" s="602">
        <f t="shared" si="104"/>
        <v>0.9</v>
      </c>
      <c r="P151" s="602">
        <f t="shared" si="104"/>
        <v>2.8499999999999996</v>
      </c>
      <c r="Q151" s="602">
        <f t="shared" si="104"/>
        <v>0.11799999999999999</v>
      </c>
    </row>
    <row r="152" spans="1:17">
      <c r="A152" s="1278"/>
      <c r="B152" s="602">
        <v>9</v>
      </c>
      <c r="C152" s="602">
        <f t="shared" ref="C152:H152" si="105">P69</f>
        <v>180</v>
      </c>
      <c r="D152" s="602">
        <f t="shared" si="105"/>
        <v>-0.2</v>
      </c>
      <c r="E152" s="602">
        <f t="shared" si="105"/>
        <v>-0.2</v>
      </c>
      <c r="F152" s="602">
        <f t="shared" si="105"/>
        <v>-0.22</v>
      </c>
      <c r="G152" s="602">
        <f t="shared" si="105"/>
        <v>9.999999999999995E-3</v>
      </c>
      <c r="H152" s="602">
        <f t="shared" si="105"/>
        <v>2.16</v>
      </c>
      <c r="J152" s="1278"/>
      <c r="K152" s="602">
        <v>9</v>
      </c>
      <c r="L152" s="602">
        <f t="shared" ref="L152:Q152" si="106">P77</f>
        <v>25</v>
      </c>
      <c r="M152" s="602">
        <f t="shared" si="106"/>
        <v>3</v>
      </c>
      <c r="N152" s="602">
        <f t="shared" si="106"/>
        <v>4.9000000000000004</v>
      </c>
      <c r="O152" s="602">
        <f t="shared" si="106"/>
        <v>0.8</v>
      </c>
      <c r="P152" s="602">
        <f t="shared" si="106"/>
        <v>2.0500000000000003</v>
      </c>
      <c r="Q152" s="602">
        <f t="shared" si="106"/>
        <v>0.14749999999999999</v>
      </c>
    </row>
    <row r="153" spans="1:17">
      <c r="A153" s="1278"/>
      <c r="B153" s="602">
        <v>10</v>
      </c>
      <c r="C153" s="602">
        <f>B100</f>
        <v>180</v>
      </c>
      <c r="D153" s="602">
        <f t="shared" ref="D153:F153" si="107">C100</f>
        <v>-0.04</v>
      </c>
      <c r="E153" s="602" t="str">
        <f t="shared" si="107"/>
        <v>-</v>
      </c>
      <c r="F153" s="602">
        <f t="shared" si="107"/>
        <v>0</v>
      </c>
      <c r="G153" s="602">
        <f>F100</f>
        <v>0</v>
      </c>
      <c r="H153" s="602" t="str">
        <f>G100</f>
        <v>-</v>
      </c>
      <c r="J153" s="1278"/>
      <c r="K153" s="602">
        <v>10</v>
      </c>
      <c r="L153" s="602">
        <f t="shared" ref="L153:Q153" si="108">B108</f>
        <v>50</v>
      </c>
      <c r="M153" s="602">
        <f t="shared" si="108"/>
        <v>0.4</v>
      </c>
      <c r="N153" s="602" t="str">
        <f t="shared" si="108"/>
        <v>-</v>
      </c>
      <c r="O153" s="602">
        <f t="shared" si="108"/>
        <v>0</v>
      </c>
      <c r="P153" s="602">
        <f t="shared" si="108"/>
        <v>0</v>
      </c>
      <c r="Q153" s="602" t="str">
        <f t="shared" si="108"/>
        <v>-</v>
      </c>
    </row>
    <row r="154" spans="1:17">
      <c r="A154" s="1278"/>
      <c r="B154" s="602">
        <v>11</v>
      </c>
      <c r="C154" s="602">
        <f>I100</f>
        <v>180</v>
      </c>
      <c r="D154" s="602">
        <f t="shared" ref="D154:F154" si="109">J100</f>
        <v>9.9999999999999995E-7</v>
      </c>
      <c r="E154" s="602" t="str">
        <f t="shared" si="109"/>
        <v>-</v>
      </c>
      <c r="F154" s="602">
        <f t="shared" si="109"/>
        <v>0</v>
      </c>
      <c r="G154" s="602">
        <f>M100</f>
        <v>0</v>
      </c>
      <c r="H154" s="602" t="str">
        <f>N100</f>
        <v>-</v>
      </c>
      <c r="J154" s="1278"/>
      <c r="K154" s="602">
        <v>11</v>
      </c>
      <c r="L154" s="602">
        <f t="shared" ref="L154:Q154" si="110">I108</f>
        <v>50</v>
      </c>
      <c r="M154" s="602">
        <f t="shared" si="110"/>
        <v>9.9999999999999995E-7</v>
      </c>
      <c r="N154" s="602" t="str">
        <f t="shared" si="110"/>
        <v>-</v>
      </c>
      <c r="O154" s="602">
        <f t="shared" si="110"/>
        <v>0</v>
      </c>
      <c r="P154" s="602">
        <f t="shared" si="110"/>
        <v>0</v>
      </c>
      <c r="Q154" s="602" t="str">
        <f t="shared" si="110"/>
        <v>-</v>
      </c>
    </row>
    <row r="155" spans="1:17">
      <c r="A155" s="1278"/>
      <c r="B155" s="602">
        <v>12</v>
      </c>
      <c r="C155" s="602">
        <f>P100</f>
        <v>180</v>
      </c>
      <c r="D155" s="602">
        <f t="shared" ref="D155:F155" si="111">Q100</f>
        <v>9.9999999999999995E-7</v>
      </c>
      <c r="E155" s="602" t="str">
        <f t="shared" si="111"/>
        <v>-</v>
      </c>
      <c r="F155" s="602">
        <f t="shared" si="111"/>
        <v>0</v>
      </c>
      <c r="G155" s="602">
        <f>T100</f>
        <v>0</v>
      </c>
      <c r="H155" s="602" t="str">
        <f>U100</f>
        <v>-</v>
      </c>
      <c r="J155" s="1278"/>
      <c r="K155" s="602">
        <v>12</v>
      </c>
      <c r="L155" s="602">
        <f t="shared" ref="L155:Q155" si="112">P108</f>
        <v>50</v>
      </c>
      <c r="M155" s="602">
        <f t="shared" si="112"/>
        <v>9.9999999999999995E-7</v>
      </c>
      <c r="N155" s="602" t="str">
        <f t="shared" si="112"/>
        <v>-</v>
      </c>
      <c r="O155" s="602">
        <f t="shared" si="112"/>
        <v>0</v>
      </c>
      <c r="P155" s="602">
        <f t="shared" si="112"/>
        <v>0</v>
      </c>
      <c r="Q155" s="602" t="str">
        <f t="shared" si="112"/>
        <v>-</v>
      </c>
    </row>
    <row r="156" spans="1:17" s="492" customFormat="1">
      <c r="A156" s="603"/>
      <c r="B156" s="603"/>
      <c r="C156" s="603"/>
      <c r="D156" s="603"/>
      <c r="E156" s="603"/>
      <c r="F156" s="604"/>
      <c r="G156" s="603"/>
      <c r="H156" s="603"/>
      <c r="J156" s="603"/>
      <c r="K156" s="603"/>
      <c r="L156" s="606"/>
      <c r="M156" s="606"/>
      <c r="N156" s="606"/>
      <c r="O156" s="604"/>
      <c r="P156" s="606"/>
      <c r="Q156" s="606"/>
    </row>
    <row r="157" spans="1:17">
      <c r="A157" s="1278" t="s">
        <v>525</v>
      </c>
      <c r="B157" s="602">
        <v>1</v>
      </c>
      <c r="C157" s="602">
        <f t="shared" ref="C157:H157" si="113">B8</f>
        <v>200</v>
      </c>
      <c r="D157" s="602">
        <f t="shared" si="113"/>
        <v>-0.04</v>
      </c>
      <c r="E157" s="602">
        <f t="shared" si="113"/>
        <v>-0.16</v>
      </c>
      <c r="F157" s="602">
        <f t="shared" si="113"/>
        <v>0</v>
      </c>
      <c r="G157" s="602">
        <f t="shared" si="113"/>
        <v>0.06</v>
      </c>
      <c r="H157" s="602">
        <f t="shared" si="113"/>
        <v>2.4</v>
      </c>
      <c r="J157" s="1278" t="s">
        <v>525</v>
      </c>
      <c r="K157" s="602">
        <v>1</v>
      </c>
      <c r="L157" s="602">
        <f t="shared" ref="L157:Q157" si="114">B16</f>
        <v>100</v>
      </c>
      <c r="M157" s="602">
        <f t="shared" si="114"/>
        <v>0.2</v>
      </c>
      <c r="N157" s="602">
        <f t="shared" si="114"/>
        <v>-0.06</v>
      </c>
      <c r="O157" s="602">
        <f t="shared" si="114"/>
        <v>0</v>
      </c>
      <c r="P157" s="602">
        <f t="shared" si="114"/>
        <v>0.13</v>
      </c>
      <c r="Q157" s="602">
        <f t="shared" si="114"/>
        <v>0.59</v>
      </c>
    </row>
    <row r="158" spans="1:17">
      <c r="A158" s="1278"/>
      <c r="B158" s="602">
        <v>2</v>
      </c>
      <c r="C158" s="602">
        <f t="shared" ref="C158:H158" si="115">I8</f>
        <v>200</v>
      </c>
      <c r="D158" s="602">
        <f t="shared" si="115"/>
        <v>0.06</v>
      </c>
      <c r="E158" s="602">
        <f t="shared" si="115"/>
        <v>-0.18</v>
      </c>
      <c r="F158" s="602">
        <f t="shared" si="115"/>
        <v>0</v>
      </c>
      <c r="G158" s="602">
        <f t="shared" si="115"/>
        <v>0.12</v>
      </c>
      <c r="H158" s="602">
        <f t="shared" si="115"/>
        <v>2.4</v>
      </c>
      <c r="J158" s="1278"/>
      <c r="K158" s="602">
        <v>2</v>
      </c>
      <c r="L158" s="602">
        <f t="shared" ref="L158:Q158" si="116">I16</f>
        <v>100</v>
      </c>
      <c r="M158" s="602">
        <f t="shared" si="116"/>
        <v>-7.0000000000000007E-2</v>
      </c>
      <c r="N158" s="602">
        <f t="shared" si="116"/>
        <v>2.2000000000000002</v>
      </c>
      <c r="O158" s="602">
        <f t="shared" si="116"/>
        <v>0</v>
      </c>
      <c r="P158" s="602">
        <f t="shared" si="116"/>
        <v>1.135</v>
      </c>
      <c r="Q158" s="602">
        <f t="shared" si="116"/>
        <v>0.59</v>
      </c>
    </row>
    <row r="159" spans="1:17">
      <c r="A159" s="1278"/>
      <c r="B159" s="602">
        <v>3</v>
      </c>
      <c r="C159" s="602">
        <f t="shared" ref="C159:H159" si="117">P8</f>
        <v>200</v>
      </c>
      <c r="D159" s="602">
        <f t="shared" si="117"/>
        <v>-1.95</v>
      </c>
      <c r="E159" s="602">
        <f t="shared" si="117"/>
        <v>-2.0499999999999998</v>
      </c>
      <c r="F159" s="602">
        <f t="shared" si="117"/>
        <v>-2.14</v>
      </c>
      <c r="G159" s="602">
        <f t="shared" si="117"/>
        <v>9.5000000000000084E-2</v>
      </c>
      <c r="H159" s="602">
        <f t="shared" si="117"/>
        <v>2.4</v>
      </c>
      <c r="J159" s="1278"/>
      <c r="K159" s="602">
        <v>3</v>
      </c>
      <c r="L159" s="602">
        <f t="shared" ref="L159:Q159" si="118">P16</f>
        <v>100</v>
      </c>
      <c r="M159" s="602">
        <f t="shared" si="118"/>
        <v>2.4</v>
      </c>
      <c r="N159" s="602">
        <f t="shared" si="118"/>
        <v>6</v>
      </c>
      <c r="O159" s="602">
        <f t="shared" si="118"/>
        <v>-0.22</v>
      </c>
      <c r="P159" s="602">
        <f t="shared" si="118"/>
        <v>3.11</v>
      </c>
      <c r="Q159" s="602">
        <f t="shared" si="118"/>
        <v>0.59</v>
      </c>
    </row>
    <row r="160" spans="1:17">
      <c r="A160" s="1278"/>
      <c r="B160" s="602">
        <v>4</v>
      </c>
      <c r="C160" s="602">
        <f t="shared" ref="C160:H160" si="119">B39</f>
        <v>200</v>
      </c>
      <c r="D160" s="602">
        <f t="shared" si="119"/>
        <v>-0.67</v>
      </c>
      <c r="E160" s="602">
        <f t="shared" si="119"/>
        <v>0.05</v>
      </c>
      <c r="F160" s="602">
        <f t="shared" si="119"/>
        <v>0</v>
      </c>
      <c r="G160" s="602">
        <f t="shared" si="119"/>
        <v>0.36000000000000004</v>
      </c>
      <c r="H160" s="602">
        <f t="shared" si="119"/>
        <v>2.4</v>
      </c>
      <c r="J160" s="1278"/>
      <c r="K160" s="602">
        <v>4</v>
      </c>
      <c r="L160" s="602">
        <f t="shared" ref="L160:Q160" si="120">B47</f>
        <v>100</v>
      </c>
      <c r="M160" s="602">
        <f t="shared" si="120"/>
        <v>0.4</v>
      </c>
      <c r="N160" s="602">
        <f t="shared" si="120"/>
        <v>-0.35</v>
      </c>
      <c r="O160" s="602">
        <f t="shared" si="120"/>
        <v>0</v>
      </c>
      <c r="P160" s="602">
        <f t="shared" si="120"/>
        <v>0.375</v>
      </c>
      <c r="Q160" s="602">
        <f t="shared" si="120"/>
        <v>0.59</v>
      </c>
    </row>
    <row r="161" spans="1:17">
      <c r="A161" s="1278"/>
      <c r="B161" s="602">
        <v>5</v>
      </c>
      <c r="C161" s="602">
        <f t="shared" ref="C161:H161" si="121">I39</f>
        <v>200</v>
      </c>
      <c r="D161" s="602">
        <f t="shared" si="121"/>
        <v>0.18</v>
      </c>
      <c r="E161" s="602">
        <f t="shared" si="121"/>
        <v>-0.03</v>
      </c>
      <c r="F161" s="602">
        <f t="shared" si="121"/>
        <v>0</v>
      </c>
      <c r="G161" s="602">
        <f t="shared" si="121"/>
        <v>0.105</v>
      </c>
      <c r="H161" s="602">
        <f t="shared" si="121"/>
        <v>2.4</v>
      </c>
      <c r="J161" s="1278"/>
      <c r="K161" s="602">
        <v>5</v>
      </c>
      <c r="L161" s="602">
        <f t="shared" ref="L161:Q161" si="122">I47</f>
        <v>100</v>
      </c>
      <c r="M161" s="602">
        <f t="shared" si="122"/>
        <v>3.9</v>
      </c>
      <c r="N161" s="602">
        <f t="shared" si="122"/>
        <v>-0.42</v>
      </c>
      <c r="O161" s="602">
        <f t="shared" si="122"/>
        <v>0</v>
      </c>
      <c r="P161" s="602">
        <f t="shared" si="122"/>
        <v>2.16</v>
      </c>
      <c r="Q161" s="602">
        <f t="shared" si="122"/>
        <v>0.59</v>
      </c>
    </row>
    <row r="162" spans="1:17">
      <c r="A162" s="1278"/>
      <c r="B162" s="602">
        <v>6</v>
      </c>
      <c r="C162" s="602">
        <f t="shared" ref="C162:H162" si="123">P39</f>
        <v>200</v>
      </c>
      <c r="D162" s="602">
        <f t="shared" si="123"/>
        <v>0.08</v>
      </c>
      <c r="E162" s="602">
        <f t="shared" si="123"/>
        <v>0.1</v>
      </c>
      <c r="F162" s="602">
        <f t="shared" si="123"/>
        <v>-0.1</v>
      </c>
      <c r="G162" s="602">
        <f t="shared" si="123"/>
        <v>0.1</v>
      </c>
      <c r="H162" s="602">
        <f t="shared" si="123"/>
        <v>2.4</v>
      </c>
      <c r="J162" s="1278"/>
      <c r="K162" s="602">
        <v>6</v>
      </c>
      <c r="L162" s="602">
        <f t="shared" ref="L162:Q162" si="124">P47</f>
        <v>100</v>
      </c>
      <c r="M162" s="602">
        <f t="shared" si="124"/>
        <v>6.2</v>
      </c>
      <c r="N162" s="602">
        <f t="shared" si="124"/>
        <v>18.399999999999999</v>
      </c>
      <c r="O162" s="602">
        <f t="shared" si="124"/>
        <v>0.22</v>
      </c>
      <c r="P162" s="602">
        <f t="shared" si="124"/>
        <v>9.09</v>
      </c>
      <c r="Q162" s="602">
        <f t="shared" si="124"/>
        <v>0.59</v>
      </c>
    </row>
    <row r="163" spans="1:17">
      <c r="A163" s="1278"/>
      <c r="B163" s="602">
        <v>7</v>
      </c>
      <c r="C163" s="602">
        <f t="shared" ref="C163:H163" si="125">B70</f>
        <v>200</v>
      </c>
      <c r="D163" s="602">
        <f t="shared" si="125"/>
        <v>0.42</v>
      </c>
      <c r="E163" s="602">
        <f t="shared" si="125"/>
        <v>0.52</v>
      </c>
      <c r="F163" s="602">
        <f t="shared" si="125"/>
        <v>0.34</v>
      </c>
      <c r="G163" s="602">
        <f t="shared" si="125"/>
        <v>0.09</v>
      </c>
      <c r="H163" s="602">
        <f t="shared" si="125"/>
        <v>2.4</v>
      </c>
      <c r="J163" s="1278"/>
      <c r="K163" s="602">
        <v>7</v>
      </c>
      <c r="L163" s="602">
        <f t="shared" ref="L163:Q163" si="126">B78</f>
        <v>100</v>
      </c>
      <c r="M163" s="602">
        <f t="shared" si="126"/>
        <v>6.2</v>
      </c>
      <c r="N163" s="602">
        <f t="shared" si="126"/>
        <v>1.7</v>
      </c>
      <c r="O163" s="602">
        <f t="shared" si="126"/>
        <v>1.7</v>
      </c>
      <c r="P163" s="602">
        <f t="shared" si="126"/>
        <v>2.25</v>
      </c>
      <c r="Q163" s="602">
        <f t="shared" si="126"/>
        <v>0.59</v>
      </c>
    </row>
    <row r="164" spans="1:17">
      <c r="A164" s="1278"/>
      <c r="B164" s="602">
        <v>8</v>
      </c>
      <c r="C164" s="602">
        <f t="shared" ref="C164:H164" si="127">I70</f>
        <v>200</v>
      </c>
      <c r="D164" s="602">
        <f t="shared" si="127"/>
        <v>-7.0000000000000007E-2</v>
      </c>
      <c r="E164" s="602">
        <f t="shared" si="127"/>
        <v>-0.23</v>
      </c>
      <c r="F164" s="602">
        <f t="shared" si="127"/>
        <v>-0.33</v>
      </c>
      <c r="G164" s="602">
        <f t="shared" si="127"/>
        <v>0.13</v>
      </c>
      <c r="H164" s="602">
        <f t="shared" si="127"/>
        <v>2.4</v>
      </c>
      <c r="J164" s="1278"/>
      <c r="K164" s="602">
        <v>8</v>
      </c>
      <c r="L164" s="602">
        <f t="shared" ref="L164:Q164" si="128">I78</f>
        <v>50</v>
      </c>
      <c r="M164" s="602">
        <f t="shared" si="128"/>
        <v>4.7</v>
      </c>
      <c r="N164" s="602">
        <f t="shared" si="128"/>
        <v>5</v>
      </c>
      <c r="O164" s="602">
        <f t="shared" si="128"/>
        <v>2.1</v>
      </c>
      <c r="P164" s="602">
        <f t="shared" si="128"/>
        <v>1.45</v>
      </c>
      <c r="Q164" s="602">
        <f t="shared" si="128"/>
        <v>0.29499999999999998</v>
      </c>
    </row>
    <row r="165" spans="1:17">
      <c r="A165" s="1278"/>
      <c r="B165" s="602">
        <v>9</v>
      </c>
      <c r="C165" s="602">
        <f t="shared" ref="C165:H165" si="129">P70</f>
        <v>200</v>
      </c>
      <c r="D165" s="602">
        <f t="shared" si="129"/>
        <v>-0.25</v>
      </c>
      <c r="E165" s="602">
        <f t="shared" si="129"/>
        <v>-0.25</v>
      </c>
      <c r="F165" s="602">
        <f t="shared" si="129"/>
        <v>-0.33</v>
      </c>
      <c r="G165" s="602">
        <f t="shared" si="129"/>
        <v>4.0000000000000008E-2</v>
      </c>
      <c r="H165" s="602">
        <f t="shared" si="129"/>
        <v>2.4</v>
      </c>
      <c r="J165" s="1278"/>
      <c r="K165" s="602">
        <v>9</v>
      </c>
      <c r="L165" s="602">
        <f t="shared" ref="L165:Q165" si="130">P78</f>
        <v>50</v>
      </c>
      <c r="M165" s="602">
        <f t="shared" si="130"/>
        <v>4.0999999999999996</v>
      </c>
      <c r="N165" s="602">
        <f t="shared" si="130"/>
        <v>9.1999999999999993</v>
      </c>
      <c r="O165" s="602">
        <f t="shared" si="130"/>
        <v>1.7</v>
      </c>
      <c r="P165" s="602">
        <f t="shared" si="130"/>
        <v>3.7499999999999996</v>
      </c>
      <c r="Q165" s="602">
        <f t="shared" si="130"/>
        <v>0.29499999999999998</v>
      </c>
    </row>
    <row r="166" spans="1:17">
      <c r="A166" s="1278"/>
      <c r="B166" s="602">
        <v>10</v>
      </c>
      <c r="C166" s="602">
        <f>B101</f>
        <v>200</v>
      </c>
      <c r="D166" s="602">
        <f t="shared" ref="D166:F166" si="131">C101</f>
        <v>-0.67</v>
      </c>
      <c r="E166" s="602" t="str">
        <f t="shared" si="131"/>
        <v>-</v>
      </c>
      <c r="F166" s="602">
        <f t="shared" si="131"/>
        <v>0</v>
      </c>
      <c r="G166" s="602">
        <f>F101</f>
        <v>0</v>
      </c>
      <c r="H166" s="602" t="str">
        <f>G101</f>
        <v>-</v>
      </c>
      <c r="J166" s="1278"/>
      <c r="K166" s="602">
        <v>10</v>
      </c>
      <c r="L166" s="602">
        <f t="shared" ref="L166:Q166" si="132">B109</f>
        <v>100</v>
      </c>
      <c r="M166" s="602">
        <f t="shared" si="132"/>
        <v>0.4</v>
      </c>
      <c r="N166" s="602" t="str">
        <f t="shared" si="132"/>
        <v>-</v>
      </c>
      <c r="O166" s="602">
        <f t="shared" si="132"/>
        <v>0</v>
      </c>
      <c r="P166" s="602">
        <f t="shared" si="132"/>
        <v>0</v>
      </c>
      <c r="Q166" s="602" t="str">
        <f t="shared" si="132"/>
        <v>-</v>
      </c>
    </row>
    <row r="167" spans="1:17">
      <c r="A167" s="1278"/>
      <c r="B167" s="602">
        <v>11</v>
      </c>
      <c r="C167" s="602">
        <f>I101</f>
        <v>200</v>
      </c>
      <c r="D167" s="602">
        <f t="shared" ref="D167:F167" si="133">J101</f>
        <v>9.9999999999999995E-7</v>
      </c>
      <c r="E167" s="602" t="str">
        <f t="shared" si="133"/>
        <v>-</v>
      </c>
      <c r="F167" s="602">
        <f t="shared" si="133"/>
        <v>0</v>
      </c>
      <c r="G167" s="602">
        <f>M101</f>
        <v>0</v>
      </c>
      <c r="H167" s="602" t="str">
        <f>N101</f>
        <v>-</v>
      </c>
      <c r="J167" s="1278"/>
      <c r="K167" s="602">
        <v>11</v>
      </c>
      <c r="L167" s="602">
        <f t="shared" ref="L167:Q167" si="134">I109</f>
        <v>100</v>
      </c>
      <c r="M167" s="602">
        <f t="shared" si="134"/>
        <v>9.9999999999999995E-7</v>
      </c>
      <c r="N167" s="602" t="str">
        <f t="shared" si="134"/>
        <v>-</v>
      </c>
      <c r="O167" s="602">
        <f t="shared" si="134"/>
        <v>0</v>
      </c>
      <c r="P167" s="602">
        <f t="shared" si="134"/>
        <v>0</v>
      </c>
      <c r="Q167" s="602" t="str">
        <f t="shared" si="134"/>
        <v>-</v>
      </c>
    </row>
    <row r="168" spans="1:17">
      <c r="A168" s="1278"/>
      <c r="B168" s="602">
        <v>12</v>
      </c>
      <c r="C168" s="602">
        <f>P101</f>
        <v>200</v>
      </c>
      <c r="D168" s="602">
        <f t="shared" ref="D168:F168" si="135">Q101</f>
        <v>9.9999999999999995E-7</v>
      </c>
      <c r="E168" s="602" t="str">
        <f t="shared" si="135"/>
        <v>-</v>
      </c>
      <c r="F168" s="602">
        <f t="shared" si="135"/>
        <v>0</v>
      </c>
      <c r="G168" s="602">
        <f>T101</f>
        <v>0</v>
      </c>
      <c r="H168" s="602" t="str">
        <f>U101</f>
        <v>-</v>
      </c>
      <c r="J168" s="1278"/>
      <c r="K168" s="602">
        <v>12</v>
      </c>
      <c r="L168" s="602">
        <f t="shared" ref="L168:Q168" si="136">P109</f>
        <v>100</v>
      </c>
      <c r="M168" s="602">
        <f t="shared" si="136"/>
        <v>9.9999999999999995E-7</v>
      </c>
      <c r="N168" s="602" t="str">
        <f t="shared" si="136"/>
        <v>-</v>
      </c>
      <c r="O168" s="602">
        <f t="shared" si="136"/>
        <v>0</v>
      </c>
      <c r="P168" s="602">
        <f t="shared" si="136"/>
        <v>0</v>
      </c>
      <c r="Q168" s="602" t="str">
        <f t="shared" si="136"/>
        <v>-</v>
      </c>
    </row>
    <row r="169" spans="1:17" s="492" customFormat="1">
      <c r="A169" s="603"/>
      <c r="B169" s="603"/>
      <c r="C169" s="603"/>
      <c r="D169" s="603"/>
      <c r="E169" s="603"/>
      <c r="F169" s="604"/>
      <c r="G169" s="603"/>
      <c r="H169" s="603"/>
      <c r="J169" s="603"/>
      <c r="K169" s="603"/>
      <c r="L169" s="606"/>
      <c r="M169" s="606"/>
      <c r="N169" s="606"/>
      <c r="O169" s="604"/>
      <c r="P169" s="606"/>
      <c r="Q169" s="606"/>
    </row>
    <row r="170" spans="1:17">
      <c r="A170" s="1278" t="s">
        <v>526</v>
      </c>
      <c r="B170" s="602">
        <v>1</v>
      </c>
      <c r="C170" s="602">
        <f t="shared" ref="C170:H170" si="137">B9</f>
        <v>220</v>
      </c>
      <c r="D170" s="602">
        <f t="shared" si="137"/>
        <v>-0.28000000000000003</v>
      </c>
      <c r="E170" s="602">
        <f t="shared" si="137"/>
        <v>-0.18</v>
      </c>
      <c r="F170" s="602">
        <f t="shared" si="137"/>
        <v>0</v>
      </c>
      <c r="G170" s="602">
        <f t="shared" si="137"/>
        <v>5.0000000000000017E-2</v>
      </c>
      <c r="H170" s="602">
        <f t="shared" si="137"/>
        <v>2.64</v>
      </c>
      <c r="J170" s="1278" t="s">
        <v>526</v>
      </c>
      <c r="K170" s="602">
        <v>1</v>
      </c>
      <c r="L170" s="602">
        <f t="shared" ref="L170:Q170" si="138">B17</f>
        <v>200</v>
      </c>
      <c r="M170" s="602">
        <f t="shared" si="138"/>
        <v>0.4</v>
      </c>
      <c r="N170" s="602">
        <f t="shared" si="138"/>
        <v>9.9999999999999995E-7</v>
      </c>
      <c r="O170" s="602">
        <f t="shared" si="138"/>
        <v>0</v>
      </c>
      <c r="P170" s="602">
        <f t="shared" si="138"/>
        <v>0.19999950000000002</v>
      </c>
      <c r="Q170" s="602">
        <f t="shared" si="138"/>
        <v>1.18</v>
      </c>
    </row>
    <row r="171" spans="1:17">
      <c r="A171" s="1278"/>
      <c r="B171" s="602">
        <v>2</v>
      </c>
      <c r="C171" s="602">
        <f t="shared" ref="C171:H171" si="139">I9</f>
        <v>220</v>
      </c>
      <c r="D171" s="602">
        <f t="shared" si="139"/>
        <v>0.05</v>
      </c>
      <c r="E171" s="602">
        <f t="shared" si="139"/>
        <v>-0.03</v>
      </c>
      <c r="F171" s="602">
        <f t="shared" si="139"/>
        <v>0</v>
      </c>
      <c r="G171" s="602">
        <f t="shared" si="139"/>
        <v>0.04</v>
      </c>
      <c r="H171" s="602">
        <f t="shared" si="139"/>
        <v>2.64</v>
      </c>
      <c r="J171" s="1278"/>
      <c r="K171" s="602">
        <v>2</v>
      </c>
      <c r="L171" s="602">
        <f t="shared" ref="L171:Q171" si="140">I17</f>
        <v>200</v>
      </c>
      <c r="M171" s="602">
        <f t="shared" si="140"/>
        <v>-0.1</v>
      </c>
      <c r="N171" s="602">
        <f t="shared" si="140"/>
        <v>3.3</v>
      </c>
      <c r="O171" s="602">
        <f t="shared" si="140"/>
        <v>0</v>
      </c>
      <c r="P171" s="602">
        <f t="shared" si="140"/>
        <v>1.7</v>
      </c>
      <c r="Q171" s="602">
        <f t="shared" si="140"/>
        <v>1.18</v>
      </c>
    </row>
    <row r="172" spans="1:17">
      <c r="A172" s="1278"/>
      <c r="B172" s="602">
        <v>3</v>
      </c>
      <c r="C172" s="602">
        <f t="shared" ref="C172:H172" si="141">P9</f>
        <v>220</v>
      </c>
      <c r="D172" s="602">
        <f t="shared" si="141"/>
        <v>-2.31</v>
      </c>
      <c r="E172" s="602">
        <f t="shared" si="141"/>
        <v>-2.29</v>
      </c>
      <c r="F172" s="602">
        <f t="shared" si="141"/>
        <v>-3.44</v>
      </c>
      <c r="G172" s="602">
        <f t="shared" si="141"/>
        <v>0.57499999999999996</v>
      </c>
      <c r="H172" s="602">
        <f t="shared" si="141"/>
        <v>2.64</v>
      </c>
      <c r="J172" s="1278"/>
      <c r="K172" s="602">
        <v>3</v>
      </c>
      <c r="L172" s="602">
        <f t="shared" ref="L172:Q172" si="142">P17</f>
        <v>200</v>
      </c>
      <c r="M172" s="602">
        <f t="shared" si="142"/>
        <v>2.7</v>
      </c>
      <c r="N172" s="602">
        <f t="shared" si="142"/>
        <v>-3.6</v>
      </c>
      <c r="O172" s="602">
        <f t="shared" si="142"/>
        <v>-0.1</v>
      </c>
      <c r="P172" s="602">
        <f t="shared" si="142"/>
        <v>3.1500000000000004</v>
      </c>
      <c r="Q172" s="602">
        <f t="shared" si="142"/>
        <v>1.18</v>
      </c>
    </row>
    <row r="173" spans="1:17">
      <c r="A173" s="1278"/>
      <c r="B173" s="602">
        <v>4</v>
      </c>
      <c r="C173" s="602">
        <f t="shared" ref="C173:H173" si="143">B40</f>
        <v>220</v>
      </c>
      <c r="D173" s="602">
        <f t="shared" si="143"/>
        <v>9.9999999999999995E-7</v>
      </c>
      <c r="E173" s="602">
        <f t="shared" si="143"/>
        <v>0.1</v>
      </c>
      <c r="F173" s="602">
        <f t="shared" si="143"/>
        <v>0</v>
      </c>
      <c r="G173" s="602">
        <f t="shared" si="143"/>
        <v>4.9999500000000002E-2</v>
      </c>
      <c r="H173" s="602">
        <f t="shared" si="143"/>
        <v>2.64</v>
      </c>
      <c r="J173" s="1278"/>
      <c r="K173" s="602">
        <v>4</v>
      </c>
      <c r="L173" s="602">
        <f t="shared" ref="L173:Q173" si="144">B48</f>
        <v>200</v>
      </c>
      <c r="M173" s="602">
        <f t="shared" si="144"/>
        <v>0</v>
      </c>
      <c r="N173" s="602">
        <f t="shared" si="144"/>
        <v>0.8</v>
      </c>
      <c r="O173" s="602">
        <f t="shared" si="144"/>
        <v>0</v>
      </c>
      <c r="P173" s="602">
        <f t="shared" si="144"/>
        <v>0.4</v>
      </c>
      <c r="Q173" s="602">
        <f t="shared" si="144"/>
        <v>1.18</v>
      </c>
    </row>
    <row r="174" spans="1:17">
      <c r="A174" s="1278"/>
      <c r="B174" s="602">
        <v>5</v>
      </c>
      <c r="C174" s="602">
        <f t="shared" ref="C174:H174" si="145">I40</f>
        <v>220</v>
      </c>
      <c r="D174" s="602">
        <f t="shared" si="145"/>
        <v>0.56000000000000005</v>
      </c>
      <c r="E174" s="602">
        <f t="shared" si="145"/>
        <v>0.38</v>
      </c>
      <c r="F174" s="602">
        <f t="shared" si="145"/>
        <v>0</v>
      </c>
      <c r="G174" s="602">
        <f t="shared" si="145"/>
        <v>9.0000000000000024E-2</v>
      </c>
      <c r="H174" s="602">
        <f t="shared" si="145"/>
        <v>2.64</v>
      </c>
      <c r="J174" s="1278"/>
      <c r="K174" s="602">
        <v>5</v>
      </c>
      <c r="L174" s="602">
        <f t="shared" ref="L174:Q174" si="146">I48</f>
        <v>200</v>
      </c>
      <c r="M174" s="602">
        <f t="shared" si="146"/>
        <v>0</v>
      </c>
      <c r="N174" s="602">
        <f t="shared" si="146"/>
        <v>1.3</v>
      </c>
      <c r="O174" s="602">
        <f t="shared" si="146"/>
        <v>0</v>
      </c>
      <c r="P174" s="602">
        <f t="shared" si="146"/>
        <v>0.65</v>
      </c>
      <c r="Q174" s="602">
        <f t="shared" si="146"/>
        <v>1.18</v>
      </c>
    </row>
    <row r="175" spans="1:17">
      <c r="A175" s="1278"/>
      <c r="B175" s="602">
        <v>6</v>
      </c>
      <c r="C175" s="602">
        <f t="shared" ref="C175:H175" si="147">P40</f>
        <v>220</v>
      </c>
      <c r="D175" s="602">
        <f t="shared" si="147"/>
        <v>0.06</v>
      </c>
      <c r="E175" s="602">
        <f t="shared" si="147"/>
        <v>7.0000000000000007E-2</v>
      </c>
      <c r="F175" s="602">
        <f t="shared" si="147"/>
        <v>-0.13</v>
      </c>
      <c r="G175" s="602">
        <f t="shared" si="147"/>
        <v>0.1</v>
      </c>
      <c r="H175" s="602">
        <f t="shared" si="147"/>
        <v>2.64</v>
      </c>
      <c r="J175" s="1278"/>
      <c r="K175" s="602">
        <v>6</v>
      </c>
      <c r="L175" s="602">
        <f t="shared" ref="L175:Q175" si="148">P48</f>
        <v>200</v>
      </c>
      <c r="M175" s="602">
        <f t="shared" si="148"/>
        <v>9.4</v>
      </c>
      <c r="N175" s="602">
        <f t="shared" si="148"/>
        <v>14.4</v>
      </c>
      <c r="O175" s="602">
        <f t="shared" si="148"/>
        <v>0.8</v>
      </c>
      <c r="P175" s="602">
        <f t="shared" si="148"/>
        <v>6.8</v>
      </c>
      <c r="Q175" s="602">
        <f t="shared" si="148"/>
        <v>1.18</v>
      </c>
    </row>
    <row r="176" spans="1:17">
      <c r="A176" s="1278"/>
      <c r="B176" s="602">
        <v>7</v>
      </c>
      <c r="C176" s="602">
        <f t="shared" ref="C176:H176" si="149">B71</f>
        <v>220</v>
      </c>
      <c r="D176" s="602">
        <f t="shared" si="149"/>
        <v>0.32</v>
      </c>
      <c r="E176" s="602">
        <f t="shared" si="149"/>
        <v>0.57999999999999996</v>
      </c>
      <c r="F176" s="602">
        <f t="shared" si="149"/>
        <v>0.37</v>
      </c>
      <c r="G176" s="602">
        <f t="shared" si="149"/>
        <v>0.12999999999999998</v>
      </c>
      <c r="H176" s="602">
        <f t="shared" si="149"/>
        <v>2.64</v>
      </c>
      <c r="J176" s="1278"/>
      <c r="K176" s="602">
        <v>7</v>
      </c>
      <c r="L176" s="602">
        <f t="shared" ref="L176:Q176" si="150">B79</f>
        <v>200</v>
      </c>
      <c r="M176" s="602">
        <f t="shared" si="150"/>
        <v>8.6</v>
      </c>
      <c r="N176" s="602">
        <f t="shared" si="150"/>
        <v>1.5</v>
      </c>
      <c r="O176" s="602">
        <f t="shared" si="150"/>
        <v>0.4</v>
      </c>
      <c r="P176" s="602">
        <f t="shared" si="150"/>
        <v>4.0999999999999996</v>
      </c>
      <c r="Q176" s="602">
        <f t="shared" si="150"/>
        <v>1.18</v>
      </c>
    </row>
    <row r="177" spans="1:17">
      <c r="A177" s="1278"/>
      <c r="B177" s="602">
        <v>8</v>
      </c>
      <c r="C177" s="602">
        <f t="shared" ref="C177:H177" si="151">I71</f>
        <v>220</v>
      </c>
      <c r="D177" s="602">
        <f t="shared" si="151"/>
        <v>-0.39</v>
      </c>
      <c r="E177" s="602">
        <f t="shared" si="151"/>
        <v>-0.16</v>
      </c>
      <c r="F177" s="602">
        <f t="shared" si="151"/>
        <v>-0.45</v>
      </c>
      <c r="G177" s="602">
        <f t="shared" si="151"/>
        <v>0.14500000000000002</v>
      </c>
      <c r="H177" s="602">
        <f t="shared" si="151"/>
        <v>2.64</v>
      </c>
      <c r="J177" s="1278"/>
      <c r="K177" s="602">
        <v>8</v>
      </c>
      <c r="L177" s="602">
        <f t="shared" ref="L177:Q177" si="152">I79</f>
        <v>200</v>
      </c>
      <c r="M177" s="602">
        <f t="shared" si="152"/>
        <v>7.7</v>
      </c>
      <c r="N177" s="602">
        <f t="shared" si="152"/>
        <v>-8.1999999999999993</v>
      </c>
      <c r="O177" s="602">
        <f t="shared" si="152"/>
        <v>3.7</v>
      </c>
      <c r="P177" s="602">
        <f t="shared" si="152"/>
        <v>7.9499999999999993</v>
      </c>
      <c r="Q177" s="602">
        <f t="shared" si="152"/>
        <v>1.18</v>
      </c>
    </row>
    <row r="178" spans="1:17">
      <c r="A178" s="1278"/>
      <c r="B178" s="602">
        <v>9</v>
      </c>
      <c r="C178" s="602">
        <f t="shared" ref="C178:H178" si="153">P71</f>
        <v>220</v>
      </c>
      <c r="D178" s="602">
        <f t="shared" si="153"/>
        <v>-0.28999999999999998</v>
      </c>
      <c r="E178" s="602">
        <f t="shared" si="153"/>
        <v>-0.28999999999999998</v>
      </c>
      <c r="F178" s="602">
        <f t="shared" si="153"/>
        <v>-0.39</v>
      </c>
      <c r="G178" s="602">
        <f t="shared" si="153"/>
        <v>5.0000000000000017E-2</v>
      </c>
      <c r="H178" s="602">
        <f t="shared" si="153"/>
        <v>2.64</v>
      </c>
      <c r="J178" s="1278"/>
      <c r="K178" s="602">
        <v>9</v>
      </c>
      <c r="L178" s="602">
        <f t="shared" ref="L178:Q178" si="154">P79</f>
        <v>100</v>
      </c>
      <c r="M178" s="602">
        <f t="shared" si="154"/>
        <v>6</v>
      </c>
      <c r="N178" s="602">
        <f t="shared" si="154"/>
        <v>7.7</v>
      </c>
      <c r="O178" s="602">
        <f t="shared" si="154"/>
        <v>3.4</v>
      </c>
      <c r="P178" s="602">
        <f t="shared" si="154"/>
        <v>2.1500000000000004</v>
      </c>
      <c r="Q178" s="602">
        <f t="shared" si="154"/>
        <v>0.59</v>
      </c>
    </row>
    <row r="179" spans="1:17">
      <c r="A179" s="1278"/>
      <c r="B179" s="602">
        <v>10</v>
      </c>
      <c r="C179" s="602">
        <f>B102</f>
        <v>220</v>
      </c>
      <c r="D179" s="602">
        <f t="shared" ref="D179:F179" si="155">C102</f>
        <v>9.9999999999999995E-7</v>
      </c>
      <c r="E179" s="602" t="str">
        <f t="shared" si="155"/>
        <v>-</v>
      </c>
      <c r="F179" s="602">
        <f t="shared" si="155"/>
        <v>0</v>
      </c>
      <c r="G179" s="602">
        <f>F102</f>
        <v>0</v>
      </c>
      <c r="H179" s="602" t="str">
        <f>G102</f>
        <v>-</v>
      </c>
      <c r="J179" s="1278"/>
      <c r="K179" s="602">
        <v>10</v>
      </c>
      <c r="L179" s="602">
        <f t="shared" ref="L179:Q179" si="156">B110</f>
        <v>200</v>
      </c>
      <c r="M179" s="602">
        <f t="shared" si="156"/>
        <v>0.4</v>
      </c>
      <c r="N179" s="602" t="str">
        <f t="shared" si="156"/>
        <v>-</v>
      </c>
      <c r="O179" s="602">
        <f t="shared" si="156"/>
        <v>0</v>
      </c>
      <c r="P179" s="602">
        <f t="shared" si="156"/>
        <v>0</v>
      </c>
      <c r="Q179" s="602" t="str">
        <f t="shared" si="156"/>
        <v>-</v>
      </c>
    </row>
    <row r="180" spans="1:17">
      <c r="A180" s="1278"/>
      <c r="B180" s="602">
        <v>11</v>
      </c>
      <c r="C180" s="602">
        <f>I102</f>
        <v>220</v>
      </c>
      <c r="D180" s="602">
        <f t="shared" ref="D180:F180" si="157">J102</f>
        <v>9.9999999999999995E-7</v>
      </c>
      <c r="E180" s="602" t="str">
        <f t="shared" si="157"/>
        <v>-</v>
      </c>
      <c r="F180" s="602">
        <f t="shared" si="157"/>
        <v>0</v>
      </c>
      <c r="G180" s="602">
        <f>M102</f>
        <v>0</v>
      </c>
      <c r="H180" s="602" t="str">
        <f>N102</f>
        <v>-</v>
      </c>
      <c r="J180" s="1278"/>
      <c r="K180" s="602">
        <v>11</v>
      </c>
      <c r="L180" s="602">
        <f t="shared" ref="L180:Q180" si="158">I110</f>
        <v>200</v>
      </c>
      <c r="M180" s="602">
        <f t="shared" si="158"/>
        <v>9.9999999999999995E-7</v>
      </c>
      <c r="N180" s="602" t="str">
        <f t="shared" si="158"/>
        <v>-</v>
      </c>
      <c r="O180" s="602">
        <f t="shared" si="158"/>
        <v>0</v>
      </c>
      <c r="P180" s="602">
        <f t="shared" si="158"/>
        <v>0</v>
      </c>
      <c r="Q180" s="602" t="str">
        <f t="shared" si="158"/>
        <v>-</v>
      </c>
    </row>
    <row r="181" spans="1:17">
      <c r="A181" s="1278"/>
      <c r="B181" s="602">
        <v>12</v>
      </c>
      <c r="C181" s="602">
        <f>P102</f>
        <v>220</v>
      </c>
      <c r="D181" s="602">
        <f t="shared" ref="D181:F181" si="159">Q102</f>
        <v>9.9999999999999995E-7</v>
      </c>
      <c r="E181" s="602" t="str">
        <f t="shared" si="159"/>
        <v>-</v>
      </c>
      <c r="F181" s="602">
        <f t="shared" si="159"/>
        <v>0</v>
      </c>
      <c r="G181" s="602">
        <f>T102</f>
        <v>0</v>
      </c>
      <c r="H181" s="602" t="str">
        <f>U102</f>
        <v>-</v>
      </c>
      <c r="J181" s="1278"/>
      <c r="K181" s="602">
        <v>12</v>
      </c>
      <c r="L181" s="602">
        <f t="shared" ref="L181:Q181" si="160">P110</f>
        <v>200</v>
      </c>
      <c r="M181" s="602">
        <f t="shared" si="160"/>
        <v>9.9999999999999995E-7</v>
      </c>
      <c r="N181" s="602" t="str">
        <f t="shared" si="160"/>
        <v>-</v>
      </c>
      <c r="O181" s="602">
        <f t="shared" si="160"/>
        <v>0</v>
      </c>
      <c r="P181" s="602">
        <f t="shared" si="160"/>
        <v>0</v>
      </c>
      <c r="Q181" s="602" t="str">
        <f t="shared" si="160"/>
        <v>-</v>
      </c>
    </row>
    <row r="182" spans="1:17" s="492" customFormat="1">
      <c r="A182" s="603"/>
      <c r="B182" s="603"/>
      <c r="C182" s="603"/>
      <c r="D182" s="603"/>
      <c r="E182" s="603"/>
      <c r="F182" s="604"/>
      <c r="G182" s="603"/>
      <c r="H182" s="603"/>
      <c r="J182" s="603"/>
      <c r="K182" s="603"/>
      <c r="L182" s="606"/>
      <c r="M182" s="606"/>
      <c r="N182" s="606"/>
      <c r="O182" s="604"/>
      <c r="P182" s="606"/>
      <c r="Q182" s="606"/>
    </row>
    <row r="183" spans="1:17">
      <c r="A183" s="1278" t="s">
        <v>20</v>
      </c>
      <c r="B183" s="602">
        <v>1</v>
      </c>
      <c r="C183" s="602">
        <f t="shared" ref="C183:H183" si="161">B10</f>
        <v>230</v>
      </c>
      <c r="D183" s="602">
        <f t="shared" si="161"/>
        <v>-0.2</v>
      </c>
      <c r="E183" s="602">
        <f t="shared" si="161"/>
        <v>-0.26</v>
      </c>
      <c r="F183" s="602">
        <f t="shared" si="161"/>
        <v>0</v>
      </c>
      <c r="G183" s="602">
        <f t="shared" si="161"/>
        <v>0.03</v>
      </c>
      <c r="H183" s="602">
        <f t="shared" si="161"/>
        <v>2.7600000000000002</v>
      </c>
      <c r="J183" s="1278" t="s">
        <v>20</v>
      </c>
      <c r="K183" s="602">
        <v>1</v>
      </c>
      <c r="L183" s="602">
        <f t="shared" ref="L183:Q183" si="162">B18</f>
        <v>500</v>
      </c>
      <c r="M183" s="602">
        <f t="shared" si="162"/>
        <v>3.8</v>
      </c>
      <c r="N183" s="602">
        <f t="shared" si="162"/>
        <v>-0.9</v>
      </c>
      <c r="O183" s="602">
        <f t="shared" si="162"/>
        <v>0</v>
      </c>
      <c r="P183" s="602">
        <f t="shared" si="162"/>
        <v>2.35</v>
      </c>
      <c r="Q183" s="602">
        <f t="shared" si="162"/>
        <v>2.9499999999999997</v>
      </c>
    </row>
    <row r="184" spans="1:17">
      <c r="A184" s="1278"/>
      <c r="B184" s="602">
        <v>2</v>
      </c>
      <c r="C184" s="602">
        <f t="shared" ref="C184:H184" si="163">I10</f>
        <v>230</v>
      </c>
      <c r="D184" s="602">
        <f t="shared" si="163"/>
        <v>9.9999999999999995E-7</v>
      </c>
      <c r="E184" s="602">
        <f t="shared" si="163"/>
        <v>0.05</v>
      </c>
      <c r="F184" s="602">
        <f t="shared" si="163"/>
        <v>0</v>
      </c>
      <c r="G184" s="602">
        <f t="shared" si="163"/>
        <v>2.4999500000000001E-2</v>
      </c>
      <c r="H184" s="602">
        <f t="shared" si="163"/>
        <v>2.7600000000000002</v>
      </c>
      <c r="J184" s="1278"/>
      <c r="K184" s="602">
        <v>2</v>
      </c>
      <c r="L184" s="602">
        <f t="shared" ref="L184:Q184" si="164">I18</f>
        <v>500</v>
      </c>
      <c r="M184" s="602">
        <f t="shared" si="164"/>
        <v>0.8</v>
      </c>
      <c r="N184" s="602">
        <f t="shared" si="164"/>
        <v>2</v>
      </c>
      <c r="O184" s="602">
        <f t="shared" si="164"/>
        <v>0</v>
      </c>
      <c r="P184" s="602">
        <f t="shared" si="164"/>
        <v>0.6</v>
      </c>
      <c r="Q184" s="602">
        <f t="shared" si="164"/>
        <v>2.9499999999999997</v>
      </c>
    </row>
    <row r="185" spans="1:17">
      <c r="A185" s="1278"/>
      <c r="B185" s="602">
        <v>3</v>
      </c>
      <c r="C185" s="602">
        <f t="shared" ref="C185:H185" si="165">P10</f>
        <v>230</v>
      </c>
      <c r="D185" s="602">
        <f t="shared" si="165"/>
        <v>-2.38</v>
      </c>
      <c r="E185" s="602">
        <f t="shared" si="165"/>
        <v>-11.79</v>
      </c>
      <c r="F185" s="602">
        <f t="shared" si="165"/>
        <v>-2.52</v>
      </c>
      <c r="G185" s="602">
        <f t="shared" si="165"/>
        <v>4.7050000000000001</v>
      </c>
      <c r="H185" s="602">
        <f t="shared" si="165"/>
        <v>2.7600000000000002</v>
      </c>
      <c r="J185" s="1278"/>
      <c r="K185" s="602">
        <v>3</v>
      </c>
      <c r="L185" s="602">
        <f t="shared" ref="L185:Q185" si="166">P18</f>
        <v>500</v>
      </c>
      <c r="M185" s="602">
        <f t="shared" si="166"/>
        <v>3</v>
      </c>
      <c r="N185" s="602">
        <f t="shared" si="166"/>
        <v>-18.8</v>
      </c>
      <c r="O185" s="602">
        <f t="shared" si="166"/>
        <v>-1.1000000000000001</v>
      </c>
      <c r="P185" s="602">
        <f t="shared" si="166"/>
        <v>10.9</v>
      </c>
      <c r="Q185" s="602">
        <f t="shared" si="166"/>
        <v>2.9499999999999997</v>
      </c>
    </row>
    <row r="186" spans="1:17">
      <c r="A186" s="1278"/>
      <c r="B186" s="602">
        <v>4</v>
      </c>
      <c r="C186" s="602">
        <f t="shared" ref="C186:H186" si="167">B41</f>
        <v>230</v>
      </c>
      <c r="D186" s="602">
        <f t="shared" si="167"/>
        <v>-0.11</v>
      </c>
      <c r="E186" s="602">
        <f t="shared" si="167"/>
        <v>1.1100000000000001</v>
      </c>
      <c r="F186" s="602">
        <f t="shared" si="167"/>
        <v>0</v>
      </c>
      <c r="G186" s="602">
        <f t="shared" si="167"/>
        <v>0.6100000000000001</v>
      </c>
      <c r="H186" s="602">
        <f t="shared" si="167"/>
        <v>2.7600000000000002</v>
      </c>
      <c r="J186" s="1278"/>
      <c r="K186" s="602">
        <v>4</v>
      </c>
      <c r="L186" s="602">
        <f t="shared" ref="L186:Q186" si="168">B49</f>
        <v>500</v>
      </c>
      <c r="M186" s="602">
        <f t="shared" si="168"/>
        <v>1.5</v>
      </c>
      <c r="N186" s="602">
        <f t="shared" si="168"/>
        <v>1.2</v>
      </c>
      <c r="O186" s="602">
        <f t="shared" si="168"/>
        <v>0</v>
      </c>
      <c r="P186" s="602">
        <f t="shared" si="168"/>
        <v>0.15000000000000002</v>
      </c>
      <c r="Q186" s="602">
        <f t="shared" si="168"/>
        <v>2.9499999999999997</v>
      </c>
    </row>
    <row r="187" spans="1:17">
      <c r="A187" s="1278"/>
      <c r="B187" s="602">
        <v>5</v>
      </c>
      <c r="C187" s="602">
        <f t="shared" ref="C187:H187" si="169">I41</f>
        <v>230</v>
      </c>
      <c r="D187" s="602">
        <f t="shared" si="169"/>
        <v>0.73</v>
      </c>
      <c r="E187" s="602">
        <f t="shared" si="169"/>
        <v>-0.16</v>
      </c>
      <c r="F187" s="602">
        <f t="shared" si="169"/>
        <v>0</v>
      </c>
      <c r="G187" s="602">
        <f t="shared" si="169"/>
        <v>0.44500000000000001</v>
      </c>
      <c r="H187" s="602">
        <f t="shared" si="169"/>
        <v>2.7600000000000002</v>
      </c>
      <c r="J187" s="1278"/>
      <c r="K187" s="602">
        <v>5</v>
      </c>
      <c r="L187" s="602">
        <f t="shared" ref="L187:Q187" si="170">I49</f>
        <v>500</v>
      </c>
      <c r="M187" s="602">
        <f t="shared" si="170"/>
        <v>9.3000000000000007</v>
      </c>
      <c r="N187" s="602">
        <f t="shared" si="170"/>
        <v>0.7</v>
      </c>
      <c r="O187" s="602">
        <f t="shared" si="170"/>
        <v>0</v>
      </c>
      <c r="P187" s="602">
        <f t="shared" si="170"/>
        <v>4.3000000000000007</v>
      </c>
      <c r="Q187" s="602">
        <f t="shared" si="170"/>
        <v>2.9499999999999997</v>
      </c>
    </row>
    <row r="188" spans="1:17">
      <c r="A188" s="1278"/>
      <c r="B188" s="602">
        <v>6</v>
      </c>
      <c r="C188" s="602">
        <f t="shared" ref="C188:H188" si="171">P41</f>
        <v>230</v>
      </c>
      <c r="D188" s="602">
        <f t="shared" si="171"/>
        <v>0.04</v>
      </c>
      <c r="E188" s="602">
        <f t="shared" si="171"/>
        <v>0.08</v>
      </c>
      <c r="F188" s="602">
        <f t="shared" si="171"/>
        <v>-0.15</v>
      </c>
      <c r="G188" s="602">
        <f t="shared" si="171"/>
        <v>0.11499999999999999</v>
      </c>
      <c r="H188" s="602">
        <f t="shared" si="171"/>
        <v>2.7600000000000002</v>
      </c>
      <c r="J188" s="1278"/>
      <c r="K188" s="602">
        <v>6</v>
      </c>
      <c r="L188" s="602">
        <f t="shared" ref="L188:Q188" si="172">P49</f>
        <v>500</v>
      </c>
      <c r="M188" s="602">
        <f t="shared" si="172"/>
        <v>10.8</v>
      </c>
      <c r="N188" s="602">
        <f t="shared" si="172"/>
        <v>6.2</v>
      </c>
      <c r="O188" s="602">
        <f t="shared" si="172"/>
        <v>1.1000000000000001</v>
      </c>
      <c r="P188" s="602">
        <f t="shared" si="172"/>
        <v>4.8500000000000005</v>
      </c>
      <c r="Q188" s="602">
        <f t="shared" si="172"/>
        <v>2.9499999999999997</v>
      </c>
    </row>
    <row r="189" spans="1:17">
      <c r="A189" s="1278"/>
      <c r="B189" s="602">
        <v>7</v>
      </c>
      <c r="C189" s="602">
        <f t="shared" ref="C189:H189" si="173">B72</f>
        <v>230</v>
      </c>
      <c r="D189" s="602">
        <f t="shared" si="173"/>
        <v>0.38</v>
      </c>
      <c r="E189" s="602">
        <f t="shared" si="173"/>
        <v>0.47</v>
      </c>
      <c r="F189" s="602">
        <f t="shared" si="173"/>
        <v>0.47</v>
      </c>
      <c r="G189" s="602">
        <f t="shared" si="173"/>
        <v>4.4999999999999984E-2</v>
      </c>
      <c r="H189" s="602">
        <f t="shared" si="173"/>
        <v>2.7600000000000002</v>
      </c>
      <c r="J189" s="1278"/>
      <c r="K189" s="602">
        <v>7</v>
      </c>
      <c r="L189" s="602">
        <f t="shared" ref="L189:Q189" si="174">B80</f>
        <v>500</v>
      </c>
      <c r="M189" s="602">
        <f t="shared" si="174"/>
        <v>9.3000000000000007</v>
      </c>
      <c r="N189" s="602">
        <f t="shared" si="174"/>
        <v>0.9</v>
      </c>
      <c r="O189" s="602">
        <f t="shared" si="174"/>
        <v>3</v>
      </c>
      <c r="P189" s="602">
        <f t="shared" si="174"/>
        <v>4.2</v>
      </c>
      <c r="Q189" s="602">
        <f t="shared" si="174"/>
        <v>2.9499999999999997</v>
      </c>
    </row>
    <row r="190" spans="1:17">
      <c r="A190" s="1278"/>
      <c r="B190" s="602">
        <v>8</v>
      </c>
      <c r="C190" s="602">
        <f t="shared" ref="C190:H190" si="175">I72</f>
        <v>230</v>
      </c>
      <c r="D190" s="602">
        <f t="shared" si="175"/>
        <v>-0.3</v>
      </c>
      <c r="E190" s="602">
        <f t="shared" si="175"/>
        <v>-0.15</v>
      </c>
      <c r="F190" s="602">
        <f t="shared" si="175"/>
        <v>-0.54</v>
      </c>
      <c r="G190" s="602">
        <f t="shared" si="175"/>
        <v>0.19500000000000001</v>
      </c>
      <c r="H190" s="602">
        <f t="shared" si="175"/>
        <v>2.7600000000000002</v>
      </c>
      <c r="J190" s="1278"/>
      <c r="K190" s="602">
        <v>8</v>
      </c>
      <c r="L190" s="602">
        <f t="shared" ref="L190:Q190" si="176">I80</f>
        <v>500</v>
      </c>
      <c r="M190" s="602">
        <f t="shared" si="176"/>
        <v>6</v>
      </c>
      <c r="N190" s="602">
        <f t="shared" si="176"/>
        <v>-31.8</v>
      </c>
      <c r="O190" s="602">
        <f t="shared" si="176"/>
        <v>8.3000000000000007</v>
      </c>
      <c r="P190" s="602">
        <f t="shared" si="176"/>
        <v>20.05</v>
      </c>
      <c r="Q190" s="602">
        <f t="shared" si="176"/>
        <v>2.9499999999999997</v>
      </c>
    </row>
    <row r="191" spans="1:17">
      <c r="A191" s="1278"/>
      <c r="B191" s="602">
        <v>9</v>
      </c>
      <c r="C191" s="602">
        <f t="shared" ref="C191:H191" si="177">P72</f>
        <v>230</v>
      </c>
      <c r="D191" s="602">
        <f t="shared" si="177"/>
        <v>-0.34</v>
      </c>
      <c r="E191" s="602">
        <f t="shared" si="177"/>
        <v>-0.34</v>
      </c>
      <c r="F191" s="602">
        <f t="shared" si="177"/>
        <v>-0.39</v>
      </c>
      <c r="G191" s="602">
        <f t="shared" si="177"/>
        <v>2.4999999999999994E-2</v>
      </c>
      <c r="H191" s="602">
        <f t="shared" si="177"/>
        <v>2.7600000000000002</v>
      </c>
      <c r="J191" s="1278"/>
      <c r="K191" s="602">
        <v>9</v>
      </c>
      <c r="L191" s="602">
        <f t="shared" ref="L191:Q191" si="178">P80</f>
        <v>500</v>
      </c>
      <c r="M191" s="602">
        <f t="shared" si="178"/>
        <v>9.5</v>
      </c>
      <c r="N191" s="602">
        <f t="shared" si="178"/>
        <v>-25.1</v>
      </c>
      <c r="O191" s="602">
        <f t="shared" si="178"/>
        <v>7.2</v>
      </c>
      <c r="P191" s="602">
        <f t="shared" si="178"/>
        <v>17.3</v>
      </c>
      <c r="Q191" s="602">
        <f t="shared" si="178"/>
        <v>2.9499999999999997</v>
      </c>
    </row>
    <row r="192" spans="1:17">
      <c r="A192" s="1278"/>
      <c r="B192" s="602">
        <v>10</v>
      </c>
      <c r="C192" s="602">
        <f>B103</f>
        <v>230</v>
      </c>
      <c r="D192" s="602">
        <f t="shared" ref="D192:F192" si="179">C103</f>
        <v>-0.11</v>
      </c>
      <c r="E192" s="602" t="str">
        <f t="shared" si="179"/>
        <v>-</v>
      </c>
      <c r="F192" s="602">
        <f t="shared" si="179"/>
        <v>0</v>
      </c>
      <c r="G192" s="602">
        <f>F103</f>
        <v>0</v>
      </c>
      <c r="H192" s="602" t="str">
        <f>G103</f>
        <v>-</v>
      </c>
      <c r="J192" s="1278"/>
      <c r="K192" s="602">
        <v>10</v>
      </c>
      <c r="L192" s="602">
        <f t="shared" ref="L192:Q192" si="180">B111</f>
        <v>500</v>
      </c>
      <c r="M192" s="602">
        <f t="shared" si="180"/>
        <v>1.5</v>
      </c>
      <c r="N192" s="602" t="str">
        <f t="shared" si="180"/>
        <v>-</v>
      </c>
      <c r="O192" s="602">
        <f t="shared" si="180"/>
        <v>0</v>
      </c>
      <c r="P192" s="602">
        <f t="shared" si="180"/>
        <v>0</v>
      </c>
      <c r="Q192" s="602" t="str">
        <f t="shared" si="180"/>
        <v>-</v>
      </c>
    </row>
    <row r="193" spans="1:17">
      <c r="A193" s="1278"/>
      <c r="B193" s="602">
        <v>11</v>
      </c>
      <c r="C193" s="602">
        <f>I103</f>
        <v>230</v>
      </c>
      <c r="D193" s="602">
        <f t="shared" ref="D193:F193" si="181">J103</f>
        <v>9.9999999999999995E-7</v>
      </c>
      <c r="E193" s="602" t="str">
        <f t="shared" si="181"/>
        <v>-</v>
      </c>
      <c r="F193" s="602">
        <f t="shared" si="181"/>
        <v>0</v>
      </c>
      <c r="G193" s="602">
        <f>M103</f>
        <v>0</v>
      </c>
      <c r="H193" s="602" t="str">
        <f>N103</f>
        <v>-</v>
      </c>
      <c r="J193" s="1278"/>
      <c r="K193" s="602">
        <v>11</v>
      </c>
      <c r="L193" s="602">
        <f t="shared" ref="L193:Q193" si="182">I111</f>
        <v>500</v>
      </c>
      <c r="M193" s="602">
        <f t="shared" si="182"/>
        <v>9.9999999999999995E-7</v>
      </c>
      <c r="N193" s="602" t="str">
        <f t="shared" si="182"/>
        <v>-</v>
      </c>
      <c r="O193" s="602">
        <f t="shared" si="182"/>
        <v>0</v>
      </c>
      <c r="P193" s="602">
        <f t="shared" si="182"/>
        <v>0</v>
      </c>
      <c r="Q193" s="602" t="str">
        <f t="shared" si="182"/>
        <v>-</v>
      </c>
    </row>
    <row r="194" spans="1:17">
      <c r="A194" s="1278"/>
      <c r="B194" s="602">
        <v>12</v>
      </c>
      <c r="C194" s="602">
        <f>P103</f>
        <v>230</v>
      </c>
      <c r="D194" s="602">
        <f t="shared" ref="D194:F194" si="183">Q103</f>
        <v>9.9999999999999995E-7</v>
      </c>
      <c r="E194" s="602" t="str">
        <f t="shared" si="183"/>
        <v>-</v>
      </c>
      <c r="F194" s="602">
        <f t="shared" si="183"/>
        <v>0</v>
      </c>
      <c r="G194" s="602">
        <f>T103</f>
        <v>0</v>
      </c>
      <c r="H194" s="602" t="str">
        <f>U103</f>
        <v>-</v>
      </c>
      <c r="J194" s="1278"/>
      <c r="K194" s="602">
        <v>12</v>
      </c>
      <c r="L194" s="602">
        <f t="shared" ref="L194:Q194" si="184">P111</f>
        <v>500</v>
      </c>
      <c r="M194" s="602">
        <f t="shared" si="184"/>
        <v>9.9999999999999995E-7</v>
      </c>
      <c r="N194" s="602" t="str">
        <f t="shared" si="184"/>
        <v>-</v>
      </c>
      <c r="O194" s="602">
        <f t="shared" si="184"/>
        <v>0</v>
      </c>
      <c r="P194" s="602">
        <f t="shared" si="184"/>
        <v>0</v>
      </c>
      <c r="Q194" s="602" t="str">
        <f t="shared" si="184"/>
        <v>-</v>
      </c>
    </row>
    <row r="195" spans="1:17" s="492" customFormat="1">
      <c r="A195" s="603"/>
      <c r="B195" s="603"/>
      <c r="C195" s="603"/>
      <c r="D195" s="603"/>
      <c r="E195" s="603"/>
      <c r="F195" s="604"/>
      <c r="G195" s="603"/>
      <c r="H195" s="603"/>
      <c r="J195" s="603"/>
      <c r="K195" s="603"/>
      <c r="L195" s="606"/>
      <c r="M195" s="606"/>
      <c r="N195" s="606"/>
      <c r="O195" s="604"/>
      <c r="P195" s="606"/>
      <c r="Q195" s="606"/>
    </row>
    <row r="196" spans="1:17">
      <c r="A196" s="1278" t="s">
        <v>527</v>
      </c>
      <c r="B196" s="602">
        <v>1</v>
      </c>
      <c r="C196" s="602">
        <f t="shared" ref="C196:H196" si="185">B11</f>
        <v>250</v>
      </c>
      <c r="D196" s="602">
        <f t="shared" si="185"/>
        <v>-0.32</v>
      </c>
      <c r="E196" s="602">
        <f t="shared" si="185"/>
        <v>9.9999999999999995E-7</v>
      </c>
      <c r="F196" s="602">
        <f t="shared" si="185"/>
        <v>0</v>
      </c>
      <c r="G196" s="602">
        <f t="shared" si="185"/>
        <v>0.16000049999999999</v>
      </c>
      <c r="H196" s="602">
        <f t="shared" si="185"/>
        <v>3</v>
      </c>
      <c r="J196" s="1278" t="s">
        <v>527</v>
      </c>
      <c r="K196" s="602">
        <v>1</v>
      </c>
      <c r="L196" s="602">
        <f t="shared" ref="L196:Q196" si="186">B19</f>
        <v>1000</v>
      </c>
      <c r="M196" s="602">
        <f t="shared" si="186"/>
        <v>9</v>
      </c>
      <c r="N196" s="602">
        <f t="shared" si="186"/>
        <v>9.9999999999999995E-7</v>
      </c>
      <c r="O196" s="602">
        <f t="shared" si="186"/>
        <v>0</v>
      </c>
      <c r="P196" s="602">
        <f t="shared" si="186"/>
        <v>4.4999995000000004</v>
      </c>
      <c r="Q196" s="602">
        <f t="shared" si="186"/>
        <v>5.8999999999999995</v>
      </c>
    </row>
    <row r="197" spans="1:17">
      <c r="A197" s="1278"/>
      <c r="B197" s="602">
        <v>2</v>
      </c>
      <c r="C197" s="602">
        <f t="shared" ref="C197:H197" si="187">I11</f>
        <v>250</v>
      </c>
      <c r="D197" s="602">
        <f t="shared" si="187"/>
        <v>9.9999999999999995E-7</v>
      </c>
      <c r="E197" s="602">
        <f t="shared" si="187"/>
        <v>9.9999999999999995E-7</v>
      </c>
      <c r="F197" s="602">
        <f t="shared" si="187"/>
        <v>0</v>
      </c>
      <c r="G197" s="602">
        <f t="shared" si="187"/>
        <v>0</v>
      </c>
      <c r="H197" s="602">
        <f t="shared" si="187"/>
        <v>2.76</v>
      </c>
      <c r="J197" s="1278"/>
      <c r="K197" s="602">
        <v>2</v>
      </c>
      <c r="L197" s="602">
        <f t="shared" ref="L197:Q197" si="188">I19</f>
        <v>1000</v>
      </c>
      <c r="M197" s="602">
        <f t="shared" si="188"/>
        <v>9.9999999999999995E-7</v>
      </c>
      <c r="N197" s="602">
        <f t="shared" si="188"/>
        <v>9.9999999999999995E-7</v>
      </c>
      <c r="O197" s="602">
        <f t="shared" si="188"/>
        <v>0</v>
      </c>
      <c r="P197" s="602">
        <f t="shared" si="188"/>
        <v>0</v>
      </c>
      <c r="Q197" s="602">
        <f t="shared" si="188"/>
        <v>2.95</v>
      </c>
    </row>
    <row r="198" spans="1:17">
      <c r="A198" s="1278"/>
      <c r="B198" s="602">
        <v>3</v>
      </c>
      <c r="C198" s="602">
        <f t="shared" ref="C198:H198" si="189">P11</f>
        <v>250</v>
      </c>
      <c r="D198" s="602">
        <f t="shared" si="189"/>
        <v>-2.56</v>
      </c>
      <c r="E198" s="602">
        <f t="shared" si="189"/>
        <v>9.9999999999999995E-7</v>
      </c>
      <c r="F198" s="602">
        <f t="shared" si="189"/>
        <v>9.9999999999999995E-7</v>
      </c>
      <c r="G198" s="602">
        <f t="shared" si="189"/>
        <v>1.2800005000000001</v>
      </c>
      <c r="H198" s="602">
        <f t="shared" si="189"/>
        <v>3</v>
      </c>
      <c r="J198" s="1278"/>
      <c r="K198" s="602">
        <v>3</v>
      </c>
      <c r="L198" s="602">
        <f t="shared" ref="L198:Q198" si="190">P19</f>
        <v>1000</v>
      </c>
      <c r="M198" s="602">
        <f t="shared" si="190"/>
        <v>-88</v>
      </c>
      <c r="N198" s="602">
        <f t="shared" si="190"/>
        <v>-47</v>
      </c>
      <c r="O198" s="602">
        <f t="shared" si="190"/>
        <v>3</v>
      </c>
      <c r="P198" s="602">
        <f t="shared" si="190"/>
        <v>45.5</v>
      </c>
      <c r="Q198" s="602">
        <f t="shared" si="190"/>
        <v>5.8999999999999995</v>
      </c>
    </row>
    <row r="199" spans="1:17">
      <c r="A199" s="1278"/>
      <c r="B199" s="602">
        <v>4</v>
      </c>
      <c r="C199" s="602">
        <f t="shared" ref="C199:H199" si="191">B42</f>
        <v>250</v>
      </c>
      <c r="D199" s="602">
        <f t="shared" si="191"/>
        <v>9.9999999999999995E-7</v>
      </c>
      <c r="E199" s="602">
        <f t="shared" si="191"/>
        <v>9.9999999999999995E-7</v>
      </c>
      <c r="F199" s="602">
        <f t="shared" si="191"/>
        <v>0</v>
      </c>
      <c r="G199" s="602">
        <f t="shared" si="191"/>
        <v>0</v>
      </c>
      <c r="H199" s="602">
        <f t="shared" si="191"/>
        <v>3</v>
      </c>
      <c r="J199" s="1278"/>
      <c r="K199" s="602">
        <v>4</v>
      </c>
      <c r="L199" s="602">
        <f t="shared" ref="L199:Q199" si="192">B50</f>
        <v>1000</v>
      </c>
      <c r="M199" s="602">
        <f t="shared" si="192"/>
        <v>2</v>
      </c>
      <c r="N199" s="602">
        <f t="shared" si="192"/>
        <v>2</v>
      </c>
      <c r="O199" s="602">
        <f t="shared" si="192"/>
        <v>0</v>
      </c>
      <c r="P199" s="602">
        <f t="shared" si="192"/>
        <v>0</v>
      </c>
      <c r="Q199" s="602">
        <f t="shared" si="192"/>
        <v>5.8999999999999995</v>
      </c>
    </row>
    <row r="200" spans="1:17">
      <c r="A200" s="1278"/>
      <c r="B200" s="602">
        <v>5</v>
      </c>
      <c r="C200" s="602">
        <f t="shared" ref="C200:H200" si="193">I42</f>
        <v>250</v>
      </c>
      <c r="D200" s="602">
        <f t="shared" si="193"/>
        <v>9.9999999999999995E-7</v>
      </c>
      <c r="E200" s="602">
        <f t="shared" si="193"/>
        <v>9.9999999999999995E-7</v>
      </c>
      <c r="F200" s="602">
        <f t="shared" si="193"/>
        <v>0</v>
      </c>
      <c r="G200" s="602">
        <f t="shared" si="193"/>
        <v>0</v>
      </c>
      <c r="H200" s="602">
        <f t="shared" si="193"/>
        <v>3</v>
      </c>
      <c r="J200" s="1278"/>
      <c r="K200" s="602">
        <v>5</v>
      </c>
      <c r="L200" s="602">
        <f t="shared" ref="L200:Q200" si="194">I50</f>
        <v>1000</v>
      </c>
      <c r="M200" s="602">
        <f t="shared" si="194"/>
        <v>-110</v>
      </c>
      <c r="N200" s="602">
        <f t="shared" si="194"/>
        <v>9.9999999999999995E-7</v>
      </c>
      <c r="O200" s="602">
        <f t="shared" si="194"/>
        <v>0</v>
      </c>
      <c r="P200" s="602">
        <f t="shared" si="194"/>
        <v>55.000000499999999</v>
      </c>
      <c r="Q200" s="602">
        <f t="shared" si="194"/>
        <v>5.8999999999999995</v>
      </c>
    </row>
    <row r="201" spans="1:17">
      <c r="A201" s="1278"/>
      <c r="B201" s="602">
        <v>6</v>
      </c>
      <c r="C201" s="602">
        <f t="shared" ref="C201:H201" si="195">P42</f>
        <v>250</v>
      </c>
      <c r="D201" s="602">
        <f t="shared" si="195"/>
        <v>9.9999999999999995E-7</v>
      </c>
      <c r="E201" s="602">
        <f t="shared" si="195"/>
        <v>9.9999999999999995E-7</v>
      </c>
      <c r="F201" s="602">
        <f t="shared" si="195"/>
        <v>9.9999999999999995E-7</v>
      </c>
      <c r="G201" s="602">
        <f t="shared" si="195"/>
        <v>0</v>
      </c>
      <c r="H201" s="602">
        <f t="shared" si="195"/>
        <v>0</v>
      </c>
      <c r="J201" s="1278"/>
      <c r="K201" s="602">
        <v>6</v>
      </c>
      <c r="L201" s="602">
        <f t="shared" ref="L201:Q201" si="196">P50</f>
        <v>1000</v>
      </c>
      <c r="M201" s="602">
        <f t="shared" si="196"/>
        <v>-88</v>
      </c>
      <c r="N201" s="602">
        <f t="shared" si="196"/>
        <v>-11</v>
      </c>
      <c r="O201" s="602">
        <f t="shared" si="196"/>
        <v>9.9999999999999995E-7</v>
      </c>
      <c r="P201" s="602">
        <f t="shared" si="196"/>
        <v>44.000000499999999</v>
      </c>
      <c r="Q201" s="602">
        <f t="shared" si="196"/>
        <v>5.8999999999999995</v>
      </c>
    </row>
    <row r="202" spans="1:17">
      <c r="A202" s="1278"/>
      <c r="B202" s="602">
        <v>7</v>
      </c>
      <c r="C202" s="602">
        <f t="shared" ref="C202:H202" si="197">B73</f>
        <v>250</v>
      </c>
      <c r="D202" s="602">
        <f t="shared" si="197"/>
        <v>1.0000000000000001E-5</v>
      </c>
      <c r="E202" s="602">
        <f t="shared" si="197"/>
        <v>1.0000000000000001E-5</v>
      </c>
      <c r="F202" s="602">
        <f t="shared" si="197"/>
        <v>0.38</v>
      </c>
      <c r="G202" s="602">
        <f t="shared" si="197"/>
        <v>0.189995</v>
      </c>
      <c r="H202" s="602">
        <f t="shared" si="197"/>
        <v>3</v>
      </c>
      <c r="J202" s="1278"/>
      <c r="K202" s="602">
        <v>7</v>
      </c>
      <c r="L202" s="602">
        <f t="shared" ref="L202:Q202" si="198">B81</f>
        <v>1000</v>
      </c>
      <c r="M202" s="602">
        <f t="shared" si="198"/>
        <v>-88</v>
      </c>
      <c r="N202" s="602">
        <f t="shared" si="198"/>
        <v>1</v>
      </c>
      <c r="O202" s="602">
        <f t="shared" si="198"/>
        <v>9.9999999999999995E-7</v>
      </c>
      <c r="P202" s="602">
        <f t="shared" si="198"/>
        <v>44.5</v>
      </c>
      <c r="Q202" s="602">
        <f t="shared" si="198"/>
        <v>5.8999999999999995</v>
      </c>
    </row>
    <row r="203" spans="1:17">
      <c r="A203" s="1278"/>
      <c r="B203" s="602">
        <v>8</v>
      </c>
      <c r="C203" s="602">
        <f t="shared" ref="C203:H203" si="199">I73</f>
        <v>250</v>
      </c>
      <c r="D203" s="602">
        <f t="shared" si="199"/>
        <v>0</v>
      </c>
      <c r="E203" s="602">
        <f t="shared" si="199"/>
        <v>9.9999999999999995E-7</v>
      </c>
      <c r="F203" s="602">
        <f t="shared" si="199"/>
        <v>-0.49</v>
      </c>
      <c r="G203" s="602">
        <f t="shared" si="199"/>
        <v>0.24500049999999998</v>
      </c>
      <c r="H203" s="602">
        <f t="shared" si="199"/>
        <v>3</v>
      </c>
      <c r="J203" s="1278"/>
      <c r="K203" s="602">
        <v>8</v>
      </c>
      <c r="L203" s="602">
        <f t="shared" ref="L203:Q203" si="200">I81</f>
        <v>1000</v>
      </c>
      <c r="M203" s="602">
        <f t="shared" si="200"/>
        <v>-88</v>
      </c>
      <c r="N203" s="602">
        <f t="shared" si="200"/>
        <v>-74</v>
      </c>
      <c r="O203" s="602">
        <f t="shared" si="200"/>
        <v>9.9999999999999995E-7</v>
      </c>
      <c r="P203" s="602">
        <f t="shared" si="200"/>
        <v>44.000000499999999</v>
      </c>
      <c r="Q203" s="602">
        <f t="shared" si="200"/>
        <v>5.8999999999999995</v>
      </c>
    </row>
    <row r="204" spans="1:17">
      <c r="A204" s="1278"/>
      <c r="B204" s="602">
        <v>9</v>
      </c>
      <c r="C204" s="602">
        <f t="shared" ref="C204:H204" si="201">P73</f>
        <v>250</v>
      </c>
      <c r="D204" s="602">
        <f t="shared" si="201"/>
        <v>0</v>
      </c>
      <c r="E204" s="602">
        <f t="shared" si="201"/>
        <v>0</v>
      </c>
      <c r="F204" s="602">
        <f t="shared" si="201"/>
        <v>-0.39</v>
      </c>
      <c r="G204" s="602">
        <f t="shared" si="201"/>
        <v>0.19500000000000001</v>
      </c>
      <c r="H204" s="602">
        <f t="shared" si="201"/>
        <v>3</v>
      </c>
      <c r="J204" s="1278"/>
      <c r="K204" s="602">
        <v>9</v>
      </c>
      <c r="L204" s="602">
        <f t="shared" ref="L204:Q204" si="202">P81</f>
        <v>1000</v>
      </c>
      <c r="M204" s="602">
        <f t="shared" si="202"/>
        <v>-88</v>
      </c>
      <c r="N204" s="602">
        <f t="shared" si="202"/>
        <v>-66</v>
      </c>
      <c r="O204" s="602">
        <f t="shared" si="202"/>
        <v>9.9999999999999995E-7</v>
      </c>
      <c r="P204" s="602">
        <f t="shared" si="202"/>
        <v>44.000000499999999</v>
      </c>
      <c r="Q204" s="602">
        <f t="shared" si="202"/>
        <v>5.8999999999999995</v>
      </c>
    </row>
    <row r="205" spans="1:17">
      <c r="A205" s="1278"/>
      <c r="B205" s="602">
        <v>10</v>
      </c>
      <c r="C205" s="602">
        <f>B104</f>
        <v>250</v>
      </c>
      <c r="D205" s="602">
        <f t="shared" ref="D205:F205" si="203">C104</f>
        <v>-0.11</v>
      </c>
      <c r="E205" s="602" t="str">
        <f t="shared" si="203"/>
        <v>-</v>
      </c>
      <c r="F205" s="602">
        <f t="shared" si="203"/>
        <v>0</v>
      </c>
      <c r="G205" s="602">
        <f>F104</f>
        <v>0</v>
      </c>
      <c r="H205" s="602" t="str">
        <f>G104</f>
        <v>-</v>
      </c>
      <c r="J205" s="1278"/>
      <c r="K205" s="602">
        <v>10</v>
      </c>
      <c r="L205" s="602">
        <f t="shared" ref="L205:Q205" si="204">B112</f>
        <v>1000</v>
      </c>
      <c r="M205" s="602">
        <f t="shared" si="204"/>
        <v>2</v>
      </c>
      <c r="N205" s="602" t="str">
        <f t="shared" si="204"/>
        <v>-</v>
      </c>
      <c r="O205" s="602">
        <f t="shared" si="204"/>
        <v>0</v>
      </c>
      <c r="P205" s="602">
        <f t="shared" si="204"/>
        <v>0</v>
      </c>
      <c r="Q205" s="602" t="str">
        <f t="shared" si="204"/>
        <v>-</v>
      </c>
    </row>
    <row r="206" spans="1:17">
      <c r="A206" s="1278"/>
      <c r="B206" s="602">
        <v>11</v>
      </c>
      <c r="C206" s="602">
        <f>I104</f>
        <v>250</v>
      </c>
      <c r="D206" s="602">
        <f t="shared" ref="D206:F206" si="205">J104</f>
        <v>9.9999999999999995E-7</v>
      </c>
      <c r="E206" s="602" t="str">
        <f t="shared" si="205"/>
        <v>-</v>
      </c>
      <c r="F206" s="602">
        <f t="shared" si="205"/>
        <v>0</v>
      </c>
      <c r="G206" s="602">
        <f>M104</f>
        <v>0</v>
      </c>
      <c r="H206" s="602" t="str">
        <f>N104</f>
        <v>-</v>
      </c>
      <c r="J206" s="1278"/>
      <c r="K206" s="602">
        <v>11</v>
      </c>
      <c r="L206" s="602">
        <f t="shared" ref="L206:Q206" si="206">I112</f>
        <v>1000</v>
      </c>
      <c r="M206" s="602">
        <f t="shared" si="206"/>
        <v>9.9999999999999995E-7</v>
      </c>
      <c r="N206" s="602" t="str">
        <f t="shared" si="206"/>
        <v>-</v>
      </c>
      <c r="O206" s="602">
        <f t="shared" si="206"/>
        <v>0</v>
      </c>
      <c r="P206" s="602">
        <f t="shared" si="206"/>
        <v>0</v>
      </c>
      <c r="Q206" s="602" t="str">
        <f t="shared" si="206"/>
        <v>-</v>
      </c>
    </row>
    <row r="207" spans="1:17">
      <c r="A207" s="1278"/>
      <c r="B207" s="602">
        <v>12</v>
      </c>
      <c r="C207" s="602">
        <f>P104</f>
        <v>250</v>
      </c>
      <c r="D207" s="602">
        <f t="shared" ref="D207:F207" si="207">Q104</f>
        <v>9.9999999999999995E-7</v>
      </c>
      <c r="E207" s="602" t="str">
        <f t="shared" si="207"/>
        <v>-</v>
      </c>
      <c r="F207" s="602">
        <f t="shared" si="207"/>
        <v>0</v>
      </c>
      <c r="G207" s="602">
        <f>T104</f>
        <v>0</v>
      </c>
      <c r="H207" s="602" t="str">
        <f>U104</f>
        <v>-</v>
      </c>
      <c r="J207" s="1278"/>
      <c r="K207" s="602">
        <v>12</v>
      </c>
      <c r="L207" s="602">
        <f t="shared" ref="L207:Q207" si="208">P112</f>
        <v>1000</v>
      </c>
      <c r="M207" s="602">
        <f t="shared" si="208"/>
        <v>9.9999999999999995E-7</v>
      </c>
      <c r="N207" s="602" t="str">
        <f t="shared" si="208"/>
        <v>-</v>
      </c>
      <c r="O207" s="602">
        <f t="shared" si="208"/>
        <v>0</v>
      </c>
      <c r="P207" s="602">
        <f t="shared" si="208"/>
        <v>0</v>
      </c>
      <c r="Q207" s="602" t="str">
        <f t="shared" si="208"/>
        <v>-</v>
      </c>
    </row>
    <row r="208" spans="1:17">
      <c r="A208" s="607"/>
      <c r="B208" s="594"/>
      <c r="C208" s="594"/>
      <c r="D208" s="607"/>
      <c r="E208" s="607"/>
      <c r="F208" s="607"/>
      <c r="G208" s="607"/>
      <c r="H208" s="607"/>
      <c r="J208" s="607"/>
      <c r="K208" s="607"/>
      <c r="L208" s="607"/>
      <c r="M208" s="607"/>
      <c r="N208" s="607"/>
      <c r="O208" s="607"/>
      <c r="P208" s="607"/>
      <c r="Q208" s="502"/>
    </row>
    <row r="209" spans="1:17" ht="14">
      <c r="A209" s="1281" t="s">
        <v>523</v>
      </c>
      <c r="B209" s="1282"/>
      <c r="C209" s="1283" t="s">
        <v>499</v>
      </c>
      <c r="D209" s="1283"/>
      <c r="E209" s="1283"/>
      <c r="F209" s="1283"/>
      <c r="G209" s="1283"/>
      <c r="H209" s="1283"/>
      <c r="J209" s="1281" t="s">
        <v>523</v>
      </c>
      <c r="K209" s="1282"/>
      <c r="L209" s="1288" t="s">
        <v>499</v>
      </c>
      <c r="M209" s="1288"/>
      <c r="N209" s="1288"/>
      <c r="O209" s="1288"/>
      <c r="P209" s="1288"/>
      <c r="Q209" s="1288"/>
    </row>
    <row r="210" spans="1:17" ht="13" customHeight="1">
      <c r="A210" s="1281"/>
      <c r="B210" s="1282"/>
      <c r="C210" s="1289" t="str">
        <f>B20</f>
        <v>Main-PE</v>
      </c>
      <c r="D210" s="1289"/>
      <c r="E210" s="1289"/>
      <c r="F210" s="1289"/>
      <c r="G210" s="608" t="s">
        <v>501</v>
      </c>
      <c r="H210" s="608" t="s">
        <v>397</v>
      </c>
      <c r="J210" s="1281"/>
      <c r="K210" s="1282"/>
      <c r="L210" s="1289" t="str">
        <f>B26</f>
        <v>Resistance</v>
      </c>
      <c r="M210" s="1289"/>
      <c r="N210" s="1289"/>
      <c r="O210" s="1289"/>
      <c r="P210" s="608" t="s">
        <v>501</v>
      </c>
      <c r="Q210" s="608" t="s">
        <v>397</v>
      </c>
    </row>
    <row r="211" spans="1:17" ht="14.5">
      <c r="A211" s="1281"/>
      <c r="B211" s="1282"/>
      <c r="C211" s="609" t="s">
        <v>506</v>
      </c>
      <c r="D211" s="608"/>
      <c r="E211" s="608"/>
      <c r="F211" s="502"/>
      <c r="G211" s="608"/>
      <c r="H211" s="608"/>
      <c r="J211" s="1281"/>
      <c r="K211" s="1282"/>
      <c r="L211" s="609" t="s">
        <v>508</v>
      </c>
      <c r="M211" s="608"/>
      <c r="N211" s="608"/>
      <c r="O211" s="502"/>
      <c r="P211" s="608"/>
      <c r="Q211" s="608"/>
    </row>
    <row r="212" spans="1:17">
      <c r="A212" s="1290" t="s">
        <v>518</v>
      </c>
      <c r="B212" s="602">
        <v>1</v>
      </c>
      <c r="C212" s="602">
        <f t="shared" ref="C212:H212" si="209">B22</f>
        <v>10</v>
      </c>
      <c r="D212" s="602">
        <f t="shared" si="209"/>
        <v>9.9999999999999995E-7</v>
      </c>
      <c r="E212" s="602">
        <f t="shared" si="209"/>
        <v>9.9999999999999995E-7</v>
      </c>
      <c r="F212" s="602">
        <f t="shared" si="209"/>
        <v>0</v>
      </c>
      <c r="G212" s="602">
        <f t="shared" si="209"/>
        <v>0</v>
      </c>
      <c r="H212" s="602">
        <f t="shared" si="209"/>
        <v>0</v>
      </c>
      <c r="J212" s="1290" t="s">
        <v>518</v>
      </c>
      <c r="K212" s="602">
        <v>1</v>
      </c>
      <c r="L212" s="602">
        <f t="shared" ref="L212:Q212" si="210">B28</f>
        <v>0</v>
      </c>
      <c r="M212" s="602">
        <f t="shared" si="210"/>
        <v>9.9999999999999995E-7</v>
      </c>
      <c r="N212" s="602">
        <f t="shared" si="210"/>
        <v>9.9999999999999995E-7</v>
      </c>
      <c r="O212" s="602">
        <f t="shared" si="210"/>
        <v>0</v>
      </c>
      <c r="P212" s="602">
        <f t="shared" si="210"/>
        <v>0</v>
      </c>
      <c r="Q212" s="602">
        <f t="shared" si="210"/>
        <v>0</v>
      </c>
    </row>
    <row r="213" spans="1:17">
      <c r="A213" s="1290"/>
      <c r="B213" s="602">
        <v>2</v>
      </c>
      <c r="C213" s="602">
        <f t="shared" ref="C213:H213" si="211">I22</f>
        <v>10</v>
      </c>
      <c r="D213" s="602">
        <f t="shared" si="211"/>
        <v>0.1</v>
      </c>
      <c r="E213" s="602">
        <f t="shared" si="211"/>
        <v>9.9999999999999995E-7</v>
      </c>
      <c r="F213" s="602">
        <f t="shared" si="211"/>
        <v>0</v>
      </c>
      <c r="G213" s="602">
        <f t="shared" si="211"/>
        <v>4.9999500000000002E-2</v>
      </c>
      <c r="H213" s="602">
        <f t="shared" si="211"/>
        <v>5.8999999999999997E-2</v>
      </c>
      <c r="J213" s="1290"/>
      <c r="K213" s="602">
        <v>2</v>
      </c>
      <c r="L213" s="602">
        <f t="shared" ref="L213:Q213" si="212">I28</f>
        <v>0.01</v>
      </c>
      <c r="M213" s="602">
        <f t="shared" si="212"/>
        <v>9.9999999999999995E-7</v>
      </c>
      <c r="N213" s="602">
        <f t="shared" si="212"/>
        <v>9.9999999999999995E-7</v>
      </c>
      <c r="O213" s="602">
        <f t="shared" si="212"/>
        <v>0</v>
      </c>
      <c r="P213" s="602">
        <f t="shared" si="212"/>
        <v>0</v>
      </c>
      <c r="Q213" s="602">
        <f t="shared" si="212"/>
        <v>1.2E-4</v>
      </c>
    </row>
    <row r="214" spans="1:17">
      <c r="A214" s="1290"/>
      <c r="B214" s="602">
        <v>3</v>
      </c>
      <c r="C214" s="602">
        <f t="shared" ref="C214:H214" si="213">P22</f>
        <v>5</v>
      </c>
      <c r="D214" s="602">
        <f t="shared" si="213"/>
        <v>0</v>
      </c>
      <c r="E214" s="602">
        <f t="shared" si="213"/>
        <v>9.9999999999999995E-7</v>
      </c>
      <c r="F214" s="602">
        <f t="shared" si="213"/>
        <v>9.9999999999999995E-7</v>
      </c>
      <c r="G214" s="602">
        <f t="shared" si="213"/>
        <v>4.9999999999999998E-7</v>
      </c>
      <c r="H214" s="602">
        <f t="shared" si="213"/>
        <v>8.5000000000000006E-2</v>
      </c>
      <c r="J214" s="1290"/>
      <c r="K214" s="602">
        <v>3</v>
      </c>
      <c r="L214" s="602">
        <f t="shared" ref="L214:Q214" si="214">P28</f>
        <v>0</v>
      </c>
      <c r="M214" s="602">
        <f t="shared" si="214"/>
        <v>0</v>
      </c>
      <c r="N214" s="602">
        <f t="shared" si="214"/>
        <v>-1E-3</v>
      </c>
      <c r="O214" s="602">
        <f t="shared" si="214"/>
        <v>9.9999999999999995E-7</v>
      </c>
      <c r="P214" s="602">
        <f t="shared" si="214"/>
        <v>5.0049999999999997E-4</v>
      </c>
      <c r="Q214" s="602">
        <f t="shared" si="214"/>
        <v>0</v>
      </c>
    </row>
    <row r="215" spans="1:17">
      <c r="A215" s="1290"/>
      <c r="B215" s="602">
        <v>4</v>
      </c>
      <c r="C215" s="602">
        <f t="shared" ref="C215:H215" si="215">B53</f>
        <v>10</v>
      </c>
      <c r="D215" s="602">
        <f t="shared" si="215"/>
        <v>9.9999999999999995E-7</v>
      </c>
      <c r="E215" s="602">
        <f t="shared" si="215"/>
        <v>0.1</v>
      </c>
      <c r="F215" s="602">
        <f t="shared" si="215"/>
        <v>0</v>
      </c>
      <c r="G215" s="602">
        <f t="shared" si="215"/>
        <v>4.9999500000000002E-2</v>
      </c>
      <c r="H215" s="602">
        <f t="shared" si="215"/>
        <v>0.17</v>
      </c>
      <c r="J215" s="1290"/>
      <c r="K215" s="602">
        <v>4</v>
      </c>
      <c r="L215" s="602">
        <f t="shared" ref="L215:Q215" si="216">B59</f>
        <v>0.01</v>
      </c>
      <c r="M215" s="602">
        <f t="shared" si="216"/>
        <v>9.9999999999999995E-7</v>
      </c>
      <c r="N215" s="602">
        <f t="shared" si="216"/>
        <v>9.9999999999999995E-7</v>
      </c>
      <c r="O215" s="602">
        <f t="shared" si="216"/>
        <v>0</v>
      </c>
      <c r="P215" s="602">
        <f t="shared" si="216"/>
        <v>0</v>
      </c>
      <c r="Q215" s="602">
        <f t="shared" si="216"/>
        <v>1.2E-4</v>
      </c>
    </row>
    <row r="216" spans="1:17">
      <c r="A216" s="1290"/>
      <c r="B216" s="602">
        <v>5</v>
      </c>
      <c r="C216" s="602">
        <f t="shared" ref="C216:H216" si="217">I53</f>
        <v>10</v>
      </c>
      <c r="D216" s="602">
        <f t="shared" si="217"/>
        <v>9.9999999999999995E-7</v>
      </c>
      <c r="E216" s="602">
        <f t="shared" si="217"/>
        <v>0.1</v>
      </c>
      <c r="F216" s="602">
        <f t="shared" si="217"/>
        <v>0</v>
      </c>
      <c r="G216" s="602">
        <f t="shared" si="217"/>
        <v>4.9999500000000002E-2</v>
      </c>
      <c r="H216" s="602">
        <f t="shared" si="217"/>
        <v>0.17</v>
      </c>
      <c r="J216" s="1290"/>
      <c r="K216" s="602">
        <v>5</v>
      </c>
      <c r="L216" s="602">
        <f t="shared" ref="L216:Q216" si="218">I59</f>
        <v>0</v>
      </c>
      <c r="M216" s="602">
        <f t="shared" si="218"/>
        <v>9.9999999999999995E-7</v>
      </c>
      <c r="N216" s="602">
        <f t="shared" si="218"/>
        <v>9.9999999999999995E-7</v>
      </c>
      <c r="O216" s="602">
        <f t="shared" si="218"/>
        <v>0</v>
      </c>
      <c r="P216" s="602">
        <f t="shared" si="218"/>
        <v>0</v>
      </c>
      <c r="Q216" s="602">
        <f t="shared" si="218"/>
        <v>0</v>
      </c>
    </row>
    <row r="217" spans="1:17">
      <c r="A217" s="1290"/>
      <c r="B217" s="602">
        <v>6</v>
      </c>
      <c r="C217" s="602">
        <f t="shared" ref="C217:H217" si="219">P53</f>
        <v>10</v>
      </c>
      <c r="D217" s="602">
        <f t="shared" si="219"/>
        <v>0</v>
      </c>
      <c r="E217" s="602">
        <f t="shared" si="219"/>
        <v>0.1</v>
      </c>
      <c r="F217" s="602">
        <f t="shared" si="219"/>
        <v>0.1</v>
      </c>
      <c r="G217" s="602">
        <f t="shared" si="219"/>
        <v>0.05</v>
      </c>
      <c r="H217" s="602">
        <f t="shared" si="219"/>
        <v>0.17</v>
      </c>
      <c r="J217" s="1290"/>
      <c r="K217" s="602">
        <v>6</v>
      </c>
      <c r="L217" s="602">
        <f t="shared" ref="L217:Q217" si="220">P59</f>
        <v>0</v>
      </c>
      <c r="M217" s="602">
        <f t="shared" si="220"/>
        <v>0</v>
      </c>
      <c r="N217" s="602">
        <f t="shared" si="220"/>
        <v>-3.0000000000000001E-3</v>
      </c>
      <c r="O217" s="602">
        <f t="shared" si="220"/>
        <v>9.9999999999999995E-7</v>
      </c>
      <c r="P217" s="602">
        <f t="shared" si="220"/>
        <v>1.5005000000000001E-3</v>
      </c>
      <c r="Q217" s="602">
        <f t="shared" si="220"/>
        <v>0</v>
      </c>
    </row>
    <row r="218" spans="1:17">
      <c r="A218" s="1290"/>
      <c r="B218" s="602">
        <v>7</v>
      </c>
      <c r="C218" s="602">
        <f t="shared" ref="C218:H218" si="221">B84</f>
        <v>10</v>
      </c>
      <c r="D218" s="602">
        <f t="shared" si="221"/>
        <v>0</v>
      </c>
      <c r="E218" s="602">
        <f t="shared" si="221"/>
        <v>9.9999999999999995E-7</v>
      </c>
      <c r="F218" s="602">
        <f t="shared" si="221"/>
        <v>9.9999999999999995E-7</v>
      </c>
      <c r="G218" s="602">
        <f t="shared" si="221"/>
        <v>4.9999999999999998E-7</v>
      </c>
      <c r="H218" s="602">
        <f t="shared" si="221"/>
        <v>0.17</v>
      </c>
      <c r="J218" s="1290"/>
      <c r="K218" s="602">
        <v>7</v>
      </c>
      <c r="L218" s="602">
        <f t="shared" ref="L218:Q218" si="222">B90</f>
        <v>0.1</v>
      </c>
      <c r="M218" s="602">
        <f t="shared" si="222"/>
        <v>3.0000000000000001E-3</v>
      </c>
      <c r="N218" s="602">
        <f t="shared" si="222"/>
        <v>9.9999999999999995E-7</v>
      </c>
      <c r="O218" s="602">
        <f t="shared" si="222"/>
        <v>9.9999999999999995E-7</v>
      </c>
      <c r="P218" s="602">
        <f t="shared" si="222"/>
        <v>1.4995E-3</v>
      </c>
      <c r="Q218" s="602">
        <f t="shared" si="222"/>
        <v>1.2000000000000001E-3</v>
      </c>
    </row>
    <row r="219" spans="1:17">
      <c r="A219" s="1290"/>
      <c r="B219" s="602">
        <v>8</v>
      </c>
      <c r="C219" s="602">
        <f t="shared" ref="C219:H219" si="223">I84</f>
        <v>10</v>
      </c>
      <c r="D219" s="602">
        <f t="shared" si="223"/>
        <v>0</v>
      </c>
      <c r="E219" s="602">
        <f t="shared" si="223"/>
        <v>9.9999999999999995E-7</v>
      </c>
      <c r="F219" s="602">
        <f t="shared" si="223"/>
        <v>9.9999999999999995E-7</v>
      </c>
      <c r="G219" s="602">
        <f t="shared" si="223"/>
        <v>4.9999999999999998E-7</v>
      </c>
      <c r="H219" s="602">
        <f t="shared" si="223"/>
        <v>0.17</v>
      </c>
      <c r="J219" s="1290"/>
      <c r="K219" s="602">
        <v>8</v>
      </c>
      <c r="L219" s="602">
        <f t="shared" ref="L219:Q219" si="224">I90</f>
        <v>0.1</v>
      </c>
      <c r="M219" s="602">
        <f t="shared" si="224"/>
        <v>-3.0000000000000001E-3</v>
      </c>
      <c r="N219" s="602">
        <f t="shared" si="224"/>
        <v>-1E-3</v>
      </c>
      <c r="O219" s="602">
        <f t="shared" si="224"/>
        <v>-1E-3</v>
      </c>
      <c r="P219" s="602">
        <f t="shared" si="224"/>
        <v>1E-3</v>
      </c>
      <c r="Q219" s="602">
        <f t="shared" si="224"/>
        <v>1.2000000000000001E-3</v>
      </c>
    </row>
    <row r="220" spans="1:17">
      <c r="A220" s="1290"/>
      <c r="B220" s="602">
        <v>9</v>
      </c>
      <c r="C220" s="602">
        <f t="shared" ref="C220:H220" si="225">P84</f>
        <v>10</v>
      </c>
      <c r="D220" s="602">
        <f t="shared" si="225"/>
        <v>9.9999999999999995E-7</v>
      </c>
      <c r="E220" s="602">
        <f t="shared" si="225"/>
        <v>9.9999999999999995E-7</v>
      </c>
      <c r="F220" s="602">
        <f t="shared" si="225"/>
        <v>9.9999999999999995E-7</v>
      </c>
      <c r="G220" s="602">
        <f t="shared" si="225"/>
        <v>0</v>
      </c>
      <c r="H220" s="602">
        <f t="shared" si="225"/>
        <v>0.17</v>
      </c>
      <c r="J220" s="1290"/>
      <c r="K220" s="602">
        <v>9</v>
      </c>
      <c r="L220" s="602">
        <f t="shared" ref="L220:Q220" si="226">P90</f>
        <v>1E-3</v>
      </c>
      <c r="M220" s="602">
        <f t="shared" si="226"/>
        <v>0</v>
      </c>
      <c r="N220" s="602">
        <f t="shared" si="226"/>
        <v>-2E-3</v>
      </c>
      <c r="O220" s="602">
        <f t="shared" si="226"/>
        <v>-1E-3</v>
      </c>
      <c r="P220" s="602">
        <f t="shared" si="226"/>
        <v>1E-3</v>
      </c>
      <c r="Q220" s="602">
        <f t="shared" si="226"/>
        <v>1.2E-5</v>
      </c>
    </row>
    <row r="221" spans="1:17">
      <c r="A221" s="1290"/>
      <c r="B221" s="602">
        <v>10</v>
      </c>
      <c r="C221" s="602">
        <f>B115</f>
        <v>10</v>
      </c>
      <c r="D221" s="602">
        <f t="shared" ref="D221:F221" si="227">C115</f>
        <v>9.9999999999999995E-7</v>
      </c>
      <c r="E221" s="602" t="str">
        <f t="shared" si="227"/>
        <v>-</v>
      </c>
      <c r="F221" s="602">
        <f t="shared" si="227"/>
        <v>0</v>
      </c>
      <c r="G221" s="602">
        <f>F115</f>
        <v>0</v>
      </c>
      <c r="H221" s="602" t="str">
        <f>G115</f>
        <v>-</v>
      </c>
      <c r="J221" s="1290"/>
      <c r="K221" s="602">
        <v>10</v>
      </c>
      <c r="L221" s="602">
        <f t="shared" ref="L221:Q221" si="228">B121</f>
        <v>0</v>
      </c>
      <c r="M221" s="602">
        <f t="shared" si="228"/>
        <v>9.9999999999999995E-7</v>
      </c>
      <c r="N221" s="602" t="str">
        <f t="shared" si="228"/>
        <v>-</v>
      </c>
      <c r="O221" s="602">
        <f t="shared" si="228"/>
        <v>0</v>
      </c>
      <c r="P221" s="602">
        <f t="shared" si="228"/>
        <v>0</v>
      </c>
      <c r="Q221" s="602" t="str">
        <f t="shared" si="228"/>
        <v>-</v>
      </c>
    </row>
    <row r="222" spans="1:17">
      <c r="A222" s="1290"/>
      <c r="B222" s="602">
        <v>11</v>
      </c>
      <c r="C222" s="602">
        <f>I115</f>
        <v>10</v>
      </c>
      <c r="D222" s="602">
        <f t="shared" ref="D222:F222" si="229">J115</f>
        <v>9.9999999999999995E-7</v>
      </c>
      <c r="E222" s="602" t="str">
        <f t="shared" si="229"/>
        <v>-</v>
      </c>
      <c r="F222" s="602">
        <f t="shared" si="229"/>
        <v>0</v>
      </c>
      <c r="G222" s="602">
        <f>M115</f>
        <v>0</v>
      </c>
      <c r="H222" s="602" t="str">
        <f>N115</f>
        <v>-</v>
      </c>
      <c r="J222" s="1290"/>
      <c r="K222" s="602">
        <v>11</v>
      </c>
      <c r="L222" s="602">
        <f t="shared" ref="L222:Q222" si="230">I121</f>
        <v>0.01</v>
      </c>
      <c r="M222" s="602">
        <f t="shared" si="230"/>
        <v>9.9999999999999995E-7</v>
      </c>
      <c r="N222" s="602" t="str">
        <f t="shared" si="230"/>
        <v>-</v>
      </c>
      <c r="O222" s="602">
        <f t="shared" si="230"/>
        <v>0</v>
      </c>
      <c r="P222" s="602">
        <f t="shared" si="230"/>
        <v>0</v>
      </c>
      <c r="Q222" s="602" t="str">
        <f t="shared" si="230"/>
        <v>-</v>
      </c>
    </row>
    <row r="223" spans="1:17">
      <c r="A223" s="1290"/>
      <c r="B223" s="602">
        <v>12</v>
      </c>
      <c r="C223" s="602">
        <f>P115</f>
        <v>10</v>
      </c>
      <c r="D223" s="602">
        <f t="shared" ref="D223:F223" si="231">Q115</f>
        <v>9.9999999999999995E-7</v>
      </c>
      <c r="E223" s="602" t="str">
        <f t="shared" si="231"/>
        <v>-</v>
      </c>
      <c r="F223" s="602">
        <f t="shared" si="231"/>
        <v>0</v>
      </c>
      <c r="G223" s="602">
        <f>T115</f>
        <v>0</v>
      </c>
      <c r="H223" s="602" t="str">
        <f>U115</f>
        <v>-</v>
      </c>
      <c r="J223" s="1290"/>
      <c r="K223" s="602">
        <v>12</v>
      </c>
      <c r="L223" s="602">
        <f t="shared" ref="L223:Q223" si="232">P121</f>
        <v>0.01</v>
      </c>
      <c r="M223" s="602">
        <f t="shared" si="232"/>
        <v>9.9999999999999995E-7</v>
      </c>
      <c r="N223" s="602" t="str">
        <f t="shared" si="232"/>
        <v>-</v>
      </c>
      <c r="O223" s="602">
        <f t="shared" si="232"/>
        <v>0</v>
      </c>
      <c r="P223" s="602">
        <f t="shared" si="232"/>
        <v>0</v>
      </c>
      <c r="Q223" s="602" t="str">
        <f t="shared" si="232"/>
        <v>-</v>
      </c>
    </row>
    <row r="224" spans="1:17" s="492" customFormat="1">
      <c r="A224" s="610"/>
      <c r="B224" s="603"/>
      <c r="C224" s="606"/>
      <c r="D224" s="606"/>
      <c r="E224" s="606"/>
      <c r="F224" s="604"/>
      <c r="G224" s="606"/>
      <c r="H224" s="606"/>
      <c r="J224" s="610"/>
      <c r="K224" s="603"/>
      <c r="L224" s="603"/>
      <c r="M224" s="603"/>
      <c r="N224" s="603"/>
      <c r="O224" s="604"/>
      <c r="P224" s="603"/>
      <c r="Q224" s="603"/>
    </row>
    <row r="225" spans="1:17">
      <c r="A225" s="1290" t="s">
        <v>524</v>
      </c>
      <c r="B225" s="602">
        <v>1</v>
      </c>
      <c r="C225" s="602">
        <f t="shared" ref="C225:H225" si="233">B23</f>
        <v>20</v>
      </c>
      <c r="D225" s="602">
        <f t="shared" si="233"/>
        <v>9.9999999999999995E-7</v>
      </c>
      <c r="E225" s="602">
        <f t="shared" si="233"/>
        <v>9.9999999999999995E-7</v>
      </c>
      <c r="F225" s="602">
        <f t="shared" si="233"/>
        <v>0</v>
      </c>
      <c r="G225" s="602">
        <f t="shared" si="233"/>
        <v>0</v>
      </c>
      <c r="H225" s="602">
        <f t="shared" si="233"/>
        <v>0</v>
      </c>
      <c r="J225" s="1290" t="s">
        <v>524</v>
      </c>
      <c r="K225" s="602">
        <v>1</v>
      </c>
      <c r="L225" s="602">
        <f t="shared" ref="L225:Q225" si="234">B29</f>
        <v>0.1</v>
      </c>
      <c r="M225" s="602">
        <f t="shared" si="234"/>
        <v>-1E-3</v>
      </c>
      <c r="N225" s="602">
        <f t="shared" si="234"/>
        <v>2E-3</v>
      </c>
      <c r="O225" s="602">
        <f t="shared" si="234"/>
        <v>0</v>
      </c>
      <c r="P225" s="602">
        <f t="shared" si="234"/>
        <v>1.5E-3</v>
      </c>
      <c r="Q225" s="602">
        <f t="shared" si="234"/>
        <v>1.2000000000000001E-3</v>
      </c>
    </row>
    <row r="226" spans="1:17">
      <c r="A226" s="1290"/>
      <c r="B226" s="602">
        <v>2</v>
      </c>
      <c r="C226" s="602">
        <f t="shared" ref="C226:H226" si="235">I23</f>
        <v>20</v>
      </c>
      <c r="D226" s="602">
        <f t="shared" si="235"/>
        <v>0.2</v>
      </c>
      <c r="E226" s="602">
        <f t="shared" si="235"/>
        <v>0.1</v>
      </c>
      <c r="F226" s="602">
        <f t="shared" si="235"/>
        <v>0</v>
      </c>
      <c r="G226" s="602">
        <f t="shared" si="235"/>
        <v>0.05</v>
      </c>
      <c r="H226" s="602">
        <f t="shared" si="235"/>
        <v>0.11799999999999999</v>
      </c>
      <c r="J226" s="1290"/>
      <c r="K226" s="602">
        <v>2</v>
      </c>
      <c r="L226" s="602">
        <f t="shared" ref="L226:Q226" si="236">I29</f>
        <v>0.1</v>
      </c>
      <c r="M226" s="602">
        <f t="shared" si="236"/>
        <v>6.0000000000000001E-3</v>
      </c>
      <c r="N226" s="602">
        <f t="shared" si="236"/>
        <v>5.0000000000000001E-3</v>
      </c>
      <c r="O226" s="602">
        <f t="shared" si="236"/>
        <v>0</v>
      </c>
      <c r="P226" s="602">
        <f t="shared" si="236"/>
        <v>5.0000000000000001E-4</v>
      </c>
      <c r="Q226" s="602">
        <f t="shared" si="236"/>
        <v>1.2000000000000001E-3</v>
      </c>
    </row>
    <row r="227" spans="1:17">
      <c r="A227" s="1290"/>
      <c r="B227" s="602">
        <v>3</v>
      </c>
      <c r="C227" s="602">
        <f t="shared" ref="C227:H227" si="237">P23</f>
        <v>10</v>
      </c>
      <c r="D227" s="602">
        <f t="shared" si="237"/>
        <v>0</v>
      </c>
      <c r="E227" s="602">
        <f t="shared" si="237"/>
        <v>9.9999999999999995E-7</v>
      </c>
      <c r="F227" s="602">
        <f t="shared" si="237"/>
        <v>9.9999999999999995E-7</v>
      </c>
      <c r="G227" s="602">
        <f t="shared" si="237"/>
        <v>4.9999999999999998E-7</v>
      </c>
      <c r="H227" s="602">
        <f t="shared" si="237"/>
        <v>0.17</v>
      </c>
      <c r="J227" s="1290"/>
      <c r="K227" s="602">
        <v>3</v>
      </c>
      <c r="L227" s="602">
        <f t="shared" ref="L227:Q227" si="238">P29</f>
        <v>0.5</v>
      </c>
      <c r="M227" s="602">
        <f t="shared" si="238"/>
        <v>5.0000000000000001E-3</v>
      </c>
      <c r="N227" s="602">
        <f t="shared" si="238"/>
        <v>-2E-3</v>
      </c>
      <c r="O227" s="602">
        <f t="shared" si="238"/>
        <v>-1E-3</v>
      </c>
      <c r="P227" s="602">
        <f t="shared" si="238"/>
        <v>3.5000000000000001E-3</v>
      </c>
      <c r="Q227" s="602">
        <f t="shared" si="238"/>
        <v>6.0000000000000001E-3</v>
      </c>
    </row>
    <row r="228" spans="1:17">
      <c r="A228" s="1290"/>
      <c r="B228" s="602">
        <v>4</v>
      </c>
      <c r="C228" s="602">
        <f t="shared" ref="C228:H228" si="239">B54</f>
        <v>20</v>
      </c>
      <c r="D228" s="602">
        <f t="shared" si="239"/>
        <v>0.1</v>
      </c>
      <c r="E228" s="602">
        <f t="shared" si="239"/>
        <v>0.2</v>
      </c>
      <c r="F228" s="602">
        <f t="shared" si="239"/>
        <v>0</v>
      </c>
      <c r="G228" s="602">
        <f t="shared" si="239"/>
        <v>0.05</v>
      </c>
      <c r="H228" s="602">
        <f t="shared" si="239"/>
        <v>0.34</v>
      </c>
      <c r="J228" s="1290"/>
      <c r="K228" s="602">
        <v>4</v>
      </c>
      <c r="L228" s="602">
        <f t="shared" ref="L228:Q228" si="240">B60</f>
        <v>0.1</v>
      </c>
      <c r="M228" s="602">
        <f t="shared" si="240"/>
        <v>-2E-3</v>
      </c>
      <c r="N228" s="602">
        <f t="shared" si="240"/>
        <v>9.9999999999999995E-7</v>
      </c>
      <c r="O228" s="602">
        <f t="shared" si="240"/>
        <v>0</v>
      </c>
      <c r="P228" s="602">
        <f t="shared" si="240"/>
        <v>1.0005000000000001E-3</v>
      </c>
      <c r="Q228" s="602">
        <f t="shared" si="240"/>
        <v>1.2000000000000001E-3</v>
      </c>
    </row>
    <row r="229" spans="1:17">
      <c r="A229" s="1290"/>
      <c r="B229" s="602">
        <v>5</v>
      </c>
      <c r="C229" s="602">
        <f t="shared" ref="C229:H229" si="241">I54</f>
        <v>20</v>
      </c>
      <c r="D229" s="602">
        <f t="shared" si="241"/>
        <v>0.1</v>
      </c>
      <c r="E229" s="602">
        <f t="shared" si="241"/>
        <v>0.1</v>
      </c>
      <c r="F229" s="602">
        <f t="shared" si="241"/>
        <v>0</v>
      </c>
      <c r="G229" s="602">
        <f t="shared" si="241"/>
        <v>0</v>
      </c>
      <c r="H229" s="602">
        <f t="shared" si="241"/>
        <v>0.34</v>
      </c>
      <c r="J229" s="1290"/>
      <c r="K229" s="602">
        <v>5</v>
      </c>
      <c r="L229" s="602">
        <f t="shared" ref="L229:Q229" si="242">I60</f>
        <v>0.1</v>
      </c>
      <c r="M229" s="602">
        <f t="shared" si="242"/>
        <v>-2E-3</v>
      </c>
      <c r="N229" s="602">
        <f t="shared" si="242"/>
        <v>2E-3</v>
      </c>
      <c r="O229" s="602">
        <f t="shared" si="242"/>
        <v>0</v>
      </c>
      <c r="P229" s="602">
        <f t="shared" si="242"/>
        <v>2E-3</v>
      </c>
      <c r="Q229" s="602">
        <f t="shared" si="242"/>
        <v>1.2000000000000001E-3</v>
      </c>
    </row>
    <row r="230" spans="1:17">
      <c r="A230" s="1290"/>
      <c r="B230" s="602">
        <v>6</v>
      </c>
      <c r="C230" s="602">
        <f t="shared" ref="C230:H230" si="243">P54</f>
        <v>20</v>
      </c>
      <c r="D230" s="602">
        <f t="shared" si="243"/>
        <v>0.1</v>
      </c>
      <c r="E230" s="602">
        <f t="shared" si="243"/>
        <v>0.1</v>
      </c>
      <c r="F230" s="602">
        <f t="shared" si="243"/>
        <v>0.1</v>
      </c>
      <c r="G230" s="602">
        <f t="shared" si="243"/>
        <v>0</v>
      </c>
      <c r="H230" s="602">
        <f t="shared" si="243"/>
        <v>0.34</v>
      </c>
      <c r="J230" s="1290"/>
      <c r="K230" s="602">
        <v>6</v>
      </c>
      <c r="L230" s="602">
        <f t="shared" ref="L230:Q230" si="244">P60</f>
        <v>0.1</v>
      </c>
      <c r="M230" s="602">
        <f t="shared" si="244"/>
        <v>0</v>
      </c>
      <c r="N230" s="602">
        <f t="shared" si="244"/>
        <v>-3.0000000000000001E-3</v>
      </c>
      <c r="O230" s="602">
        <f t="shared" si="244"/>
        <v>-2E-3</v>
      </c>
      <c r="P230" s="602">
        <f t="shared" si="244"/>
        <v>1.5E-3</v>
      </c>
      <c r="Q230" s="602">
        <f t="shared" si="244"/>
        <v>1.2000000000000001E-3</v>
      </c>
    </row>
    <row r="231" spans="1:17">
      <c r="A231" s="1290"/>
      <c r="B231" s="602">
        <v>7</v>
      </c>
      <c r="C231" s="602">
        <f t="shared" ref="C231:H231" si="245">B85</f>
        <v>20</v>
      </c>
      <c r="D231" s="602">
        <f t="shared" si="245"/>
        <v>0.1</v>
      </c>
      <c r="E231" s="602">
        <f t="shared" si="245"/>
        <v>0.1</v>
      </c>
      <c r="F231" s="602">
        <f t="shared" si="245"/>
        <v>9.9999999999999995E-7</v>
      </c>
      <c r="G231" s="602">
        <f t="shared" si="245"/>
        <v>4.9999500000000002E-2</v>
      </c>
      <c r="H231" s="602">
        <f t="shared" si="245"/>
        <v>0.34</v>
      </c>
      <c r="J231" s="1290"/>
      <c r="K231" s="602">
        <v>7</v>
      </c>
      <c r="L231" s="602">
        <f t="shared" ref="L231:Q231" si="246">B91</f>
        <v>0.5</v>
      </c>
      <c r="M231" s="602">
        <f t="shared" si="246"/>
        <v>8.0000000000000002E-3</v>
      </c>
      <c r="N231" s="602">
        <f t="shared" si="246"/>
        <v>3.0000000000000001E-3</v>
      </c>
      <c r="O231" s="602">
        <f t="shared" si="246"/>
        <v>9.9999999999999995E-7</v>
      </c>
      <c r="P231" s="602">
        <f t="shared" si="246"/>
        <v>3.9995000000000005E-3</v>
      </c>
      <c r="Q231" s="602">
        <f t="shared" si="246"/>
        <v>6.0000000000000001E-3</v>
      </c>
    </row>
    <row r="232" spans="1:17">
      <c r="A232" s="1290"/>
      <c r="B232" s="602">
        <v>8</v>
      </c>
      <c r="C232" s="602">
        <f t="shared" ref="C232:H232" si="247">I85</f>
        <v>20</v>
      </c>
      <c r="D232" s="602">
        <f t="shared" si="247"/>
        <v>0.1</v>
      </c>
      <c r="E232" s="602">
        <f t="shared" si="247"/>
        <v>9.9999999999999995E-7</v>
      </c>
      <c r="F232" s="602">
        <f t="shared" si="247"/>
        <v>9.9999999999999995E-7</v>
      </c>
      <c r="G232" s="602">
        <f t="shared" si="247"/>
        <v>4.9999500000000002E-2</v>
      </c>
      <c r="H232" s="602">
        <f t="shared" si="247"/>
        <v>0.34</v>
      </c>
      <c r="J232" s="1290"/>
      <c r="K232" s="602">
        <v>8</v>
      </c>
      <c r="L232" s="602">
        <f t="shared" ref="L232:Q232" si="248">I91</f>
        <v>0.5</v>
      </c>
      <c r="M232" s="602">
        <f t="shared" si="248"/>
        <v>1E-3</v>
      </c>
      <c r="N232" s="602">
        <f t="shared" si="248"/>
        <v>4.0000000000000001E-3</v>
      </c>
      <c r="O232" s="602">
        <f t="shared" si="248"/>
        <v>-3.0000000000000001E-3</v>
      </c>
      <c r="P232" s="602">
        <f t="shared" si="248"/>
        <v>3.5000000000000001E-3</v>
      </c>
      <c r="Q232" s="602">
        <f t="shared" si="248"/>
        <v>6.0000000000000001E-3</v>
      </c>
    </row>
    <row r="233" spans="1:17">
      <c r="A233" s="1290"/>
      <c r="B233" s="602">
        <v>9</v>
      </c>
      <c r="C233" s="602">
        <f t="shared" ref="C233:H233" si="249">P85</f>
        <v>20</v>
      </c>
      <c r="D233" s="602">
        <f t="shared" si="249"/>
        <v>9.9999999999999995E-7</v>
      </c>
      <c r="E233" s="602">
        <f t="shared" si="249"/>
        <v>9.9999999999999995E-7</v>
      </c>
      <c r="F233" s="602">
        <f t="shared" si="249"/>
        <v>9.9999999999999995E-7</v>
      </c>
      <c r="G233" s="602">
        <f t="shared" si="249"/>
        <v>0</v>
      </c>
      <c r="H233" s="602">
        <f t="shared" si="249"/>
        <v>0.34</v>
      </c>
      <c r="J233" s="1290"/>
      <c r="K233" s="602">
        <v>9</v>
      </c>
      <c r="L233" s="602">
        <f t="shared" ref="L233:Q233" si="250">P91</f>
        <v>0.10199999999999999</v>
      </c>
      <c r="M233" s="602">
        <f t="shared" si="250"/>
        <v>0</v>
      </c>
      <c r="N233" s="602">
        <f t="shared" si="250"/>
        <v>1E-3</v>
      </c>
      <c r="O233" s="602">
        <f t="shared" si="250"/>
        <v>-2E-3</v>
      </c>
      <c r="P233" s="602">
        <f t="shared" si="250"/>
        <v>1.5E-3</v>
      </c>
      <c r="Q233" s="602">
        <f t="shared" si="250"/>
        <v>1.224E-3</v>
      </c>
    </row>
    <row r="234" spans="1:17">
      <c r="A234" s="1290"/>
      <c r="B234" s="602">
        <v>10</v>
      </c>
      <c r="C234" s="602">
        <f>B116</f>
        <v>20</v>
      </c>
      <c r="D234" s="602">
        <f t="shared" ref="D234:F234" si="251">C116</f>
        <v>0.1</v>
      </c>
      <c r="E234" s="602" t="str">
        <f t="shared" si="251"/>
        <v>-</v>
      </c>
      <c r="F234" s="602">
        <f t="shared" si="251"/>
        <v>0</v>
      </c>
      <c r="G234" s="602">
        <f>F116</f>
        <v>0</v>
      </c>
      <c r="H234" s="602" t="str">
        <f>G116</f>
        <v>-</v>
      </c>
      <c r="J234" s="1290"/>
      <c r="K234" s="602">
        <v>10</v>
      </c>
      <c r="L234" s="602">
        <f t="shared" ref="L234:Q234" si="252">B122</f>
        <v>0.1</v>
      </c>
      <c r="M234" s="602">
        <f t="shared" si="252"/>
        <v>-2E-3</v>
      </c>
      <c r="N234" s="602" t="str">
        <f t="shared" si="252"/>
        <v>-</v>
      </c>
      <c r="O234" s="602">
        <f t="shared" si="252"/>
        <v>0</v>
      </c>
      <c r="P234" s="602">
        <f t="shared" si="252"/>
        <v>0</v>
      </c>
      <c r="Q234" s="602" t="str">
        <f t="shared" si="252"/>
        <v>-</v>
      </c>
    </row>
    <row r="235" spans="1:17">
      <c r="A235" s="1290"/>
      <c r="B235" s="602">
        <v>11</v>
      </c>
      <c r="C235" s="602">
        <f>I116</f>
        <v>20</v>
      </c>
      <c r="D235" s="602">
        <f t="shared" ref="D235:F235" si="253">J116</f>
        <v>9.9999999999999995E-7</v>
      </c>
      <c r="E235" s="602" t="str">
        <f t="shared" si="253"/>
        <v>-</v>
      </c>
      <c r="F235" s="602">
        <f t="shared" si="253"/>
        <v>0</v>
      </c>
      <c r="G235" s="602">
        <f>M116</f>
        <v>0</v>
      </c>
      <c r="H235" s="602" t="str">
        <f>N116</f>
        <v>-</v>
      </c>
      <c r="J235" s="1290"/>
      <c r="K235" s="602">
        <v>11</v>
      </c>
      <c r="L235" s="602">
        <f t="shared" ref="L235:Q235" si="254">I122</f>
        <v>0.1</v>
      </c>
      <c r="M235" s="602">
        <f t="shared" si="254"/>
        <v>9.9999999999999995E-7</v>
      </c>
      <c r="N235" s="602" t="str">
        <f t="shared" si="254"/>
        <v>-</v>
      </c>
      <c r="O235" s="602">
        <f t="shared" si="254"/>
        <v>0</v>
      </c>
      <c r="P235" s="602">
        <f t="shared" si="254"/>
        <v>0</v>
      </c>
      <c r="Q235" s="602" t="str">
        <f t="shared" si="254"/>
        <v>-</v>
      </c>
    </row>
    <row r="236" spans="1:17">
      <c r="A236" s="1290"/>
      <c r="B236" s="602">
        <v>12</v>
      </c>
      <c r="C236" s="602">
        <f>P116</f>
        <v>20</v>
      </c>
      <c r="D236" s="602">
        <f t="shared" ref="D236:F236" si="255">Q116</f>
        <v>9.9999999999999995E-7</v>
      </c>
      <c r="E236" s="602" t="str">
        <f t="shared" si="255"/>
        <v>-</v>
      </c>
      <c r="F236" s="602">
        <f t="shared" si="255"/>
        <v>0</v>
      </c>
      <c r="G236" s="602">
        <f>T116</f>
        <v>0</v>
      </c>
      <c r="H236" s="602" t="str">
        <f>U116</f>
        <v>-</v>
      </c>
      <c r="J236" s="1290"/>
      <c r="K236" s="602">
        <v>12</v>
      </c>
      <c r="L236" s="602">
        <f t="shared" ref="L236:Q236" si="256">P122</f>
        <v>0.1</v>
      </c>
      <c r="M236" s="602">
        <f t="shared" si="256"/>
        <v>9.9999999999999995E-7</v>
      </c>
      <c r="N236" s="602" t="str">
        <f t="shared" si="256"/>
        <v>-</v>
      </c>
      <c r="O236" s="602">
        <f t="shared" si="256"/>
        <v>0</v>
      </c>
      <c r="P236" s="602">
        <f t="shared" si="256"/>
        <v>0</v>
      </c>
      <c r="Q236" s="602" t="str">
        <f t="shared" si="256"/>
        <v>-</v>
      </c>
    </row>
    <row r="237" spans="1:17" s="492" customFormat="1">
      <c r="A237" s="610"/>
      <c r="B237" s="603"/>
      <c r="C237" s="606"/>
      <c r="D237" s="606"/>
      <c r="E237" s="606"/>
      <c r="F237" s="604"/>
      <c r="G237" s="606"/>
      <c r="H237" s="606"/>
      <c r="J237" s="610"/>
      <c r="K237" s="603"/>
      <c r="L237" s="603"/>
      <c r="M237" s="603"/>
      <c r="N237" s="603"/>
      <c r="O237" s="604"/>
      <c r="P237" s="603"/>
      <c r="Q237" s="603"/>
    </row>
    <row r="238" spans="1:17">
      <c r="A238" s="1290" t="s">
        <v>525</v>
      </c>
      <c r="B238" s="602">
        <v>1</v>
      </c>
      <c r="C238" s="602">
        <f t="shared" ref="C238:H238" si="257">B24</f>
        <v>50</v>
      </c>
      <c r="D238" s="602">
        <f t="shared" si="257"/>
        <v>9.9999999999999995E-7</v>
      </c>
      <c r="E238" s="602">
        <f t="shared" si="257"/>
        <v>9.9999999999999995E-7</v>
      </c>
      <c r="F238" s="602">
        <f t="shared" si="257"/>
        <v>0</v>
      </c>
      <c r="G238" s="602">
        <f t="shared" si="257"/>
        <v>0</v>
      </c>
      <c r="H238" s="602">
        <f t="shared" si="257"/>
        <v>0</v>
      </c>
      <c r="J238" s="1290" t="s">
        <v>525</v>
      </c>
      <c r="K238" s="602">
        <v>1</v>
      </c>
      <c r="L238" s="602">
        <f t="shared" ref="L238:Q238" si="258">B30</f>
        <v>1</v>
      </c>
      <c r="M238" s="602">
        <f t="shared" si="258"/>
        <v>4.0000000000000001E-3</v>
      </c>
      <c r="N238" s="602">
        <f t="shared" si="258"/>
        <v>1.2E-2</v>
      </c>
      <c r="O238" s="602">
        <f t="shared" si="258"/>
        <v>0</v>
      </c>
      <c r="P238" s="602">
        <f t="shared" si="258"/>
        <v>4.0000000000000001E-3</v>
      </c>
      <c r="Q238" s="602">
        <f t="shared" si="258"/>
        <v>1.2E-2</v>
      </c>
    </row>
    <row r="239" spans="1:17">
      <c r="A239" s="1290"/>
      <c r="B239" s="602">
        <v>2</v>
      </c>
      <c r="C239" s="602">
        <f t="shared" ref="C239:H239" si="259">I24</f>
        <v>50</v>
      </c>
      <c r="D239" s="602">
        <f t="shared" si="259"/>
        <v>0.3</v>
      </c>
      <c r="E239" s="602">
        <f t="shared" si="259"/>
        <v>0.1</v>
      </c>
      <c r="F239" s="602">
        <f t="shared" si="259"/>
        <v>0</v>
      </c>
      <c r="G239" s="602">
        <f t="shared" si="259"/>
        <v>9.9999999999999992E-2</v>
      </c>
      <c r="H239" s="602">
        <f t="shared" si="259"/>
        <v>0.29499999999999998</v>
      </c>
      <c r="J239" s="1290"/>
      <c r="K239" s="602">
        <v>2</v>
      </c>
      <c r="L239" s="602">
        <f t="shared" ref="L239:Q239" si="260">I30</f>
        <v>1</v>
      </c>
      <c r="M239" s="602">
        <f t="shared" si="260"/>
        <v>4.4999999999999998E-2</v>
      </c>
      <c r="N239" s="602">
        <f t="shared" si="260"/>
        <v>5.5E-2</v>
      </c>
      <c r="O239" s="602">
        <f t="shared" si="260"/>
        <v>0</v>
      </c>
      <c r="P239" s="602">
        <f t="shared" si="260"/>
        <v>5.000000000000001E-3</v>
      </c>
      <c r="Q239" s="602">
        <f t="shared" si="260"/>
        <v>1.2E-2</v>
      </c>
    </row>
    <row r="240" spans="1:17">
      <c r="A240" s="1290"/>
      <c r="B240" s="602">
        <v>3</v>
      </c>
      <c r="C240" s="602">
        <f t="shared" ref="C240:H240" si="261">P24</f>
        <v>20</v>
      </c>
      <c r="D240" s="602">
        <f t="shared" si="261"/>
        <v>0.2</v>
      </c>
      <c r="E240" s="602">
        <f t="shared" si="261"/>
        <v>9.9999999999999995E-7</v>
      </c>
      <c r="F240" s="602">
        <f t="shared" si="261"/>
        <v>0.4</v>
      </c>
      <c r="G240" s="602">
        <f t="shared" si="261"/>
        <v>0.19999950000000002</v>
      </c>
      <c r="H240" s="602">
        <f t="shared" si="261"/>
        <v>0.34</v>
      </c>
      <c r="J240" s="1290"/>
      <c r="K240" s="602">
        <v>3</v>
      </c>
      <c r="L240" s="602">
        <f t="shared" ref="L240:Q240" si="262">P30</f>
        <v>1</v>
      </c>
      <c r="M240" s="602">
        <f t="shared" si="262"/>
        <v>8.0000000000000002E-3</v>
      </c>
      <c r="N240" s="602">
        <f t="shared" si="262"/>
        <v>-1.2E-2</v>
      </c>
      <c r="O240" s="602">
        <f t="shared" si="262"/>
        <v>5.0000000000000001E-3</v>
      </c>
      <c r="P240" s="602">
        <f t="shared" si="262"/>
        <v>0.01</v>
      </c>
      <c r="Q240" s="602">
        <f t="shared" si="262"/>
        <v>1.2E-2</v>
      </c>
    </row>
    <row r="241" spans="1:17">
      <c r="A241" s="1290"/>
      <c r="B241" s="602">
        <v>4</v>
      </c>
      <c r="C241" s="602">
        <f t="shared" ref="C241:H241" si="263">B55</f>
        <v>50</v>
      </c>
      <c r="D241" s="602">
        <f t="shared" si="263"/>
        <v>0.4</v>
      </c>
      <c r="E241" s="602">
        <f t="shared" si="263"/>
        <v>0.5</v>
      </c>
      <c r="F241" s="602">
        <f t="shared" si="263"/>
        <v>0</v>
      </c>
      <c r="G241" s="602">
        <f t="shared" si="263"/>
        <v>4.9999999999999989E-2</v>
      </c>
      <c r="H241" s="602">
        <f t="shared" si="263"/>
        <v>0.85000000000000009</v>
      </c>
      <c r="J241" s="1290"/>
      <c r="K241" s="602">
        <v>4</v>
      </c>
      <c r="L241" s="602">
        <f t="shared" ref="L241:Q241" si="264">B61</f>
        <v>1</v>
      </c>
      <c r="M241" s="602">
        <f t="shared" si="264"/>
        <v>-8.0000000000000002E-3</v>
      </c>
      <c r="N241" s="602">
        <f t="shared" si="264"/>
        <v>-1E-3</v>
      </c>
      <c r="O241" s="602">
        <f t="shared" si="264"/>
        <v>0</v>
      </c>
      <c r="P241" s="602">
        <f t="shared" si="264"/>
        <v>3.5000000000000001E-3</v>
      </c>
      <c r="Q241" s="602">
        <f t="shared" si="264"/>
        <v>1.2E-2</v>
      </c>
    </row>
    <row r="242" spans="1:17">
      <c r="A242" s="1290"/>
      <c r="B242" s="602">
        <v>5</v>
      </c>
      <c r="C242" s="602">
        <f t="shared" ref="C242:H242" si="265">I55</f>
        <v>50</v>
      </c>
      <c r="D242" s="602">
        <f t="shared" si="265"/>
        <v>0.6</v>
      </c>
      <c r="E242" s="602">
        <f t="shared" si="265"/>
        <v>0.4</v>
      </c>
      <c r="F242" s="602">
        <f t="shared" si="265"/>
        <v>0</v>
      </c>
      <c r="G242" s="602">
        <f t="shared" si="265"/>
        <v>9.9999999999999978E-2</v>
      </c>
      <c r="H242" s="602">
        <f t="shared" si="265"/>
        <v>0.85000000000000009</v>
      </c>
      <c r="J242" s="1290"/>
      <c r="K242" s="602">
        <v>5</v>
      </c>
      <c r="L242" s="602">
        <f t="shared" ref="L242:Q242" si="266">I61</f>
        <v>1</v>
      </c>
      <c r="M242" s="602">
        <f t="shared" si="266"/>
        <v>6.3E-2</v>
      </c>
      <c r="N242" s="602">
        <f t="shared" si="266"/>
        <v>1.2E-2</v>
      </c>
      <c r="O242" s="602">
        <f t="shared" si="266"/>
        <v>0</v>
      </c>
      <c r="P242" s="602">
        <f t="shared" si="266"/>
        <v>2.5500000000000002E-2</v>
      </c>
      <c r="Q242" s="602">
        <f t="shared" si="266"/>
        <v>1.2E-2</v>
      </c>
    </row>
    <row r="243" spans="1:17">
      <c r="A243" s="1290"/>
      <c r="B243" s="602">
        <v>6</v>
      </c>
      <c r="C243" s="602">
        <f t="shared" ref="C243:H243" si="267">P55</f>
        <v>50</v>
      </c>
      <c r="D243" s="602">
        <f t="shared" si="267"/>
        <v>0.1</v>
      </c>
      <c r="E243" s="602">
        <f t="shared" si="267"/>
        <v>0.3</v>
      </c>
      <c r="F243" s="602">
        <f t="shared" si="267"/>
        <v>0.3</v>
      </c>
      <c r="G243" s="602">
        <f t="shared" si="267"/>
        <v>9.9999999999999992E-2</v>
      </c>
      <c r="H243" s="602">
        <f t="shared" si="267"/>
        <v>0.85000000000000009</v>
      </c>
      <c r="J243" s="1290"/>
      <c r="K243" s="602">
        <v>6</v>
      </c>
      <c r="L243" s="602">
        <f t="shared" ref="L243:Q243" si="268">P61</f>
        <v>1</v>
      </c>
      <c r="M243" s="602">
        <f t="shared" si="268"/>
        <v>-6.0000000000000001E-3</v>
      </c>
      <c r="N243" s="602">
        <f t="shared" si="268"/>
        <v>-7.0000000000000001E-3</v>
      </c>
      <c r="O243" s="602">
        <f t="shared" si="268"/>
        <v>-1E-3</v>
      </c>
      <c r="P243" s="602">
        <f t="shared" si="268"/>
        <v>3.0000000000000001E-3</v>
      </c>
      <c r="Q243" s="602">
        <f t="shared" si="268"/>
        <v>1.2E-2</v>
      </c>
    </row>
    <row r="244" spans="1:17">
      <c r="A244" s="1290"/>
      <c r="B244" s="602">
        <v>7</v>
      </c>
      <c r="C244" s="602">
        <f t="shared" ref="C244:H244" si="269">B86</f>
        <v>50</v>
      </c>
      <c r="D244" s="602">
        <f t="shared" si="269"/>
        <v>0.3</v>
      </c>
      <c r="E244" s="602">
        <f t="shared" si="269"/>
        <v>0.5</v>
      </c>
      <c r="F244" s="602">
        <f t="shared" si="269"/>
        <v>9.9999999999999995E-7</v>
      </c>
      <c r="G244" s="602">
        <f t="shared" si="269"/>
        <v>0.24999950000000001</v>
      </c>
      <c r="H244" s="602">
        <f t="shared" si="269"/>
        <v>0.85000000000000009</v>
      </c>
      <c r="J244" s="1290"/>
      <c r="K244" s="602">
        <v>7</v>
      </c>
      <c r="L244" s="602">
        <f t="shared" ref="L244:Q244" si="270">B92</f>
        <v>1</v>
      </c>
      <c r="M244" s="602">
        <f t="shared" si="270"/>
        <v>-6.0000000000000001E-3</v>
      </c>
      <c r="N244" s="602">
        <f t="shared" si="270"/>
        <v>2E-3</v>
      </c>
      <c r="O244" s="602">
        <f t="shared" si="270"/>
        <v>-2E-3</v>
      </c>
      <c r="P244" s="602">
        <f t="shared" si="270"/>
        <v>4.0000000000000001E-3</v>
      </c>
      <c r="Q244" s="602">
        <f t="shared" si="270"/>
        <v>1.2E-2</v>
      </c>
    </row>
    <row r="245" spans="1:17">
      <c r="A245" s="1290"/>
      <c r="B245" s="602">
        <v>8</v>
      </c>
      <c r="C245" s="602">
        <f t="shared" ref="C245:H245" si="271">I86</f>
        <v>50</v>
      </c>
      <c r="D245" s="602">
        <f t="shared" si="271"/>
        <v>0.3</v>
      </c>
      <c r="E245" s="602">
        <f t="shared" si="271"/>
        <v>0.2</v>
      </c>
      <c r="F245" s="602">
        <f t="shared" si="271"/>
        <v>9.9999999999999995E-7</v>
      </c>
      <c r="G245" s="602">
        <f t="shared" si="271"/>
        <v>0.14999950000000001</v>
      </c>
      <c r="H245" s="602">
        <f t="shared" si="271"/>
        <v>0.85000000000000009</v>
      </c>
      <c r="J245" s="1290"/>
      <c r="K245" s="602">
        <v>8</v>
      </c>
      <c r="L245" s="602">
        <f t="shared" ref="L245:Q245" si="272">I92</f>
        <v>1</v>
      </c>
      <c r="M245" s="602">
        <f t="shared" si="272"/>
        <v>-1E-3</v>
      </c>
      <c r="N245" s="602">
        <f t="shared" si="272"/>
        <v>5.0000000000000001E-3</v>
      </c>
      <c r="O245" s="602">
        <f t="shared" si="272"/>
        <v>1E-3</v>
      </c>
      <c r="P245" s="602">
        <f t="shared" si="272"/>
        <v>3.0000000000000001E-3</v>
      </c>
      <c r="Q245" s="602">
        <f t="shared" si="272"/>
        <v>1.2E-2</v>
      </c>
    </row>
    <row r="246" spans="1:17">
      <c r="A246" s="1290"/>
      <c r="B246" s="602">
        <v>9</v>
      </c>
      <c r="C246" s="602">
        <f t="shared" ref="C246:H246" si="273">P86</f>
        <v>50</v>
      </c>
      <c r="D246" s="602">
        <f t="shared" si="273"/>
        <v>0.2</v>
      </c>
      <c r="E246" s="602">
        <f t="shared" si="273"/>
        <v>0.2</v>
      </c>
      <c r="F246" s="602">
        <f t="shared" si="273"/>
        <v>9.9999999999999995E-7</v>
      </c>
      <c r="G246" s="602">
        <f t="shared" si="273"/>
        <v>9.9999500000000005E-2</v>
      </c>
      <c r="H246" s="602">
        <f t="shared" si="273"/>
        <v>0.85000000000000009</v>
      </c>
      <c r="J246" s="1290"/>
      <c r="K246" s="602">
        <v>9</v>
      </c>
      <c r="L246" s="602">
        <f t="shared" ref="L246:Q246" si="274">P92</f>
        <v>0.5</v>
      </c>
      <c r="M246" s="602">
        <f t="shared" si="274"/>
        <v>2E-3</v>
      </c>
      <c r="N246" s="602">
        <f t="shared" si="274"/>
        <v>4.0000000000000001E-3</v>
      </c>
      <c r="O246" s="602">
        <f t="shared" si="274"/>
        <v>9.9999999999999995E-7</v>
      </c>
      <c r="P246" s="602">
        <f t="shared" si="274"/>
        <v>1.9995E-3</v>
      </c>
      <c r="Q246" s="602">
        <f t="shared" si="274"/>
        <v>6.0000000000000001E-3</v>
      </c>
    </row>
    <row r="247" spans="1:17">
      <c r="A247" s="1290"/>
      <c r="B247" s="602">
        <v>10</v>
      </c>
      <c r="C247" s="602">
        <f>B117</f>
        <v>50</v>
      </c>
      <c r="D247" s="602">
        <f t="shared" ref="D247:F247" si="275">C117</f>
        <v>0.4</v>
      </c>
      <c r="E247" s="602" t="str">
        <f t="shared" si="275"/>
        <v>-</v>
      </c>
      <c r="F247" s="602">
        <f t="shared" si="275"/>
        <v>0</v>
      </c>
      <c r="G247" s="602">
        <f>F117</f>
        <v>0</v>
      </c>
      <c r="H247" s="602" t="str">
        <f>G117</f>
        <v>-</v>
      </c>
      <c r="J247" s="1290"/>
      <c r="K247" s="602">
        <v>10</v>
      </c>
      <c r="L247" s="602">
        <f t="shared" ref="L247:Q247" si="276">B123</f>
        <v>1</v>
      </c>
      <c r="M247" s="602">
        <f t="shared" si="276"/>
        <v>-8.0000000000000002E-3</v>
      </c>
      <c r="N247" s="602" t="str">
        <f t="shared" si="276"/>
        <v>-</v>
      </c>
      <c r="O247" s="602">
        <f t="shared" si="276"/>
        <v>0</v>
      </c>
      <c r="P247" s="602">
        <f t="shared" si="276"/>
        <v>0</v>
      </c>
      <c r="Q247" s="602" t="str">
        <f t="shared" si="276"/>
        <v>-</v>
      </c>
    </row>
    <row r="248" spans="1:17">
      <c r="A248" s="1290"/>
      <c r="B248" s="602">
        <v>11</v>
      </c>
      <c r="C248" s="602">
        <f>I117</f>
        <v>50</v>
      </c>
      <c r="D248" s="602">
        <f t="shared" ref="D248:F248" si="277">J117</f>
        <v>9.9999999999999995E-7</v>
      </c>
      <c r="E248" s="602" t="str">
        <f t="shared" si="277"/>
        <v>-</v>
      </c>
      <c r="F248" s="602">
        <f t="shared" si="277"/>
        <v>0</v>
      </c>
      <c r="G248" s="602">
        <f>M117</f>
        <v>0</v>
      </c>
      <c r="H248" s="602" t="str">
        <f>N117</f>
        <v>-</v>
      </c>
      <c r="J248" s="1290"/>
      <c r="K248" s="602">
        <v>11</v>
      </c>
      <c r="L248" s="602">
        <f t="shared" ref="L248:Q248" si="278">I123</f>
        <v>1</v>
      </c>
      <c r="M248" s="602">
        <f t="shared" si="278"/>
        <v>9.9999999999999995E-7</v>
      </c>
      <c r="N248" s="602" t="str">
        <f t="shared" si="278"/>
        <v>-</v>
      </c>
      <c r="O248" s="602">
        <f t="shared" si="278"/>
        <v>0</v>
      </c>
      <c r="P248" s="602">
        <f t="shared" si="278"/>
        <v>0</v>
      </c>
      <c r="Q248" s="602" t="str">
        <f t="shared" si="278"/>
        <v>-</v>
      </c>
    </row>
    <row r="249" spans="1:17">
      <c r="A249" s="1290"/>
      <c r="B249" s="602">
        <v>12</v>
      </c>
      <c r="C249" s="602">
        <f>P117</f>
        <v>50</v>
      </c>
      <c r="D249" s="602">
        <f t="shared" ref="D249:F249" si="279">Q117</f>
        <v>9.9999999999999995E-7</v>
      </c>
      <c r="E249" s="602" t="str">
        <f t="shared" si="279"/>
        <v>-</v>
      </c>
      <c r="F249" s="602">
        <f t="shared" si="279"/>
        <v>0</v>
      </c>
      <c r="G249" s="602">
        <f>T117</f>
        <v>0</v>
      </c>
      <c r="H249" s="602" t="str">
        <f>U117</f>
        <v>-</v>
      </c>
      <c r="J249" s="1290"/>
      <c r="K249" s="602">
        <v>12</v>
      </c>
      <c r="L249" s="602">
        <f t="shared" ref="L249:Q249" si="280">P123</f>
        <v>1</v>
      </c>
      <c r="M249" s="602">
        <f t="shared" si="280"/>
        <v>9.9999999999999995E-7</v>
      </c>
      <c r="N249" s="602" t="str">
        <f t="shared" si="280"/>
        <v>-</v>
      </c>
      <c r="O249" s="602">
        <f t="shared" si="280"/>
        <v>0</v>
      </c>
      <c r="P249" s="602">
        <f t="shared" si="280"/>
        <v>0</v>
      </c>
      <c r="Q249" s="602" t="str">
        <f t="shared" si="280"/>
        <v>-</v>
      </c>
    </row>
    <row r="250" spans="1:17" s="492" customFormat="1">
      <c r="A250" s="610"/>
      <c r="B250" s="603"/>
      <c r="C250" s="606"/>
      <c r="D250" s="606"/>
      <c r="E250" s="606"/>
      <c r="F250" s="604"/>
      <c r="G250" s="606"/>
      <c r="H250" s="606"/>
      <c r="J250" s="610"/>
      <c r="K250" s="603"/>
      <c r="L250" s="603"/>
      <c r="M250" s="603"/>
      <c r="N250" s="603"/>
      <c r="O250" s="604"/>
      <c r="P250" s="603"/>
      <c r="Q250" s="603"/>
    </row>
    <row r="251" spans="1:17">
      <c r="A251" s="1290" t="s">
        <v>526</v>
      </c>
      <c r="B251" s="602">
        <v>1</v>
      </c>
      <c r="C251" s="602">
        <f t="shared" ref="C251:H251" si="281">B25</f>
        <v>100</v>
      </c>
      <c r="D251" s="602">
        <f t="shared" si="281"/>
        <v>9.9999999999999995E-7</v>
      </c>
      <c r="E251" s="602">
        <f t="shared" si="281"/>
        <v>9.9999999999999995E-7</v>
      </c>
      <c r="F251" s="602">
        <f t="shared" si="281"/>
        <v>0</v>
      </c>
      <c r="G251" s="602">
        <f t="shared" si="281"/>
        <v>0</v>
      </c>
      <c r="H251" s="602">
        <f t="shared" si="281"/>
        <v>0</v>
      </c>
      <c r="J251" s="1290" t="s">
        <v>526</v>
      </c>
      <c r="K251" s="602">
        <v>1</v>
      </c>
      <c r="L251" s="602">
        <f t="shared" ref="L251:Q251" si="282">B31</f>
        <v>2</v>
      </c>
      <c r="M251" s="602">
        <f t="shared" si="282"/>
        <v>7.0000000000000001E-3</v>
      </c>
      <c r="N251" s="602">
        <f t="shared" si="282"/>
        <v>9.9999999999999995E-7</v>
      </c>
      <c r="O251" s="602">
        <f t="shared" si="282"/>
        <v>0</v>
      </c>
      <c r="P251" s="602">
        <f t="shared" si="282"/>
        <v>3.4995E-3</v>
      </c>
      <c r="Q251" s="602">
        <f t="shared" si="282"/>
        <v>2.4E-2</v>
      </c>
    </row>
    <row r="252" spans="1:17">
      <c r="A252" s="1290"/>
      <c r="B252" s="602">
        <v>2</v>
      </c>
      <c r="C252" s="602">
        <f t="shared" ref="C252:H252" si="283">I25</f>
        <v>100</v>
      </c>
      <c r="D252" s="602">
        <f t="shared" si="283"/>
        <v>0.3</v>
      </c>
      <c r="E252" s="602">
        <f t="shared" si="283"/>
        <v>9.9999999999999995E-7</v>
      </c>
      <c r="F252" s="602">
        <f t="shared" si="283"/>
        <v>0</v>
      </c>
      <c r="G252" s="602">
        <f t="shared" si="283"/>
        <v>0.14999950000000001</v>
      </c>
      <c r="H252" s="602">
        <f t="shared" si="283"/>
        <v>0.59</v>
      </c>
      <c r="J252" s="1290"/>
      <c r="K252" s="602">
        <v>2</v>
      </c>
      <c r="L252" s="602">
        <f t="shared" ref="L252:Q252" si="284">I31</f>
        <v>2</v>
      </c>
      <c r="M252" s="602">
        <f t="shared" si="284"/>
        <v>9.9999999999999995E-7</v>
      </c>
      <c r="N252" s="602">
        <f t="shared" si="284"/>
        <v>9.9999999999999995E-7</v>
      </c>
      <c r="O252" s="602">
        <f t="shared" si="284"/>
        <v>0</v>
      </c>
      <c r="P252" s="602">
        <f t="shared" si="284"/>
        <v>0</v>
      </c>
      <c r="Q252" s="602">
        <f t="shared" si="284"/>
        <v>0</v>
      </c>
    </row>
    <row r="253" spans="1:17">
      <c r="A253" s="1290"/>
      <c r="B253" s="602">
        <v>3</v>
      </c>
      <c r="C253" s="602">
        <f t="shared" ref="C253:H253" si="285">P25</f>
        <v>50</v>
      </c>
      <c r="D253" s="602">
        <f t="shared" si="285"/>
        <v>0.2</v>
      </c>
      <c r="E253" s="602">
        <f t="shared" si="285"/>
        <v>0.1</v>
      </c>
      <c r="F253" s="602">
        <f t="shared" si="285"/>
        <v>1.1000000000000001</v>
      </c>
      <c r="G253" s="602">
        <f t="shared" si="285"/>
        <v>0.5</v>
      </c>
      <c r="H253" s="602">
        <f t="shared" si="285"/>
        <v>0.85000000000000009</v>
      </c>
      <c r="J253" s="1290"/>
      <c r="K253" s="602">
        <v>3</v>
      </c>
      <c r="L253" s="602">
        <f t="shared" ref="L253:Q253" si="286">P31</f>
        <v>2</v>
      </c>
      <c r="M253" s="602">
        <f t="shared" si="286"/>
        <v>1.4E-2</v>
      </c>
      <c r="N253" s="602">
        <f t="shared" si="286"/>
        <v>-8.0000000000000002E-3</v>
      </c>
      <c r="O253" s="602">
        <f t="shared" si="286"/>
        <v>1.4E-2</v>
      </c>
      <c r="P253" s="602">
        <f t="shared" si="286"/>
        <v>1.0999999999999999E-2</v>
      </c>
      <c r="Q253" s="602">
        <f t="shared" si="286"/>
        <v>2.4E-2</v>
      </c>
    </row>
    <row r="254" spans="1:17">
      <c r="A254" s="1290"/>
      <c r="B254" s="602">
        <v>4</v>
      </c>
      <c r="C254" s="602">
        <f t="shared" ref="C254:H254" si="287">B56</f>
        <v>100</v>
      </c>
      <c r="D254" s="602">
        <f t="shared" si="287"/>
        <v>1.4</v>
      </c>
      <c r="E254" s="602">
        <f t="shared" si="287"/>
        <v>1</v>
      </c>
      <c r="F254" s="602">
        <f t="shared" si="287"/>
        <v>0</v>
      </c>
      <c r="G254" s="602">
        <f t="shared" si="287"/>
        <v>0.19999999999999996</v>
      </c>
      <c r="H254" s="602">
        <f t="shared" si="287"/>
        <v>1.7000000000000002</v>
      </c>
      <c r="J254" s="1290"/>
      <c r="K254" s="602">
        <v>4</v>
      </c>
      <c r="L254" s="602">
        <f t="shared" ref="L254:Q254" si="288">B62</f>
        <v>2</v>
      </c>
      <c r="M254" s="602">
        <f t="shared" si="288"/>
        <v>-7.0000000000000001E-3</v>
      </c>
      <c r="N254" s="602">
        <f t="shared" si="288"/>
        <v>9.9999999999999995E-7</v>
      </c>
      <c r="O254" s="602">
        <f t="shared" si="288"/>
        <v>0</v>
      </c>
      <c r="P254" s="602">
        <f t="shared" si="288"/>
        <v>3.5005000000000001E-3</v>
      </c>
      <c r="Q254" s="602">
        <f t="shared" si="288"/>
        <v>2.4E-2</v>
      </c>
    </row>
    <row r="255" spans="1:17">
      <c r="A255" s="1290"/>
      <c r="B255" s="602">
        <v>5</v>
      </c>
      <c r="C255" s="602">
        <f t="shared" ref="C255:H255" si="289">I56</f>
        <v>100</v>
      </c>
      <c r="D255" s="602">
        <f t="shared" si="289"/>
        <v>1.5</v>
      </c>
      <c r="E255" s="602">
        <f t="shared" si="289"/>
        <v>0.8</v>
      </c>
      <c r="F255" s="602">
        <f t="shared" si="289"/>
        <v>0</v>
      </c>
      <c r="G255" s="602">
        <f t="shared" si="289"/>
        <v>0.35</v>
      </c>
      <c r="H255" s="602">
        <f t="shared" si="289"/>
        <v>1.7000000000000002</v>
      </c>
      <c r="J255" s="1290"/>
      <c r="K255" s="602">
        <v>5</v>
      </c>
      <c r="L255" s="602">
        <f t="shared" ref="L255:Q255" si="290">I62</f>
        <v>2</v>
      </c>
      <c r="M255" s="602">
        <f t="shared" si="290"/>
        <v>9.0999999999999998E-2</v>
      </c>
      <c r="N255" s="602">
        <f t="shared" si="290"/>
        <v>9.9999999999999995E-7</v>
      </c>
      <c r="O255" s="602">
        <f t="shared" si="290"/>
        <v>0</v>
      </c>
      <c r="P255" s="602">
        <f t="shared" si="290"/>
        <v>4.5499499999999998E-2</v>
      </c>
      <c r="Q255" s="602">
        <f t="shared" si="290"/>
        <v>2.4E-2</v>
      </c>
    </row>
    <row r="256" spans="1:17">
      <c r="A256" s="1290"/>
      <c r="B256" s="602">
        <v>6</v>
      </c>
      <c r="C256" s="602">
        <f t="shared" ref="C256:H256" si="291">P56</f>
        <v>100</v>
      </c>
      <c r="D256" s="602">
        <f t="shared" si="291"/>
        <v>2</v>
      </c>
      <c r="E256" s="602">
        <f t="shared" si="291"/>
        <v>0.6</v>
      </c>
      <c r="F256" s="602">
        <f t="shared" si="291"/>
        <v>0.6</v>
      </c>
      <c r="G256" s="602">
        <f t="shared" si="291"/>
        <v>0.7</v>
      </c>
      <c r="H256" s="602">
        <f t="shared" si="291"/>
        <v>1.7000000000000002</v>
      </c>
      <c r="J256" s="1290"/>
      <c r="K256" s="602">
        <v>6</v>
      </c>
      <c r="L256" s="602">
        <f t="shared" ref="L256:Q256" si="292">P62</f>
        <v>2</v>
      </c>
      <c r="M256" s="602">
        <f t="shared" si="292"/>
        <v>-7.0000000000000001E-3</v>
      </c>
      <c r="N256" s="602">
        <f t="shared" si="292"/>
        <v>-7.0000000000000001E-3</v>
      </c>
      <c r="O256" s="602">
        <f t="shared" si="292"/>
        <v>9.9999999999999995E-7</v>
      </c>
      <c r="P256" s="602">
        <f t="shared" si="292"/>
        <v>3.5005000000000001E-3</v>
      </c>
      <c r="Q256" s="602">
        <f t="shared" si="292"/>
        <v>0</v>
      </c>
    </row>
    <row r="257" spans="1:20">
      <c r="A257" s="1290"/>
      <c r="B257" s="602">
        <v>7</v>
      </c>
      <c r="C257" s="602">
        <f t="shared" ref="C257:H257" si="293">B87</f>
        <v>100</v>
      </c>
      <c r="D257" s="602">
        <f t="shared" si="293"/>
        <v>0.8</v>
      </c>
      <c r="E257" s="602">
        <f t="shared" si="293"/>
        <v>0.9</v>
      </c>
      <c r="F257" s="602">
        <f t="shared" si="293"/>
        <v>9.9999999999999995E-7</v>
      </c>
      <c r="G257" s="602">
        <f t="shared" si="293"/>
        <v>0.4499995</v>
      </c>
      <c r="H257" s="602">
        <f t="shared" si="293"/>
        <v>1.7000000000000002</v>
      </c>
      <c r="J257" s="1290"/>
      <c r="K257" s="602">
        <v>7</v>
      </c>
      <c r="L257" s="602">
        <f t="shared" ref="L257:Q257" si="294">B93</f>
        <v>2</v>
      </c>
      <c r="M257" s="602">
        <f t="shared" si="294"/>
        <v>-8.0000000000000002E-3</v>
      </c>
      <c r="N257" s="602">
        <f t="shared" si="294"/>
        <v>-1E-3</v>
      </c>
      <c r="O257" s="602">
        <f t="shared" si="294"/>
        <v>9.9999999999999995E-7</v>
      </c>
      <c r="P257" s="602">
        <f t="shared" si="294"/>
        <v>4.0004999999999997E-3</v>
      </c>
      <c r="Q257" s="602">
        <f t="shared" si="294"/>
        <v>2.4E-2</v>
      </c>
    </row>
    <row r="258" spans="1:20">
      <c r="A258" s="1290"/>
      <c r="B258" s="602">
        <v>8</v>
      </c>
      <c r="C258" s="602">
        <f t="shared" ref="C258:H258" si="295">I87</f>
        <v>100</v>
      </c>
      <c r="D258" s="602">
        <f t="shared" si="295"/>
        <v>0.7</v>
      </c>
      <c r="E258" s="602">
        <f t="shared" si="295"/>
        <v>0.4</v>
      </c>
      <c r="F258" s="602">
        <f t="shared" si="295"/>
        <v>9.9999999999999995E-7</v>
      </c>
      <c r="G258" s="602">
        <f t="shared" si="295"/>
        <v>0.34999949999999996</v>
      </c>
      <c r="H258" s="602">
        <f t="shared" si="295"/>
        <v>1.7000000000000002</v>
      </c>
      <c r="J258" s="1290"/>
      <c r="K258" s="602">
        <v>8</v>
      </c>
      <c r="L258" s="602">
        <f t="shared" ref="L258:Q258" si="296">I93</f>
        <v>2</v>
      </c>
      <c r="M258" s="602">
        <f t="shared" si="296"/>
        <v>-6.0000000000000001E-3</v>
      </c>
      <c r="N258" s="602">
        <f t="shared" si="296"/>
        <v>5.0000000000000001E-3</v>
      </c>
      <c r="O258" s="602">
        <f t="shared" si="296"/>
        <v>-1E-3</v>
      </c>
      <c r="P258" s="602">
        <f t="shared" si="296"/>
        <v>5.4999999999999997E-3</v>
      </c>
      <c r="Q258" s="602">
        <f t="shared" si="296"/>
        <v>2.4E-2</v>
      </c>
    </row>
    <row r="259" spans="1:20">
      <c r="A259" s="1290"/>
      <c r="B259" s="602">
        <v>9</v>
      </c>
      <c r="C259" s="602">
        <f t="shared" ref="C259:H259" si="297">P87</f>
        <v>100</v>
      </c>
      <c r="D259" s="602">
        <f t="shared" si="297"/>
        <v>1.1000000000000001</v>
      </c>
      <c r="E259" s="602">
        <f t="shared" si="297"/>
        <v>0.6</v>
      </c>
      <c r="F259" s="602">
        <f t="shared" si="297"/>
        <v>9.9999999999999995E-7</v>
      </c>
      <c r="G259" s="602">
        <f t="shared" si="297"/>
        <v>0.54999950000000009</v>
      </c>
      <c r="H259" s="602">
        <f t="shared" si="297"/>
        <v>1.7000000000000002</v>
      </c>
      <c r="J259" s="1290"/>
      <c r="K259" s="602">
        <v>9</v>
      </c>
      <c r="L259" s="602">
        <f t="shared" ref="L259:Q259" si="298">P93</f>
        <v>1</v>
      </c>
      <c r="M259" s="602">
        <f t="shared" si="298"/>
        <v>-5.0000000000000001E-3</v>
      </c>
      <c r="N259" s="602">
        <f t="shared" si="298"/>
        <v>9.9999999999999995E-7</v>
      </c>
      <c r="O259" s="602">
        <f t="shared" si="298"/>
        <v>-1E-3</v>
      </c>
      <c r="P259" s="602">
        <f t="shared" si="298"/>
        <v>2.5005000000000001E-3</v>
      </c>
      <c r="Q259" s="602">
        <f t="shared" si="298"/>
        <v>1.2E-2</v>
      </c>
    </row>
    <row r="260" spans="1:20">
      <c r="A260" s="1290"/>
      <c r="B260" s="602">
        <v>10</v>
      </c>
      <c r="C260" s="602">
        <f>B118</f>
        <v>100</v>
      </c>
      <c r="D260" s="602">
        <f t="shared" ref="D260:F260" si="299">C118</f>
        <v>1.4</v>
      </c>
      <c r="E260" s="602" t="str">
        <f t="shared" si="299"/>
        <v>-</v>
      </c>
      <c r="F260" s="602">
        <f t="shared" si="299"/>
        <v>0</v>
      </c>
      <c r="G260" s="602">
        <f>F118</f>
        <v>0</v>
      </c>
      <c r="H260" s="602" t="str">
        <f>G118</f>
        <v>-</v>
      </c>
      <c r="J260" s="1290"/>
      <c r="K260" s="602">
        <v>10</v>
      </c>
      <c r="L260" s="602">
        <f t="shared" ref="L260:Q260" si="300">B124</f>
        <v>2</v>
      </c>
      <c r="M260" s="602">
        <f t="shared" si="300"/>
        <v>-7.0000000000000001E-3</v>
      </c>
      <c r="N260" s="602" t="str">
        <f t="shared" si="300"/>
        <v>-</v>
      </c>
      <c r="O260" s="602">
        <f t="shared" si="300"/>
        <v>0</v>
      </c>
      <c r="P260" s="602">
        <f t="shared" si="300"/>
        <v>0</v>
      </c>
      <c r="Q260" s="602" t="str">
        <f t="shared" si="300"/>
        <v>-</v>
      </c>
    </row>
    <row r="261" spans="1:20">
      <c r="A261" s="1290"/>
      <c r="B261" s="602">
        <v>11</v>
      </c>
      <c r="C261" s="602">
        <f>I118</f>
        <v>100</v>
      </c>
      <c r="D261" s="602">
        <f t="shared" ref="D261:F261" si="301">J118</f>
        <v>9.9999999999999995E-7</v>
      </c>
      <c r="E261" s="602" t="str">
        <f t="shared" si="301"/>
        <v>-</v>
      </c>
      <c r="F261" s="602">
        <f t="shared" si="301"/>
        <v>0</v>
      </c>
      <c r="G261" s="602">
        <f>M118</f>
        <v>0</v>
      </c>
      <c r="H261" s="602" t="str">
        <f>N118</f>
        <v>-</v>
      </c>
      <c r="J261" s="1290"/>
      <c r="K261" s="602">
        <v>11</v>
      </c>
      <c r="L261" s="602">
        <f t="shared" ref="L261:Q261" si="302">I124</f>
        <v>2</v>
      </c>
      <c r="M261" s="602">
        <f t="shared" si="302"/>
        <v>9.9999999999999995E-7</v>
      </c>
      <c r="N261" s="602" t="str">
        <f t="shared" si="302"/>
        <v>-</v>
      </c>
      <c r="O261" s="602">
        <f t="shared" si="302"/>
        <v>0</v>
      </c>
      <c r="P261" s="602">
        <f t="shared" si="302"/>
        <v>0</v>
      </c>
      <c r="Q261" s="602" t="str">
        <f t="shared" si="302"/>
        <v>-</v>
      </c>
    </row>
    <row r="262" spans="1:20">
      <c r="A262" s="1290"/>
      <c r="B262" s="602">
        <v>12</v>
      </c>
      <c r="C262" s="602">
        <f>P118</f>
        <v>100</v>
      </c>
      <c r="D262" s="602">
        <f t="shared" ref="D262:F262" si="303">Q118</f>
        <v>9.9999999999999995E-7</v>
      </c>
      <c r="E262" s="602" t="str">
        <f t="shared" si="303"/>
        <v>-</v>
      </c>
      <c r="F262" s="602">
        <f t="shared" si="303"/>
        <v>0</v>
      </c>
      <c r="G262" s="602">
        <f>T118</f>
        <v>0</v>
      </c>
      <c r="H262" s="602" t="str">
        <f>U118</f>
        <v>-</v>
      </c>
      <c r="J262" s="1290"/>
      <c r="K262" s="602">
        <v>12</v>
      </c>
      <c r="L262" s="602">
        <f t="shared" ref="L262:Q262" si="304">P124</f>
        <v>2</v>
      </c>
      <c r="M262" s="602">
        <f t="shared" si="304"/>
        <v>9.9999999999999995E-7</v>
      </c>
      <c r="N262" s="602" t="str">
        <f t="shared" si="304"/>
        <v>-</v>
      </c>
      <c r="O262" s="602">
        <f t="shared" si="304"/>
        <v>0</v>
      </c>
      <c r="P262" s="602">
        <f t="shared" si="304"/>
        <v>0</v>
      </c>
      <c r="Q262" s="602" t="str">
        <f t="shared" si="304"/>
        <v>-</v>
      </c>
    </row>
    <row r="263" spans="1:20" s="492" customFormat="1">
      <c r="A263" s="611"/>
      <c r="B263" s="612"/>
      <c r="C263" s="584"/>
      <c r="D263" s="584"/>
      <c r="E263" s="584"/>
      <c r="F263" s="584"/>
      <c r="G263" s="584"/>
      <c r="H263" s="613"/>
      <c r="I263" s="611"/>
      <c r="J263" s="612"/>
      <c r="K263" s="612"/>
      <c r="L263" s="612"/>
      <c r="M263" s="612"/>
      <c r="N263" s="612"/>
      <c r="O263" s="612"/>
      <c r="P263" s="613"/>
      <c r="Q263" s="613"/>
    </row>
    <row r="264" spans="1:20" ht="13" thickBot="1">
      <c r="A264" s="597"/>
      <c r="B264" s="436"/>
      <c r="C264" s="436"/>
      <c r="D264" s="598"/>
      <c r="E264" s="598"/>
      <c r="F264" s="598"/>
      <c r="G264" s="598"/>
      <c r="H264" s="598"/>
      <c r="P264" s="598"/>
      <c r="Q264" s="598"/>
    </row>
    <row r="265" spans="1:20" ht="43.5" customHeight="1">
      <c r="A265" s="926">
        <f>A311</f>
        <v>6</v>
      </c>
      <c r="B265" s="1291" t="str">
        <f>A298</f>
        <v>Electrical Safety Analyzer, Merek : Fluke, Model : ESA 615, SN : 3148908</v>
      </c>
      <c r="C265" s="1291"/>
      <c r="D265" s="1291"/>
      <c r="E265" s="1291"/>
      <c r="F265" s="1291"/>
      <c r="H265" s="614" t="s">
        <v>528</v>
      </c>
      <c r="I265" s="614" t="s">
        <v>529</v>
      </c>
      <c r="J265" s="614" t="s">
        <v>530</v>
      </c>
      <c r="K265" s="614" t="s">
        <v>531</v>
      </c>
      <c r="L265" s="615"/>
      <c r="M265" s="1292" t="s">
        <v>532</v>
      </c>
      <c r="N265" s="1295" t="s">
        <v>533</v>
      </c>
      <c r="O265" s="1298" t="s">
        <v>534</v>
      </c>
      <c r="Q265" s="616"/>
      <c r="R265" s="616"/>
      <c r="S265" s="616"/>
      <c r="T265" s="616"/>
    </row>
    <row r="266" spans="1:20" ht="14.5" customHeight="1">
      <c r="A266" s="1300" t="s">
        <v>499</v>
      </c>
      <c r="B266" s="1300"/>
      <c r="C266" s="1300"/>
      <c r="D266" s="1300"/>
      <c r="E266" s="1300"/>
      <c r="F266" s="1300"/>
      <c r="H266" s="617">
        <f>FORECAST(M268,B269:B274,A269:A274)</f>
        <v>8.2464539821882954E-2</v>
      </c>
      <c r="I266" s="617" t="str">
        <f>IFERROR(FORECAST(M269,B285:B288,A285:A288),"-")</f>
        <v>-</v>
      </c>
      <c r="J266" s="617">
        <f>FORECAST(M270,B291:B294,A291:A294)</f>
        <v>-6.8072866730584905E-4</v>
      </c>
      <c r="K266" s="617" t="str">
        <f>IFERROR(FORECAST(M271,B277:B281,A277:A281),"-")</f>
        <v>-</v>
      </c>
      <c r="L266" s="613"/>
      <c r="M266" s="1293"/>
      <c r="N266" s="1296"/>
      <c r="O266" s="1299"/>
      <c r="Q266" s="616"/>
      <c r="R266" s="616"/>
      <c r="S266" s="616"/>
      <c r="T266" s="616"/>
    </row>
    <row r="267" spans="1:20" ht="13.5" thickBot="1">
      <c r="A267" s="1301" t="str">
        <f>B4</f>
        <v>Setting VAC</v>
      </c>
      <c r="B267" s="1301"/>
      <c r="C267" s="1301"/>
      <c r="D267" s="1301"/>
      <c r="E267" s="1301" t="s">
        <v>501</v>
      </c>
      <c r="F267" s="1301" t="s">
        <v>397</v>
      </c>
      <c r="H267" s="616"/>
      <c r="I267" s="616"/>
      <c r="J267" s="616"/>
      <c r="K267" s="616"/>
      <c r="L267" s="613"/>
      <c r="M267" s="1294"/>
      <c r="N267" s="1297"/>
      <c r="O267" s="1299"/>
      <c r="Q267" s="616"/>
      <c r="R267" s="616"/>
      <c r="S267" s="616"/>
      <c r="T267" s="616"/>
    </row>
    <row r="268" spans="1:20" ht="31.5">
      <c r="A268" s="543" t="s">
        <v>502</v>
      </c>
      <c r="B268" s="618">
        <f>VLOOKUP(B265,A299:L310,9,FALSE)</f>
        <v>2023</v>
      </c>
      <c r="C268" s="618">
        <f>VLOOKUP(B265,A299:L310,10,FALSE)</f>
        <v>2022</v>
      </c>
      <c r="D268" s="618">
        <f>VLOOKUP(B265,A299:L310,11,FALSE)</f>
        <v>2019</v>
      </c>
      <c r="E268" s="1301"/>
      <c r="F268" s="1301"/>
      <c r="H268" s="614" t="s">
        <v>535</v>
      </c>
      <c r="I268" s="614" t="s">
        <v>536</v>
      </c>
      <c r="J268" s="616"/>
      <c r="K268" s="616"/>
      <c r="L268" s="613"/>
      <c r="M268" s="619">
        <f>ID!D19</f>
        <v>204.5</v>
      </c>
      <c r="N268" s="620">
        <f>M268+H266</f>
        <v>204.58246453982187</v>
      </c>
      <c r="O268" s="925">
        <f>IF(M268="-","-",IF(M268=M268,N268,))</f>
        <v>204.58246453982187</v>
      </c>
      <c r="P268" s="375" t="str">
        <f>IF(O268="-","",I273)</f>
        <v xml:space="preserve"> ± </v>
      </c>
      <c r="Q268" s="375" t="str">
        <f>IF(O268="-","",J272)</f>
        <v xml:space="preserve"> Volt</v>
      </c>
      <c r="R268" s="375" t="str">
        <f>IF(O268="-","",I272)</f>
        <v>2.0</v>
      </c>
      <c r="S268" s="616"/>
      <c r="T268" s="616"/>
    </row>
    <row r="269" spans="1:20" ht="15.5">
      <c r="A269" s="927">
        <f>VLOOKUP($A265,$B131:$H142,2,(FALSE))</f>
        <v>150</v>
      </c>
      <c r="B269" s="927">
        <f>VLOOKUP($A$265,$B$131:$H$142,3,(FALSE))</f>
        <v>0.14000000000000001</v>
      </c>
      <c r="C269" s="927">
        <f>VLOOKUP($A$265,$B$131:$H$142,4,(FALSE))</f>
        <v>0.15</v>
      </c>
      <c r="D269" s="927">
        <f>VLOOKUP($A$265,$B$131:$H$142,5,(FALSE))</f>
        <v>-0.15</v>
      </c>
      <c r="E269" s="927">
        <f>VLOOKUP($A$265,$B$131:$H$142,6,(FALSE))</f>
        <v>0.15</v>
      </c>
      <c r="F269" s="927">
        <f>VLOOKUP($A$265,$B$131:$H$142,7,(FALSE))</f>
        <v>1.8</v>
      </c>
      <c r="H269" s="621">
        <f>FORECAST(M272,B277:B281,A277:A281)</f>
        <v>4.9984812825949367</v>
      </c>
      <c r="I269" s="621">
        <f>IFERROR(FORECAST(N268,F269:F274,A269:A274),"")</f>
        <v>1.9635952671685566</v>
      </c>
      <c r="J269" s="622"/>
      <c r="K269" s="622"/>
      <c r="L269" s="613"/>
      <c r="M269" s="623" t="str">
        <f>ID!J27</f>
        <v>OL</v>
      </c>
      <c r="N269" s="777" t="str">
        <f>IFERROR(M269+I266,"-")</f>
        <v>-</v>
      </c>
      <c r="O269" s="624" t="str">
        <f>IF(M269="OL","OL",IF(M269="NC","NC",IF(M269="OR","OR",IFERROR(N269,"-"))))</f>
        <v>OL</v>
      </c>
      <c r="Q269" s="598"/>
      <c r="R269" s="625"/>
    </row>
    <row r="270" spans="1:20" ht="13.5" thickBot="1">
      <c r="A270" s="927">
        <f>VLOOKUP($A$265,$B$144:$H$155,2,(FALSE))</f>
        <v>180</v>
      </c>
      <c r="B270" s="927">
        <f>VLOOKUP($A$265,$B$144:$H$155,3,(FALSE))</f>
        <v>0.17</v>
      </c>
      <c r="C270" s="927">
        <f>VLOOKUP($A$265,$B$144:$H$155,4,(FALSE))</f>
        <v>0.17</v>
      </c>
      <c r="D270" s="927">
        <f>VLOOKUP($A$265,$B$144:$H$155,5,(FALSE))</f>
        <v>-0.11</v>
      </c>
      <c r="E270" s="927">
        <f>VLOOKUP($A$265,$B$144:$H$155,6,(FALSE))</f>
        <v>0.14000000000000001</v>
      </c>
      <c r="F270" s="927">
        <f>VLOOKUP($A$265,$B$144:$H$155,7,(FALSE))</f>
        <v>2.16</v>
      </c>
      <c r="H270" s="616"/>
      <c r="I270" s="616"/>
      <c r="J270" s="616"/>
      <c r="K270" s="616"/>
      <c r="L270" s="613"/>
      <c r="M270" s="623">
        <f>ID!J28</f>
        <v>0.1</v>
      </c>
      <c r="N270" s="777">
        <f>M270+J266</f>
        <v>9.9319271332694151E-2</v>
      </c>
      <c r="O270" s="624">
        <f>IF(M270="OL","OL",IF(M270="NC","NC",IF(M270="OR","OR",IFERROR(N270,"-"))))</f>
        <v>9.9319271332694151E-2</v>
      </c>
    </row>
    <row r="271" spans="1:20" ht="13">
      <c r="A271" s="927">
        <f>VLOOKUP($A$265,$B$157:$H$168,2,(FALSE))</f>
        <v>200</v>
      </c>
      <c r="B271" s="927">
        <f>VLOOKUP($A$265,$B$157:$H$168,3,(FALSE))</f>
        <v>0.08</v>
      </c>
      <c r="C271" s="927">
        <f>VLOOKUP($A$265,$B$157:$H$168,4,(FALSE))</f>
        <v>0.1</v>
      </c>
      <c r="D271" s="927">
        <f>VLOOKUP($A$265,$B$157:$H$168,5,(FALSE))</f>
        <v>-0.1</v>
      </c>
      <c r="E271" s="927">
        <f>VLOOKUP($A$265,$B$157:$H$168,6,(FALSE))</f>
        <v>0.1</v>
      </c>
      <c r="F271" s="927">
        <f>VLOOKUP($A$265,$B$157:$H$168,7,(FALSE))</f>
        <v>2.4</v>
      </c>
      <c r="H271" s="1255" t="s">
        <v>468</v>
      </c>
      <c r="I271" s="1256"/>
      <c r="J271" s="1257"/>
      <c r="K271" s="616"/>
      <c r="L271" s="626" t="s">
        <v>537</v>
      </c>
      <c r="M271" s="623" t="str">
        <f>ID!J29</f>
        <v>-</v>
      </c>
      <c r="N271" s="627" t="str">
        <f>IFERROR(M271+K266,"-")</f>
        <v>-</v>
      </c>
      <c r="O271" s="628" t="str">
        <f>IFERROR(N271,"-")</f>
        <v>-</v>
      </c>
      <c r="P271" s="598"/>
    </row>
    <row r="272" spans="1:20" ht="16" thickBot="1">
      <c r="A272" s="927">
        <f>VLOOKUP($A$265,$B$170:$H$181,2,(FALSE))</f>
        <v>220</v>
      </c>
      <c r="B272" s="927">
        <f>VLOOKUP($A$265,$B$170:$H$181,3,(FALSE))</f>
        <v>0.06</v>
      </c>
      <c r="C272" s="927">
        <f>VLOOKUP($A$265,$B$170:$H$181,4,(FALSE))</f>
        <v>7.0000000000000007E-2</v>
      </c>
      <c r="D272" s="927">
        <f>VLOOKUP($A$265,$B$170:$H$181,5,(FALSE))</f>
        <v>-0.13</v>
      </c>
      <c r="E272" s="927">
        <f>VLOOKUP($A$265,$B$170:$H$181,6,(FALSE))</f>
        <v>0.1</v>
      </c>
      <c r="F272" s="927">
        <f>VLOOKUP($A$265,$B$170:$H$181,7,(FALSE))</f>
        <v>2.64</v>
      </c>
      <c r="H272" s="570" t="str">
        <f>TEXT(O268,"0.0")</f>
        <v>204.6</v>
      </c>
      <c r="I272" s="568" t="str">
        <f>TEXT(I269,"0.0")</f>
        <v>2.0</v>
      </c>
      <c r="J272" s="569" t="s">
        <v>538</v>
      </c>
      <c r="K272" s="616"/>
      <c r="L272" s="626" t="s">
        <v>206</v>
      </c>
      <c r="M272" s="629">
        <f>ID!S20</f>
        <v>105</v>
      </c>
      <c r="N272" s="630">
        <f>M272+H269</f>
        <v>109.99848128259494</v>
      </c>
      <c r="O272" s="631">
        <f>IFERROR(N272,"-")</f>
        <v>109.99848128259494</v>
      </c>
    </row>
    <row r="273" spans="1:18" ht="15.75" customHeight="1" thickBot="1">
      <c r="A273" s="927">
        <f>VLOOKUP($A$265,$B$183:$H$194,2,(FALSE))</f>
        <v>230</v>
      </c>
      <c r="B273" s="927">
        <f>VLOOKUP($A$265,$B$183:$H$194,3,(FALSE))</f>
        <v>0.04</v>
      </c>
      <c r="C273" s="927">
        <f>VLOOKUP($A$265,$B$183:$H$194,4,(FALSE))</f>
        <v>0.08</v>
      </c>
      <c r="D273" s="927">
        <f>VLOOKUP($A$265,$B$183:$H$194,5,(FALSE))</f>
        <v>-0.15</v>
      </c>
      <c r="E273" s="927">
        <f>VLOOKUP($A$265,$B$183:$H$194,6,(FALSE))</f>
        <v>0.11499999999999999</v>
      </c>
      <c r="F273" s="927">
        <f>VLOOKUP($A$265,$B$183:$H$194,7,(FALSE))</f>
        <v>2.7600000000000002</v>
      </c>
      <c r="H273" s="572" t="s">
        <v>475</v>
      </c>
      <c r="I273" s="573" t="s">
        <v>476</v>
      </c>
      <c r="J273" s="574" t="s">
        <v>477</v>
      </c>
      <c r="K273" s="622"/>
      <c r="L273" s="613"/>
      <c r="M273" s="632"/>
      <c r="N273" s="633"/>
      <c r="O273" s="634"/>
    </row>
    <row r="274" spans="1:18" ht="17.5">
      <c r="A274" s="927">
        <f>VLOOKUP($A$265,$B$196:$H$207,2,(FALSE))</f>
        <v>250</v>
      </c>
      <c r="B274" s="927">
        <f>VLOOKUP($A$265,$B$196:$H$207,3,(FALSE))</f>
        <v>9.9999999999999995E-7</v>
      </c>
      <c r="C274" s="927">
        <f>VLOOKUP($A$265,$B$196:$H$207,4,(FALSE))</f>
        <v>9.9999999999999995E-7</v>
      </c>
      <c r="D274" s="927">
        <f>VLOOKUP($A$265,$B$196:$H$207,5,(FALSE))</f>
        <v>9.9999999999999995E-7</v>
      </c>
      <c r="E274" s="927">
        <f>VLOOKUP($A$265,$B$196:$H$207,6,(FALSE))</f>
        <v>0</v>
      </c>
      <c r="F274" s="927">
        <f>VLOOKUP($A$265,$B$196:$H$207,7,(FALSE))</f>
        <v>0</v>
      </c>
      <c r="H274" s="1312" t="str">
        <f>H273&amp;H272&amp;I273&amp;I272&amp;J273&amp;J272</f>
        <v>( 204.6 ± 2.0 ) Volt</v>
      </c>
      <c r="I274" s="1313"/>
      <c r="J274" s="1314"/>
      <c r="K274" s="616"/>
      <c r="L274" s="613"/>
      <c r="M274" s="632"/>
      <c r="N274" s="633"/>
      <c r="O274" s="634"/>
    </row>
    <row r="275" spans="1:18" ht="13" customHeight="1">
      <c r="A275" s="1289" t="str">
        <f>B12</f>
        <v>Current Leakage</v>
      </c>
      <c r="B275" s="1289"/>
      <c r="C275" s="1289"/>
      <c r="D275" s="1289"/>
      <c r="E275" s="635" t="s">
        <v>501</v>
      </c>
      <c r="F275" s="635" t="s">
        <v>397</v>
      </c>
      <c r="H275" s="616"/>
      <c r="I275" s="616"/>
      <c r="J275" s="616"/>
      <c r="K275" s="616"/>
      <c r="L275" s="613"/>
      <c r="M275" s="632"/>
      <c r="N275" s="633"/>
      <c r="O275" s="634"/>
      <c r="Q275" s="598"/>
    </row>
    <row r="276" spans="1:18" ht="14">
      <c r="A276" s="543" t="s">
        <v>504</v>
      </c>
      <c r="B276" s="618">
        <f>B268</f>
        <v>2023</v>
      </c>
      <c r="C276" s="618">
        <f>C268</f>
        <v>2022</v>
      </c>
      <c r="D276" s="618">
        <f>D268</f>
        <v>2019</v>
      </c>
      <c r="E276" s="635"/>
      <c r="F276" s="635"/>
      <c r="H276" s="616"/>
      <c r="I276" s="616"/>
      <c r="J276" s="616"/>
      <c r="K276" s="616"/>
      <c r="L276" s="613"/>
      <c r="M276" s="632"/>
      <c r="N276" s="633"/>
      <c r="O276" s="634"/>
      <c r="Q276" s="598"/>
    </row>
    <row r="277" spans="1:18" ht="15.75" customHeight="1">
      <c r="A277" s="927">
        <f>VLOOKUP($A$265,$K$131:$Q$142,2,(FALSE))</f>
        <v>0</v>
      </c>
      <c r="B277" s="927">
        <f>VLOOKUP($A$265,$K$131:$Q$142,3,(FALSE))</f>
        <v>9.9999999999999995E-7</v>
      </c>
      <c r="C277" s="927">
        <f>VLOOKUP($A$265,$K$131:$Q$142,4,(FALSE))</f>
        <v>9.9999999999999995E-7</v>
      </c>
      <c r="D277" s="927">
        <f>VLOOKUP($A$265,$K$131:$Q$142,5,(FALSE))</f>
        <v>9.9999999999999995E-7</v>
      </c>
      <c r="E277" s="927">
        <f>VLOOKUP($A$265,$K$131:$Q$142,6,(FALSE))</f>
        <v>0</v>
      </c>
      <c r="F277" s="927">
        <f>VLOOKUP($A$265,$K$131:$Q$142,7,(FALSE))</f>
        <v>0</v>
      </c>
      <c r="H277" s="1315"/>
      <c r="I277" s="1315"/>
      <c r="J277" s="1315"/>
      <c r="K277" s="1315"/>
      <c r="L277" s="613"/>
      <c r="M277" s="636"/>
      <c r="N277" s="636"/>
      <c r="O277" s="637"/>
      <c r="Q277" s="598"/>
      <c r="R277" s="598"/>
    </row>
    <row r="278" spans="1:18">
      <c r="A278" s="927">
        <f>VLOOKUP($A$265,$K$144:$Q$155,2,(FALSE))</f>
        <v>50</v>
      </c>
      <c r="B278" s="927">
        <f>VLOOKUP($A$265,$K$144:$Q$155,3,(FALSE))</f>
        <v>4.5</v>
      </c>
      <c r="C278" s="927">
        <f>VLOOKUP($A$265,$K$144:$Q$155,4,(FALSE))</f>
        <v>19.100000000000001</v>
      </c>
      <c r="D278" s="927">
        <f>VLOOKUP($A$265,$K$144:$Q$155,5,(FALSE))</f>
        <v>0.02</v>
      </c>
      <c r="E278" s="927">
        <f>VLOOKUP($A$265,$K$144:$Q$155,6,(FALSE))</f>
        <v>9.5400000000000009</v>
      </c>
      <c r="F278" s="927">
        <f>VLOOKUP($A$265,$K$144:$Q$155,7,(FALSE))</f>
        <v>0.29499999999999998</v>
      </c>
      <c r="H278" s="616"/>
      <c r="I278" s="616"/>
      <c r="J278" s="616"/>
      <c r="K278" s="616"/>
      <c r="L278" s="613"/>
      <c r="M278" s="638"/>
      <c r="N278" s="638"/>
      <c r="O278" s="634"/>
      <c r="Q278" s="598"/>
      <c r="R278" s="598"/>
    </row>
    <row r="279" spans="1:18">
      <c r="A279" s="927">
        <f>VLOOKUP($A$265,$K$157:$Q$168,2,(FALSE))</f>
        <v>100</v>
      </c>
      <c r="B279" s="927">
        <f>VLOOKUP($A$265,$K$157:$Q$168,3,(FALSE))</f>
        <v>6.2</v>
      </c>
      <c r="C279" s="927">
        <f>VLOOKUP($A$265,$K$157:$Q$168,4,(FALSE))</f>
        <v>18.399999999999999</v>
      </c>
      <c r="D279" s="927">
        <f>VLOOKUP($A$265,$K$157:$Q$168,5,(FALSE))</f>
        <v>0.22</v>
      </c>
      <c r="E279" s="927">
        <f>VLOOKUP($A$265,$K$157:$Q$168,6,(FALSE))</f>
        <v>9.09</v>
      </c>
      <c r="F279" s="927">
        <f>VLOOKUP($A$265,$K$157:$Q$168,7,(FALSE))</f>
        <v>0.59</v>
      </c>
      <c r="H279" s="616"/>
      <c r="I279" s="616"/>
      <c r="J279" s="616"/>
      <c r="K279" s="616"/>
      <c r="L279" s="613"/>
      <c r="M279" s="492"/>
      <c r="N279" s="492"/>
      <c r="O279" s="639"/>
      <c r="Q279" s="598"/>
      <c r="R279" s="598"/>
    </row>
    <row r="280" spans="1:18">
      <c r="A280" s="927">
        <f>VLOOKUP($A$265,$K$170:$Q$181,2,(FALSE))</f>
        <v>200</v>
      </c>
      <c r="B280" s="927">
        <f>VLOOKUP($A$265,$K$170:$Q$181,3,(FALSE))</f>
        <v>9.4</v>
      </c>
      <c r="C280" s="927">
        <f>VLOOKUP($A$265,$K$170:$Q$181,4,(FALSE))</f>
        <v>14.4</v>
      </c>
      <c r="D280" s="927">
        <f>VLOOKUP($A$265,$K$170:$Q$181,5,(FALSE))</f>
        <v>0.8</v>
      </c>
      <c r="E280" s="927">
        <f>VLOOKUP($A$265,$K$170:$Q$181,6,(FALSE))</f>
        <v>6.8</v>
      </c>
      <c r="F280" s="927">
        <f>VLOOKUP($A$265,$K$170:$Q$181,7,(FALSE))</f>
        <v>1.18</v>
      </c>
      <c r="H280" s="616"/>
      <c r="I280" s="616"/>
      <c r="J280" s="616"/>
      <c r="K280" s="616"/>
      <c r="L280" s="613"/>
      <c r="M280" s="492"/>
      <c r="N280" s="492"/>
      <c r="O280" s="639"/>
      <c r="Q280" s="598"/>
      <c r="R280" s="598"/>
    </row>
    <row r="281" spans="1:18" ht="16.5" customHeight="1">
      <c r="A281" s="927">
        <f>VLOOKUP($A$265,$K$183:$Q$194,2,(FALSE))</f>
        <v>500</v>
      </c>
      <c r="B281" s="927">
        <f>VLOOKUP($A$265,$K$183:$Q$194,3,(FALSE))</f>
        <v>10.8</v>
      </c>
      <c r="C281" s="927">
        <f>VLOOKUP($A$265,$K$183:$Q$194,4,(FALSE))</f>
        <v>6.2</v>
      </c>
      <c r="D281" s="927">
        <f>VLOOKUP($A$265,$K$183:$Q$194,5,(FALSE))</f>
        <v>1.1000000000000001</v>
      </c>
      <c r="E281" s="927">
        <f>VLOOKUP($A$265,$K$183:$Q$194,6,(FALSE))</f>
        <v>4.8500000000000005</v>
      </c>
      <c r="F281" s="927">
        <f>VLOOKUP($A$265,$K$183:$Q$194,7,(FALSE))</f>
        <v>2.9499999999999997</v>
      </c>
      <c r="H281" s="1315"/>
      <c r="I281" s="1315"/>
      <c r="J281" s="1315"/>
      <c r="K281" s="1315"/>
      <c r="L281" s="613"/>
      <c r="M281" s="640"/>
      <c r="N281" s="640"/>
      <c r="O281" s="641"/>
      <c r="P281" s="642"/>
      <c r="Q281" s="598"/>
      <c r="R281" s="598"/>
    </row>
    <row r="282" spans="1:18">
      <c r="A282" s="927">
        <f>VLOOKUP($A$265,$K$196:$Q$207,2,(FALSE))</f>
        <v>1000</v>
      </c>
      <c r="B282" s="927">
        <f>VLOOKUP($A$265,$K$196:$Q$207,3,(FALSE))</f>
        <v>-88</v>
      </c>
      <c r="C282" s="927">
        <f>VLOOKUP($A$265,$K$196:$Q$207,4,(FALSE))</f>
        <v>-11</v>
      </c>
      <c r="D282" s="927">
        <f>VLOOKUP($A$265,$K$196:$Q$207,5,(FALSE))</f>
        <v>9.9999999999999995E-7</v>
      </c>
      <c r="E282" s="927">
        <f>VLOOKUP($A$265,$K$196:$Q$207,6,(FALSE))</f>
        <v>44.000000499999999</v>
      </c>
      <c r="F282" s="927">
        <f>VLOOKUP($A$265,$K$196:$Q$207,7,(FALSE))</f>
        <v>5.8999999999999995</v>
      </c>
      <c r="H282" s="616"/>
      <c r="I282" s="616"/>
      <c r="J282" s="616"/>
      <c r="K282" s="616"/>
      <c r="L282" s="613"/>
      <c r="M282" s="616"/>
      <c r="N282" s="616"/>
      <c r="O282" s="643"/>
      <c r="P282" s="644"/>
      <c r="Q282" s="598"/>
      <c r="R282" s="598"/>
    </row>
    <row r="283" spans="1:18" ht="13">
      <c r="A283" s="1289" t="str">
        <f>B20</f>
        <v>Main-PE</v>
      </c>
      <c r="B283" s="1289"/>
      <c r="C283" s="1289"/>
      <c r="D283" s="1289"/>
      <c r="E283" s="635" t="s">
        <v>501</v>
      </c>
      <c r="F283" s="635" t="s">
        <v>397</v>
      </c>
      <c r="H283" s="616"/>
      <c r="I283" s="616"/>
      <c r="J283" s="616"/>
      <c r="K283" s="616"/>
      <c r="L283" s="613"/>
      <c r="M283" s="616"/>
      <c r="N283" s="616"/>
      <c r="O283" s="643"/>
      <c r="P283" s="644"/>
      <c r="Q283" s="598"/>
      <c r="R283" s="598"/>
    </row>
    <row r="284" spans="1:18" ht="14.5">
      <c r="A284" s="543" t="s">
        <v>506</v>
      </c>
      <c r="B284" s="618">
        <f>B276</f>
        <v>2023</v>
      </c>
      <c r="C284" s="618">
        <f>C276</f>
        <v>2022</v>
      </c>
      <c r="D284" s="618">
        <f>D276</f>
        <v>2019</v>
      </c>
      <c r="E284" s="635"/>
      <c r="F284" s="635"/>
      <c r="H284" s="616"/>
      <c r="I284" s="616"/>
      <c r="J284" s="616"/>
      <c r="K284" s="616"/>
      <c r="L284" s="613"/>
      <c r="M284" s="616"/>
      <c r="N284" s="616"/>
      <c r="O284" s="643"/>
      <c r="P284" s="644"/>
      <c r="Q284" s="598"/>
      <c r="R284" s="598"/>
    </row>
    <row r="285" spans="1:18" ht="15.75" customHeight="1">
      <c r="A285" s="927">
        <f>VLOOKUP($A$265,$B$212:$H$223,2,(FALSE))</f>
        <v>10</v>
      </c>
      <c r="B285" s="927">
        <f>VLOOKUP($A$265,$B$212:$H$223,3,(FALSE))</f>
        <v>0</v>
      </c>
      <c r="C285" s="927">
        <f>VLOOKUP($A$265,$B$212:$H$223,4,(FALSE))</f>
        <v>0.1</v>
      </c>
      <c r="D285" s="927">
        <f>VLOOKUP($A$265,$B$212:$H$223,5,(FALSE))</f>
        <v>0.1</v>
      </c>
      <c r="E285" s="927">
        <f>VLOOKUP($A$265,$B$212:$H$223,6,(FALSE))</f>
        <v>0.05</v>
      </c>
      <c r="F285" s="927">
        <f>VLOOKUP($A$265,$B$212:$H$223,7,(FALSE))</f>
        <v>0.17</v>
      </c>
      <c r="H285" s="1305"/>
      <c r="I285" s="1305"/>
      <c r="J285" s="1305"/>
      <c r="K285" s="1305"/>
      <c r="L285" s="492"/>
      <c r="M285" s="492"/>
      <c r="N285" s="492"/>
      <c r="O285" s="639"/>
      <c r="Q285" s="598"/>
      <c r="R285" s="598"/>
    </row>
    <row r="286" spans="1:18">
      <c r="A286" s="927">
        <f>VLOOKUP($A$265,$B$225:$H$236,2,(FALSE))</f>
        <v>20</v>
      </c>
      <c r="B286" s="927">
        <f>VLOOKUP($A$265,$B$225:$H$236,3,(FALSE))</f>
        <v>0.1</v>
      </c>
      <c r="C286" s="927">
        <f>VLOOKUP($A$265,$B$225:$H$236,4,(FALSE))</f>
        <v>0.1</v>
      </c>
      <c r="D286" s="927">
        <f>VLOOKUP($A$265,$B$225:$H$236,5,(FALSE))</f>
        <v>0.1</v>
      </c>
      <c r="E286" s="927">
        <f>VLOOKUP($A$265,$B$225:$H$236,6,(FALSE))</f>
        <v>0</v>
      </c>
      <c r="F286" s="927">
        <f>VLOOKUP($A$265,$B$225:$H$236,7,(FALSE))</f>
        <v>0.34</v>
      </c>
      <c r="H286" s="645"/>
      <c r="I286" s="645"/>
      <c r="J286" s="645"/>
      <c r="K286" s="645"/>
      <c r="L286" s="492"/>
      <c r="M286" s="492"/>
      <c r="N286" s="492"/>
      <c r="O286" s="639"/>
      <c r="Q286" s="598"/>
      <c r="R286" s="598"/>
    </row>
    <row r="287" spans="1:18">
      <c r="A287" s="927">
        <f>VLOOKUP($A$265,$B$238:$H$249,2,(FALSE))</f>
        <v>50</v>
      </c>
      <c r="B287" s="927">
        <f>VLOOKUP($A$265,$B$238:$H$249,3,(FALSE))</f>
        <v>0.1</v>
      </c>
      <c r="C287" s="927">
        <f>VLOOKUP($A$265,$B$238:$H$249,4,(FALSE))</f>
        <v>0.3</v>
      </c>
      <c r="D287" s="927">
        <f>VLOOKUP($A$265,$B$238:$H$249,5,(FALSE))</f>
        <v>0.3</v>
      </c>
      <c r="E287" s="927">
        <f>VLOOKUP($A$265,$B$238:$H$249,6,(FALSE))</f>
        <v>9.9999999999999992E-2</v>
      </c>
      <c r="F287" s="927">
        <f>VLOOKUP($A$265,$B$238:$H$249,7,(FALSE))</f>
        <v>0.85000000000000009</v>
      </c>
      <c r="H287" s="645"/>
      <c r="I287" s="645"/>
      <c r="J287" s="645"/>
      <c r="K287" s="645"/>
      <c r="L287" s="492"/>
      <c r="M287" s="492"/>
      <c r="N287" s="492"/>
      <c r="O287" s="639"/>
      <c r="Q287" s="598"/>
      <c r="R287" s="598"/>
    </row>
    <row r="288" spans="1:18">
      <c r="A288" s="927">
        <f>VLOOKUP($A$265,$B$251:$H$262,2,(FALSE))</f>
        <v>100</v>
      </c>
      <c r="B288" s="927">
        <f>VLOOKUP($A$265,$B$251:$H$262,3,(FALSE))</f>
        <v>2</v>
      </c>
      <c r="C288" s="927">
        <f>VLOOKUP($A$265,$B$251:$H$262,4,(FALSE))</f>
        <v>0.6</v>
      </c>
      <c r="D288" s="927">
        <f>VLOOKUP($A$265,$B$251:$H$262,5,(FALSE))</f>
        <v>0.6</v>
      </c>
      <c r="E288" s="927">
        <f>VLOOKUP($A$265,$B$251:$H$262,6,(FALSE))</f>
        <v>0.7</v>
      </c>
      <c r="F288" s="927">
        <f>VLOOKUP($A$265,$B$251:$H$262,7,(FALSE))</f>
        <v>1.7000000000000002</v>
      </c>
      <c r="H288" s="645"/>
      <c r="I288" s="645"/>
      <c r="J288" s="645"/>
      <c r="K288" s="645"/>
      <c r="L288" s="492"/>
      <c r="M288" s="492"/>
      <c r="N288" s="492"/>
      <c r="O288" s="639"/>
      <c r="Q288" s="598"/>
      <c r="R288" s="598"/>
    </row>
    <row r="289" spans="1:25" ht="15.75" customHeight="1">
      <c r="A289" s="1289" t="str">
        <f>B26</f>
        <v>Resistance</v>
      </c>
      <c r="B289" s="1289"/>
      <c r="C289" s="1289"/>
      <c r="D289" s="1289"/>
      <c r="E289" s="635" t="s">
        <v>501</v>
      </c>
      <c r="F289" s="635" t="s">
        <v>397</v>
      </c>
      <c r="H289" s="1305"/>
      <c r="I289" s="1305"/>
      <c r="J289" s="1305"/>
      <c r="K289" s="1305"/>
      <c r="L289" s="492"/>
      <c r="M289" s="492"/>
      <c r="N289" s="492"/>
      <c r="O289" s="639"/>
      <c r="Q289" s="598"/>
      <c r="R289" s="598"/>
    </row>
    <row r="290" spans="1:25" ht="14.5">
      <c r="A290" s="543" t="s">
        <v>508</v>
      </c>
      <c r="B290" s="618">
        <f>B284</f>
        <v>2023</v>
      </c>
      <c r="C290" s="618">
        <f>C284</f>
        <v>2022</v>
      </c>
      <c r="D290" s="618">
        <f>D284</f>
        <v>2019</v>
      </c>
      <c r="E290" s="635"/>
      <c r="F290" s="635"/>
      <c r="H290" s="645"/>
      <c r="I290" s="645"/>
      <c r="J290" s="645"/>
      <c r="K290" s="645"/>
      <c r="L290" s="492"/>
      <c r="M290" s="492"/>
      <c r="N290" s="492"/>
      <c r="O290" s="639"/>
      <c r="Q290" s="598"/>
      <c r="R290" s="598"/>
    </row>
    <row r="291" spans="1:25">
      <c r="A291" s="927">
        <f>VLOOKUP($A$265,$K$212:$Q$223,2,(FALSE))</f>
        <v>0</v>
      </c>
      <c r="B291" s="927">
        <f>VLOOKUP($A$265,$K$212:$Q$223,3,(FALSE))</f>
        <v>0</v>
      </c>
      <c r="C291" s="927">
        <f>VLOOKUP($A$265,$K$212:$Q$223,4,(FALSE))</f>
        <v>-3.0000000000000001E-3</v>
      </c>
      <c r="D291" s="927">
        <f>VLOOKUP($A$265,$K$212:$Q$223,5,(FALSE))</f>
        <v>9.9999999999999995E-7</v>
      </c>
      <c r="E291" s="927">
        <f>VLOOKUP($A$265,$K$212:$Q$223,6,(FALSE))</f>
        <v>1.5005000000000001E-3</v>
      </c>
      <c r="F291" s="927">
        <f>VLOOKUP($A$265,$K$212:$Q$223,7,(FALSE))</f>
        <v>0</v>
      </c>
      <c r="H291" s="645"/>
      <c r="I291" s="645"/>
      <c r="J291" s="645"/>
      <c r="K291" s="645"/>
      <c r="L291" s="492"/>
      <c r="M291" s="492"/>
      <c r="N291" s="492"/>
      <c r="O291" s="639"/>
      <c r="Q291" s="598"/>
      <c r="R291" s="598"/>
    </row>
    <row r="292" spans="1:25">
      <c r="A292" s="927">
        <f>VLOOKUP($A$265,$K$225:$Q$236,2,(FALSE))</f>
        <v>0.1</v>
      </c>
      <c r="B292" s="927">
        <f>VLOOKUP($A$265,$K$225:$Q$236,3,(FALSE))</f>
        <v>0</v>
      </c>
      <c r="C292" s="927">
        <f>VLOOKUP($A$265,$K$225:$Q$236,4,(FALSE))</f>
        <v>-3.0000000000000001E-3</v>
      </c>
      <c r="D292" s="927">
        <f>VLOOKUP($A$265,$K$225:$Q$236,5,(FALSE))</f>
        <v>-2E-3</v>
      </c>
      <c r="E292" s="927">
        <f>VLOOKUP($A$265,$K$225:$Q$236,6,(FALSE))</f>
        <v>1.5E-3</v>
      </c>
      <c r="F292" s="927">
        <f>VLOOKUP($A$265,$K$225:$Q$236,7,(FALSE))</f>
        <v>1.2000000000000001E-3</v>
      </c>
      <c r="H292" s="645"/>
      <c r="I292" s="645"/>
      <c r="J292" s="645"/>
      <c r="K292" s="645"/>
      <c r="L292" s="492"/>
      <c r="M292" s="492"/>
      <c r="N292" s="492"/>
      <c r="O292" s="639"/>
      <c r="Q292" s="598"/>
      <c r="R292" s="598"/>
    </row>
    <row r="293" spans="1:25" ht="15.75" customHeight="1">
      <c r="A293" s="927">
        <f>VLOOKUP($A$265,$K$238:$Q$249,2,(FALSE))</f>
        <v>1</v>
      </c>
      <c r="B293" s="927">
        <f>VLOOKUP($A$265,$K$238:$Q$249,3,(FALSE))</f>
        <v>-6.0000000000000001E-3</v>
      </c>
      <c r="C293" s="927">
        <f>VLOOKUP($A$265,$K$238:$Q$249,4,(FALSE))</f>
        <v>-7.0000000000000001E-3</v>
      </c>
      <c r="D293" s="927">
        <f>VLOOKUP($A$265,$K$238:$Q$249,5,(FALSE))</f>
        <v>-1E-3</v>
      </c>
      <c r="E293" s="927">
        <f>VLOOKUP($A$265,$K$238:$Q$249,6,(FALSE))</f>
        <v>3.0000000000000001E-3</v>
      </c>
      <c r="F293" s="927">
        <f>VLOOKUP($A$265,$K$238:$Q$249,7,(FALSE))</f>
        <v>1.2E-2</v>
      </c>
      <c r="H293" s="1305"/>
      <c r="I293" s="1305"/>
      <c r="J293" s="1305"/>
      <c r="K293" s="1305"/>
      <c r="L293" s="492"/>
      <c r="M293" s="492"/>
      <c r="N293" s="492"/>
      <c r="O293" s="639"/>
      <c r="Q293" s="598"/>
      <c r="R293" s="598"/>
    </row>
    <row r="294" spans="1:25">
      <c r="A294" s="927">
        <f>VLOOKUP($A$265,$K$251:$Q$262,2,(FALSE))</f>
        <v>2</v>
      </c>
      <c r="B294" s="927">
        <f>VLOOKUP($A$265,$K$251:$Q$262,3,(FALSE))</f>
        <v>-7.0000000000000001E-3</v>
      </c>
      <c r="C294" s="927">
        <f>VLOOKUP($A$265,$K$251:$Q$262,4,(FALSE))</f>
        <v>-7.0000000000000001E-3</v>
      </c>
      <c r="D294" s="927">
        <f>VLOOKUP($A$265,$K$251:$Q$262,5,(FALSE))</f>
        <v>9.9999999999999995E-7</v>
      </c>
      <c r="E294" s="927">
        <f>VLOOKUP($A$265,$K$251:$Q$262,6,(FALSE))</f>
        <v>3.5005000000000001E-3</v>
      </c>
      <c r="F294" s="927">
        <f>VLOOKUP($A$265,$K$251:$Q$262,7,(FALSE))</f>
        <v>0</v>
      </c>
      <c r="H294" s="645"/>
      <c r="I294" s="645"/>
      <c r="J294" s="645"/>
      <c r="K294" s="645"/>
      <c r="L294" s="492"/>
      <c r="M294" s="492"/>
      <c r="N294" s="492"/>
      <c r="O294" s="639"/>
      <c r="Q294" s="598"/>
      <c r="R294" s="598"/>
    </row>
    <row r="297" spans="1:25" ht="13" thickBot="1"/>
    <row r="298" spans="1:25" ht="13">
      <c r="A298" s="1306" t="str">
        <f>ID!B113</f>
        <v>Electrical Safety Analyzer, Merek : Fluke, Model : ESA 615, SN : 3148908</v>
      </c>
      <c r="B298" s="1307"/>
      <c r="C298" s="1307"/>
      <c r="D298" s="1307"/>
      <c r="E298" s="1307"/>
      <c r="F298" s="1307"/>
      <c r="G298" s="1307"/>
      <c r="H298" s="1307"/>
      <c r="I298" s="1307"/>
      <c r="J298" s="1307"/>
      <c r="K298" s="1307"/>
      <c r="L298" s="1308"/>
      <c r="N298" s="1309">
        <f>A311</f>
        <v>6</v>
      </c>
      <c r="O298" s="1310"/>
      <c r="P298" s="1310"/>
      <c r="Q298" s="1310"/>
      <c r="R298" s="1310"/>
      <c r="S298" s="1310"/>
      <c r="T298" s="1310"/>
      <c r="U298" s="1310"/>
      <c r="V298" s="1310"/>
      <c r="W298" s="1310"/>
      <c r="X298" s="1310"/>
      <c r="Y298" s="1311"/>
    </row>
    <row r="299" spans="1:25" ht="14">
      <c r="A299" s="646" t="s">
        <v>539</v>
      </c>
      <c r="B299" s="647"/>
      <c r="C299" s="648"/>
      <c r="D299" s="649"/>
      <c r="E299" s="649"/>
      <c r="F299" s="649"/>
      <c r="G299" s="649"/>
      <c r="H299" s="649"/>
      <c r="I299" s="650">
        <f>C5</f>
        <v>2020</v>
      </c>
      <c r="J299" s="651">
        <f>D5</f>
        <v>2019</v>
      </c>
      <c r="K299" s="651">
        <f>E5</f>
        <v>2016</v>
      </c>
      <c r="L299" s="652">
        <v>1</v>
      </c>
      <c r="N299" s="653">
        <v>1</v>
      </c>
      <c r="O299" s="654" t="s">
        <v>540</v>
      </c>
      <c r="P299" s="655"/>
      <c r="Q299" s="655"/>
      <c r="R299" s="655"/>
      <c r="S299" s="655"/>
      <c r="T299" s="655"/>
      <c r="U299" s="655"/>
      <c r="V299" s="655"/>
      <c r="W299" s="655"/>
      <c r="X299" s="655"/>
      <c r="Y299" s="656"/>
    </row>
    <row r="300" spans="1:25" ht="14">
      <c r="A300" s="646" t="s">
        <v>541</v>
      </c>
      <c r="B300" s="647"/>
      <c r="C300" s="648"/>
      <c r="D300" s="649"/>
      <c r="E300" s="649"/>
      <c r="F300" s="649"/>
      <c r="G300" s="649"/>
      <c r="H300" s="649"/>
      <c r="I300" s="650">
        <f>J5</f>
        <v>2019</v>
      </c>
      <c r="J300" s="651">
        <f>K5</f>
        <v>2017</v>
      </c>
      <c r="K300" s="651">
        <f>L5</f>
        <v>2016</v>
      </c>
      <c r="L300" s="652">
        <v>2</v>
      </c>
      <c r="N300" s="653">
        <v>2</v>
      </c>
      <c r="O300" s="654" t="s">
        <v>540</v>
      </c>
      <c r="P300" s="655"/>
      <c r="Q300" s="655"/>
      <c r="R300" s="655"/>
      <c r="S300" s="655"/>
      <c r="T300" s="655"/>
      <c r="U300" s="655"/>
      <c r="V300" s="655"/>
      <c r="W300" s="655"/>
      <c r="X300" s="655"/>
      <c r="Y300" s="656"/>
    </row>
    <row r="301" spans="1:25" ht="14">
      <c r="A301" s="646" t="s">
        <v>542</v>
      </c>
      <c r="B301" s="647"/>
      <c r="C301" s="648"/>
      <c r="D301" s="649"/>
      <c r="E301" s="649"/>
      <c r="F301" s="649"/>
      <c r="G301" s="649"/>
      <c r="H301" s="649"/>
      <c r="I301" s="650">
        <f>Q5</f>
        <v>2023</v>
      </c>
      <c r="J301" s="651">
        <f>R5</f>
        <v>2022</v>
      </c>
      <c r="K301" s="651">
        <f>S5</f>
        <v>2021</v>
      </c>
      <c r="L301" s="652">
        <v>3</v>
      </c>
      <c r="N301" s="653">
        <v>3</v>
      </c>
      <c r="O301" s="654" t="s">
        <v>540</v>
      </c>
      <c r="P301" s="655"/>
      <c r="Q301" s="655"/>
      <c r="R301" s="655"/>
      <c r="S301" s="655"/>
      <c r="T301" s="655"/>
      <c r="U301" s="655"/>
      <c r="V301" s="655"/>
      <c r="W301" s="655"/>
      <c r="X301" s="655"/>
      <c r="Y301" s="656"/>
    </row>
    <row r="302" spans="1:25" ht="14">
      <c r="A302" s="646" t="s">
        <v>543</v>
      </c>
      <c r="B302" s="647"/>
      <c r="C302" s="648"/>
      <c r="D302" s="649"/>
      <c r="E302" s="649"/>
      <c r="F302" s="649"/>
      <c r="G302" s="649"/>
      <c r="H302" s="649"/>
      <c r="I302" s="650">
        <f>C36</f>
        <v>2021</v>
      </c>
      <c r="J302" s="651">
        <f>D36</f>
        <v>2019</v>
      </c>
      <c r="K302" s="651">
        <f>E36</f>
        <v>2016</v>
      </c>
      <c r="L302" s="652">
        <v>4</v>
      </c>
      <c r="N302" s="653">
        <v>4</v>
      </c>
      <c r="O302" s="654" t="s">
        <v>540</v>
      </c>
      <c r="P302" s="655"/>
      <c r="Q302" s="655"/>
      <c r="R302" s="655"/>
      <c r="S302" s="655"/>
      <c r="T302" s="655"/>
      <c r="U302" s="655"/>
      <c r="V302" s="655"/>
      <c r="W302" s="655"/>
      <c r="X302" s="655"/>
      <c r="Y302" s="656"/>
    </row>
    <row r="303" spans="1:25" ht="14">
      <c r="A303" s="646" t="s">
        <v>544</v>
      </c>
      <c r="B303" s="648"/>
      <c r="C303" s="648"/>
      <c r="D303" s="649"/>
      <c r="E303" s="649"/>
      <c r="F303" s="649"/>
      <c r="G303" s="649"/>
      <c r="H303" s="649"/>
      <c r="I303" s="650">
        <f>J36</f>
        <v>2021</v>
      </c>
      <c r="J303" s="651">
        <f>K36</f>
        <v>2019</v>
      </c>
      <c r="K303" s="651">
        <f>L36</f>
        <v>2016</v>
      </c>
      <c r="L303" s="652">
        <v>5</v>
      </c>
      <c r="N303" s="653">
        <v>5</v>
      </c>
      <c r="O303" s="654" t="s">
        <v>540</v>
      </c>
      <c r="P303" s="655"/>
      <c r="Q303" s="655"/>
      <c r="R303" s="655"/>
      <c r="S303" s="655"/>
      <c r="T303" s="655"/>
      <c r="U303" s="655"/>
      <c r="V303" s="655"/>
      <c r="W303" s="655"/>
      <c r="X303" s="655"/>
      <c r="Y303" s="656"/>
    </row>
    <row r="304" spans="1:25" ht="14">
      <c r="A304" s="646" t="s">
        <v>545</v>
      </c>
      <c r="B304" s="648"/>
      <c r="C304" s="648"/>
      <c r="D304" s="649"/>
      <c r="E304" s="649"/>
      <c r="F304" s="649"/>
      <c r="G304" s="649"/>
      <c r="H304" s="649"/>
      <c r="I304" s="650">
        <f>Q36</f>
        <v>2023</v>
      </c>
      <c r="J304" s="651">
        <f>R36</f>
        <v>2022</v>
      </c>
      <c r="K304" s="651">
        <f>S36</f>
        <v>2019</v>
      </c>
      <c r="L304" s="652">
        <v>6</v>
      </c>
      <c r="N304" s="653">
        <v>6</v>
      </c>
      <c r="O304" s="654" t="s">
        <v>540</v>
      </c>
      <c r="P304" s="655"/>
      <c r="Q304" s="655"/>
      <c r="R304" s="655"/>
      <c r="S304" s="655"/>
      <c r="T304" s="655"/>
      <c r="U304" s="655"/>
      <c r="V304" s="655"/>
      <c r="W304" s="655"/>
      <c r="X304" s="655"/>
      <c r="Y304" s="656"/>
    </row>
    <row r="305" spans="1:25" ht="14">
      <c r="A305" s="646" t="s">
        <v>546</v>
      </c>
      <c r="B305" s="648"/>
      <c r="C305" s="648"/>
      <c r="D305" s="649"/>
      <c r="E305" s="649"/>
      <c r="F305" s="649"/>
      <c r="G305" s="649"/>
      <c r="H305" s="649"/>
      <c r="I305" s="650">
        <f>C67</f>
        <v>2023</v>
      </c>
      <c r="J305" s="651">
        <f>D67</f>
        <v>2022</v>
      </c>
      <c r="K305" s="651">
        <f>E67</f>
        <v>2020</v>
      </c>
      <c r="L305" s="652">
        <v>7</v>
      </c>
      <c r="N305" s="653">
        <v>7</v>
      </c>
      <c r="O305" s="654" t="s">
        <v>540</v>
      </c>
      <c r="P305" s="655"/>
      <c r="Q305" s="655"/>
      <c r="R305" s="655"/>
      <c r="S305" s="655"/>
      <c r="T305" s="655"/>
      <c r="U305" s="655"/>
      <c r="V305" s="655"/>
      <c r="W305" s="655"/>
      <c r="X305" s="655"/>
      <c r="Y305" s="656"/>
    </row>
    <row r="306" spans="1:25" ht="14">
      <c r="A306" s="646" t="s">
        <v>247</v>
      </c>
      <c r="B306" s="648"/>
      <c r="C306" s="648"/>
      <c r="D306" s="649"/>
      <c r="E306" s="649"/>
      <c r="F306" s="649"/>
      <c r="G306" s="649"/>
      <c r="H306" s="649"/>
      <c r="I306" s="657">
        <f>J67</f>
        <v>2023</v>
      </c>
      <c r="J306" s="651">
        <f>K67</f>
        <v>2022</v>
      </c>
      <c r="K306" s="651">
        <f>L67</f>
        <v>2020</v>
      </c>
      <c r="L306" s="652">
        <v>8</v>
      </c>
      <c r="N306" s="653">
        <v>8</v>
      </c>
      <c r="O306" s="654" t="s">
        <v>540</v>
      </c>
      <c r="P306" s="655"/>
      <c r="Q306" s="655"/>
      <c r="R306" s="655"/>
      <c r="S306" s="655"/>
      <c r="T306" s="655"/>
      <c r="U306" s="655"/>
      <c r="V306" s="655"/>
      <c r="W306" s="655"/>
      <c r="X306" s="655"/>
      <c r="Y306" s="656"/>
    </row>
    <row r="307" spans="1:25" ht="14">
      <c r="A307" s="646" t="s">
        <v>547</v>
      </c>
      <c r="B307" s="648"/>
      <c r="C307" s="648"/>
      <c r="D307" s="649"/>
      <c r="E307" s="649"/>
      <c r="F307" s="649"/>
      <c r="G307" s="649"/>
      <c r="H307" s="649"/>
      <c r="I307" s="657">
        <f>Q67</f>
        <v>2023</v>
      </c>
      <c r="J307" s="651">
        <f>R67</f>
        <v>2022</v>
      </c>
      <c r="K307" s="651">
        <f>S67</f>
        <v>2020</v>
      </c>
      <c r="L307" s="652">
        <v>9</v>
      </c>
      <c r="N307" s="653">
        <v>9</v>
      </c>
      <c r="O307" s="654" t="s">
        <v>540</v>
      </c>
      <c r="P307" s="655"/>
      <c r="Q307" s="655"/>
      <c r="R307" s="655"/>
      <c r="S307" s="655"/>
      <c r="T307" s="655"/>
      <c r="U307" s="655"/>
      <c r="V307" s="655"/>
      <c r="W307" s="655"/>
      <c r="X307" s="655"/>
      <c r="Y307" s="656"/>
    </row>
    <row r="308" spans="1:25" ht="14">
      <c r="A308" s="646" t="s">
        <v>548</v>
      </c>
      <c r="B308" s="658"/>
      <c r="C308" s="658"/>
      <c r="D308" s="659"/>
      <c r="E308" s="659"/>
      <c r="F308" s="659"/>
      <c r="G308" s="659"/>
      <c r="H308" s="659"/>
      <c r="I308" s="657">
        <f>C98</f>
        <v>2021</v>
      </c>
      <c r="J308" s="651" t="str">
        <f>D98</f>
        <v>-</v>
      </c>
      <c r="K308" s="651">
        <f>E98</f>
        <v>2016</v>
      </c>
      <c r="L308" s="652">
        <v>10</v>
      </c>
      <c r="N308" s="653">
        <v>10</v>
      </c>
      <c r="O308" s="654" t="s">
        <v>540</v>
      </c>
      <c r="P308" s="660"/>
      <c r="Q308" s="660"/>
      <c r="R308" s="660"/>
      <c r="S308" s="660"/>
      <c r="T308" s="660"/>
      <c r="U308" s="660"/>
      <c r="V308" s="660"/>
      <c r="W308" s="660"/>
      <c r="X308" s="660"/>
      <c r="Y308" s="661"/>
    </row>
    <row r="309" spans="1:25" ht="14">
      <c r="A309" s="646" t="s">
        <v>549</v>
      </c>
      <c r="B309" s="658"/>
      <c r="C309" s="658"/>
      <c r="D309" s="659"/>
      <c r="E309" s="659"/>
      <c r="F309" s="659"/>
      <c r="G309" s="659"/>
      <c r="H309" s="659"/>
      <c r="I309" s="657" t="str">
        <f>J98</f>
        <v>-</v>
      </c>
      <c r="J309" s="651" t="str">
        <f>K98</f>
        <v>-</v>
      </c>
      <c r="K309" s="651">
        <f>L98</f>
        <v>2016</v>
      </c>
      <c r="L309" s="652">
        <v>11</v>
      </c>
      <c r="N309" s="653">
        <v>11</v>
      </c>
      <c r="O309" s="654" t="s">
        <v>540</v>
      </c>
      <c r="P309" s="660"/>
      <c r="Q309" s="660"/>
      <c r="R309" s="660"/>
      <c r="S309" s="660"/>
      <c r="T309" s="660"/>
      <c r="U309" s="660"/>
      <c r="V309" s="660"/>
      <c r="W309" s="660"/>
      <c r="X309" s="660"/>
      <c r="Y309" s="661"/>
    </row>
    <row r="310" spans="1:25" ht="14">
      <c r="A310" s="646" t="s">
        <v>550</v>
      </c>
      <c r="B310" s="658"/>
      <c r="C310" s="658"/>
      <c r="D310" s="659"/>
      <c r="E310" s="659"/>
      <c r="F310" s="659"/>
      <c r="G310" s="659"/>
      <c r="H310" s="659"/>
      <c r="I310" s="657" t="str">
        <f>Q98</f>
        <v>-</v>
      </c>
      <c r="J310" s="651" t="str">
        <f>R98</f>
        <v>-</v>
      </c>
      <c r="K310" s="651">
        <f>S98</f>
        <v>2016</v>
      </c>
      <c r="L310" s="652">
        <v>12</v>
      </c>
      <c r="N310" s="653">
        <v>12</v>
      </c>
      <c r="O310" s="654" t="s">
        <v>540</v>
      </c>
      <c r="P310" s="660"/>
      <c r="Q310" s="660"/>
      <c r="R310" s="660"/>
      <c r="S310" s="660"/>
      <c r="T310" s="660"/>
      <c r="U310" s="660"/>
      <c r="V310" s="660"/>
      <c r="W310" s="660"/>
      <c r="X310" s="660"/>
      <c r="Y310" s="661"/>
    </row>
    <row r="311" spans="1:25" ht="16" thickBot="1">
      <c r="A311" s="1302">
        <f>VLOOKUP(A298,A299:L310,12,(FALSE))</f>
        <v>6</v>
      </c>
      <c r="B311" s="1303"/>
      <c r="C311" s="1303"/>
      <c r="D311" s="1303"/>
      <c r="E311" s="1303"/>
      <c r="F311" s="1303"/>
      <c r="G311" s="1303"/>
      <c r="H311" s="1303"/>
      <c r="I311" s="1303"/>
      <c r="J311" s="1303"/>
      <c r="K311" s="1303"/>
      <c r="L311" s="1304"/>
      <c r="N311" s="662" t="str">
        <f>VLOOKUP(N298,N299:Y310,2,FALSE)</f>
        <v>Hasil pengukuran keselamatan listrik tertelusur ke Satuan SI melalui PT. Kaliman ( LK-032-IDN )</v>
      </c>
      <c r="O311" s="663"/>
      <c r="P311" s="663"/>
      <c r="Q311" s="664"/>
      <c r="R311" s="664"/>
      <c r="S311" s="664"/>
      <c r="T311" s="664"/>
      <c r="U311" s="664"/>
      <c r="V311" s="664"/>
      <c r="W311" s="664"/>
      <c r="X311" s="664"/>
      <c r="Y311" s="665"/>
    </row>
  </sheetData>
  <mergeCells count="240">
    <mergeCell ref="A311:L311"/>
    <mergeCell ref="H285:K285"/>
    <mergeCell ref="A289:D289"/>
    <mergeCell ref="H289:K289"/>
    <mergeCell ref="H293:K293"/>
    <mergeCell ref="A298:L298"/>
    <mergeCell ref="N298:Y298"/>
    <mergeCell ref="H271:J271"/>
    <mergeCell ref="H274:J274"/>
    <mergeCell ref="A275:D275"/>
    <mergeCell ref="H277:K277"/>
    <mergeCell ref="H281:K281"/>
    <mergeCell ref="A283:D283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3A19-339B-4714-B79F-525A5BB3F638}">
  <sheetPr codeName="Sheet10"/>
  <dimension ref="A1:BE67"/>
  <sheetViews>
    <sheetView topLeftCell="A58" workbookViewId="0">
      <selection activeCell="A67" sqref="A67"/>
    </sheetView>
  </sheetViews>
  <sheetFormatPr defaultColWidth="9.1796875" defaultRowHeight="12.5"/>
  <cols>
    <col min="1" max="1" width="95.54296875" customWidth="1"/>
  </cols>
  <sheetData>
    <row r="1" spans="1:15">
      <c r="A1" t="str">
        <f>ID!B111</f>
        <v>Thermocouple Data Logger, Merek : MADGETECH, Model : OctTemp 2000, SN : P41878</v>
      </c>
    </row>
    <row r="4" spans="1:15" ht="15.5">
      <c r="A4" s="21" t="s">
        <v>384</v>
      </c>
      <c r="B4" s="666" t="s">
        <v>168</v>
      </c>
    </row>
    <row r="5" spans="1:15" ht="15.5">
      <c r="A5" s="21" t="s">
        <v>385</v>
      </c>
      <c r="B5" s="666" t="s">
        <v>168</v>
      </c>
      <c r="O5" s="667"/>
    </row>
    <row r="6" spans="1:15" ht="15.5">
      <c r="A6" s="21" t="s">
        <v>93</v>
      </c>
      <c r="B6" s="666" t="s">
        <v>168</v>
      </c>
      <c r="O6" s="598" t="s">
        <v>551</v>
      </c>
    </row>
    <row r="7" spans="1:15" ht="15.5">
      <c r="A7" s="668" t="s">
        <v>404</v>
      </c>
      <c r="B7" s="666" t="s">
        <v>552</v>
      </c>
      <c r="O7" s="598" t="s">
        <v>553</v>
      </c>
    </row>
    <row r="8" spans="1:15" ht="15.5">
      <c r="A8" s="668" t="s">
        <v>405</v>
      </c>
      <c r="B8" s="666" t="s">
        <v>168</v>
      </c>
      <c r="O8" s="598" t="s">
        <v>554</v>
      </c>
    </row>
    <row r="9" spans="1:15" ht="15.5">
      <c r="A9" s="668" t="s">
        <v>406</v>
      </c>
      <c r="B9" s="666" t="s">
        <v>168</v>
      </c>
      <c r="O9" s="598" t="s">
        <v>555</v>
      </c>
    </row>
    <row r="10" spans="1:15" ht="15.5">
      <c r="A10" s="18" t="s">
        <v>638</v>
      </c>
      <c r="B10" s="666" t="s">
        <v>552</v>
      </c>
      <c r="O10" s="598" t="s">
        <v>556</v>
      </c>
    </row>
    <row r="11" spans="1:15" ht="15.5">
      <c r="A11" s="18" t="s">
        <v>639</v>
      </c>
      <c r="B11" s="666" t="s">
        <v>552</v>
      </c>
      <c r="O11" s="598" t="s">
        <v>557</v>
      </c>
    </row>
    <row r="12" spans="1:15" ht="15.5">
      <c r="A12" s="18" t="s">
        <v>640</v>
      </c>
      <c r="B12" s="666" t="s">
        <v>552</v>
      </c>
      <c r="O12" s="598" t="s">
        <v>558</v>
      </c>
    </row>
    <row r="13" spans="1:15" ht="15.5">
      <c r="A13" s="18" t="s">
        <v>641</v>
      </c>
      <c r="B13" s="666" t="s">
        <v>552</v>
      </c>
      <c r="O13" s="598" t="s">
        <v>559</v>
      </c>
    </row>
    <row r="14" spans="1:15" ht="15.5">
      <c r="A14" s="18" t="s">
        <v>642</v>
      </c>
      <c r="B14" s="666" t="s">
        <v>552</v>
      </c>
      <c r="O14" s="598" t="s">
        <v>560</v>
      </c>
    </row>
    <row r="15" spans="1:15" ht="15.5">
      <c r="A15" s="18" t="s">
        <v>643</v>
      </c>
      <c r="B15" s="666" t="s">
        <v>168</v>
      </c>
      <c r="O15" s="598" t="s">
        <v>561</v>
      </c>
    </row>
    <row r="16" spans="1:15" ht="15.5">
      <c r="A16" s="18" t="s">
        <v>644</v>
      </c>
      <c r="B16" s="666" t="s">
        <v>552</v>
      </c>
      <c r="O16" s="598" t="s">
        <v>562</v>
      </c>
    </row>
    <row r="17" spans="1:15" ht="15.5">
      <c r="A17" s="18" t="s">
        <v>645</v>
      </c>
      <c r="B17" s="666" t="s">
        <v>168</v>
      </c>
      <c r="O17" s="598" t="s">
        <v>563</v>
      </c>
    </row>
    <row r="18" spans="1:15" ht="15.5">
      <c r="A18" s="18" t="s">
        <v>646</v>
      </c>
      <c r="B18" s="666" t="s">
        <v>552</v>
      </c>
      <c r="O18" s="598" t="s">
        <v>564</v>
      </c>
    </row>
    <row r="19" spans="1:15" ht="15.5">
      <c r="A19" s="18" t="str">
        <f>A58</f>
        <v>Wireless Temperature Recorder, Merek : HIOKI, Model : LR 8510, SN : 200821396</v>
      </c>
      <c r="B19" s="666" t="s">
        <v>552</v>
      </c>
      <c r="O19" s="598" t="s">
        <v>565</v>
      </c>
    </row>
    <row r="20" spans="1:15" s="780" customFormat="1" ht="15.5">
      <c r="A20" s="778" t="s">
        <v>566</v>
      </c>
      <c r="B20" s="779" t="s">
        <v>168</v>
      </c>
      <c r="O20" s="781" t="s">
        <v>567</v>
      </c>
    </row>
    <row r="21" spans="1:15" s="780" customFormat="1" ht="15.5">
      <c r="A21" s="778" t="s">
        <v>568</v>
      </c>
      <c r="B21" s="779" t="s">
        <v>168</v>
      </c>
      <c r="O21" s="781" t="s">
        <v>569</v>
      </c>
    </row>
    <row r="22" spans="1:15" s="780" customFormat="1" ht="15.5">
      <c r="A22" s="778" t="s">
        <v>246</v>
      </c>
      <c r="B22" s="779" t="s">
        <v>552</v>
      </c>
      <c r="O22" s="781" t="s">
        <v>570</v>
      </c>
    </row>
    <row r="23" spans="1:15" s="780" customFormat="1" ht="15.5">
      <c r="A23" s="778" t="s">
        <v>571</v>
      </c>
      <c r="B23" s="779" t="s">
        <v>168</v>
      </c>
      <c r="O23" s="781" t="s">
        <v>572</v>
      </c>
    </row>
    <row r="24" spans="1:15" s="780" customFormat="1" ht="15.5">
      <c r="A24" s="778" t="s">
        <v>573</v>
      </c>
      <c r="B24" s="779" t="s">
        <v>168</v>
      </c>
      <c r="O24" s="781" t="s">
        <v>574</v>
      </c>
    </row>
    <row r="25" spans="1:15">
      <c r="B25" s="2"/>
      <c r="O25" s="598" t="s">
        <v>575</v>
      </c>
    </row>
    <row r="26" spans="1:15">
      <c r="O26" s="598" t="s">
        <v>576</v>
      </c>
    </row>
    <row r="27" spans="1:15">
      <c r="O27" s="598" t="s">
        <v>577</v>
      </c>
    </row>
    <row r="28" spans="1:15">
      <c r="O28" s="598" t="s">
        <v>578</v>
      </c>
    </row>
    <row r="29" spans="1:15">
      <c r="O29" s="598" t="s">
        <v>251</v>
      </c>
    </row>
    <row r="30" spans="1:15">
      <c r="O30" s="598" t="s">
        <v>579</v>
      </c>
    </row>
    <row r="32" spans="1:15">
      <c r="A32" s="669" t="str">
        <f>VLOOKUP(A1,'Data Alat'!A4:B19,2,0)</f>
        <v>Hasil pengujian kinerja suhu tertelusur ke Satuan SI melalui PT. Kaliman ( LK-032-IDN )</v>
      </c>
      <c r="B32" s="1"/>
    </row>
    <row r="33" spans="1:57">
      <c r="B33" s="1"/>
      <c r="E33" s="293" t="str">
        <f ca="1">ID!A2</f>
        <v>Nomor Sertifikat : 30 /</v>
      </c>
      <c r="F33" s="293"/>
      <c r="G33" s="293"/>
    </row>
    <row r="34" spans="1:57">
      <c r="B34" s="1"/>
      <c r="E34" s="293"/>
      <c r="F34" s="293"/>
      <c r="G34" s="293"/>
    </row>
    <row r="35" spans="1:57">
      <c r="B35" s="1"/>
      <c r="E35" s="293" t="s">
        <v>580</v>
      </c>
      <c r="F35" s="293"/>
      <c r="G35" s="293">
        <v>1</v>
      </c>
    </row>
    <row r="36" spans="1:57">
      <c r="B36" s="1"/>
      <c r="E36" s="293" t="s">
        <v>581</v>
      </c>
      <c r="F36" s="293"/>
      <c r="G36" s="293">
        <v>2</v>
      </c>
    </row>
    <row r="37" spans="1:57">
      <c r="B37" s="1"/>
      <c r="E37" s="670"/>
      <c r="F37" s="293"/>
      <c r="G37" s="293"/>
    </row>
    <row r="38" spans="1:57">
      <c r="B38" s="1"/>
    </row>
    <row r="39" spans="1:57">
      <c r="B39" s="1"/>
      <c r="E39" s="670"/>
      <c r="F39" s="293"/>
      <c r="G39" s="293"/>
      <c r="H39" s="293"/>
      <c r="I39" s="293"/>
      <c r="J39" s="293"/>
      <c r="K39" s="293"/>
    </row>
    <row r="40" spans="1:57" ht="15.5">
      <c r="B40" s="1"/>
      <c r="E40" s="292">
        <v>1</v>
      </c>
      <c r="F40" s="62" t="s">
        <v>582</v>
      </c>
      <c r="G40" s="293"/>
      <c r="H40" s="293"/>
      <c r="I40" s="293"/>
      <c r="J40" s="293"/>
      <c r="K40" s="293"/>
    </row>
    <row r="41" spans="1:57" ht="15.5">
      <c r="B41" s="1"/>
      <c r="E41" s="292">
        <v>2</v>
      </c>
      <c r="F41" s="62" t="s">
        <v>583</v>
      </c>
      <c r="G41" s="293"/>
      <c r="H41" s="293"/>
      <c r="I41" s="293"/>
      <c r="J41" s="293"/>
      <c r="K41" s="293"/>
    </row>
    <row r="42" spans="1:57">
      <c r="B42" s="1"/>
      <c r="E42" s="671"/>
      <c r="F42" s="293"/>
      <c r="G42" s="293"/>
      <c r="H42" s="293"/>
      <c r="I42" s="293"/>
      <c r="J42" s="293"/>
      <c r="K42" s="293"/>
    </row>
    <row r="43" spans="1:57">
      <c r="B43" s="1"/>
    </row>
    <row r="46" spans="1:57">
      <c r="A46" t="str">
        <f>ID!B111</f>
        <v>Thermocouple Data Logger, Merek : MADGETECH, Model : OctTemp 2000, SN : P41878</v>
      </c>
    </row>
    <row r="47" spans="1:57">
      <c r="A47" s="672"/>
      <c r="B47" s="672"/>
      <c r="C47" s="672"/>
      <c r="D47" s="672"/>
      <c r="E47" s="672"/>
      <c r="F47" s="672"/>
      <c r="G47" s="672"/>
      <c r="H47" s="672"/>
      <c r="I47" s="672"/>
      <c r="J47" s="672"/>
      <c r="K47" s="672"/>
      <c r="L47" s="672"/>
      <c r="M47" s="672"/>
      <c r="N47" s="672"/>
      <c r="O47" s="672"/>
      <c r="P47" s="672"/>
      <c r="Q47" s="672"/>
      <c r="R47" s="672"/>
      <c r="S47" s="672"/>
      <c r="T47" s="672"/>
      <c r="U47" s="672"/>
      <c r="V47" s="672"/>
      <c r="W47" s="672"/>
      <c r="X47" s="672"/>
      <c r="Y47" s="672"/>
      <c r="Z47" s="672"/>
      <c r="AA47" s="672"/>
      <c r="AB47" s="672"/>
      <c r="AC47" s="672"/>
      <c r="AD47" s="672"/>
      <c r="AE47" s="672"/>
      <c r="AF47" s="672"/>
      <c r="AG47" s="672"/>
      <c r="AH47" s="672"/>
      <c r="AI47" s="672"/>
      <c r="AJ47" s="672"/>
      <c r="AK47" s="672"/>
      <c r="AL47" s="672"/>
      <c r="AM47" s="672"/>
      <c r="AN47" s="672"/>
      <c r="AO47" s="672"/>
      <c r="AP47" s="672"/>
      <c r="AQ47" s="672"/>
      <c r="AR47" s="672"/>
      <c r="AS47" s="672"/>
      <c r="AT47" s="672"/>
      <c r="AU47" s="672"/>
      <c r="AV47" s="672"/>
      <c r="AW47" s="672"/>
      <c r="AX47" s="672"/>
      <c r="AY47" s="672"/>
      <c r="AZ47" s="672"/>
      <c r="BA47" s="672"/>
      <c r="BB47" s="672"/>
      <c r="BC47" s="672"/>
      <c r="BD47" s="672"/>
      <c r="BE47" s="672"/>
    </row>
    <row r="48" spans="1:57">
      <c r="A48" s="672"/>
      <c r="B48" s="672"/>
      <c r="C48" s="672"/>
      <c r="D48" s="672"/>
      <c r="E48" s="672"/>
      <c r="F48" s="672"/>
      <c r="G48" s="672"/>
      <c r="H48" s="672"/>
      <c r="I48" s="672"/>
      <c r="J48" s="672"/>
      <c r="K48" s="672"/>
      <c r="L48" s="672"/>
      <c r="M48" s="672"/>
      <c r="N48" s="672"/>
      <c r="O48" s="672"/>
      <c r="P48" s="672"/>
      <c r="Q48" s="672"/>
      <c r="R48" s="672"/>
      <c r="S48" s="672"/>
      <c r="T48" s="672"/>
      <c r="U48" s="672"/>
      <c r="V48" s="672"/>
      <c r="W48" s="672"/>
      <c r="X48" s="672"/>
      <c r="Y48" s="672"/>
      <c r="Z48" s="672"/>
      <c r="AA48" s="672"/>
      <c r="AB48" s="672"/>
      <c r="AC48" s="672"/>
      <c r="AD48" s="672"/>
      <c r="AE48" s="672"/>
      <c r="AF48" s="672"/>
      <c r="AG48" s="672"/>
      <c r="AH48" s="672"/>
      <c r="AI48" s="672"/>
      <c r="AJ48" s="672"/>
      <c r="AK48" s="672"/>
      <c r="AL48" s="672"/>
      <c r="AM48" s="672"/>
      <c r="AN48" s="672"/>
      <c r="AO48" s="672"/>
      <c r="AP48" s="672"/>
      <c r="AQ48" s="672"/>
      <c r="AR48" s="672"/>
      <c r="AS48" s="672"/>
      <c r="AT48" s="672"/>
      <c r="AU48" s="672"/>
      <c r="AV48" s="672"/>
      <c r="AW48" s="672"/>
      <c r="AX48" s="672"/>
      <c r="AY48" s="672"/>
      <c r="AZ48" s="672"/>
      <c r="BA48" s="672"/>
      <c r="BB48" s="672"/>
      <c r="BC48" s="672"/>
      <c r="BD48" s="672"/>
      <c r="BE48" s="672"/>
    </row>
    <row r="49" spans="1:57" s="368" customFormat="1" ht="15.5">
      <c r="A49" s="18" t="s">
        <v>638</v>
      </c>
      <c r="B49" s="368" t="s">
        <v>584</v>
      </c>
    </row>
    <row r="50" spans="1:57" s="368" customFormat="1" ht="15.5">
      <c r="A50" s="18" t="s">
        <v>639</v>
      </c>
      <c r="B50" s="368" t="s">
        <v>584</v>
      </c>
    </row>
    <row r="51" spans="1:57" s="368" customFormat="1" ht="15.5">
      <c r="A51" s="18" t="s">
        <v>640</v>
      </c>
      <c r="B51" s="368" t="s">
        <v>584</v>
      </c>
    </row>
    <row r="52" spans="1:57" s="368" customFormat="1" ht="15.5">
      <c r="A52" s="18" t="s">
        <v>641</v>
      </c>
      <c r="B52" s="368" t="s">
        <v>584</v>
      </c>
    </row>
    <row r="53" spans="1:57" s="368" customFormat="1" ht="15.5">
      <c r="A53" s="18" t="s">
        <v>642</v>
      </c>
      <c r="B53" s="368" t="s">
        <v>584</v>
      </c>
    </row>
    <row r="54" spans="1:57" s="368" customFormat="1" ht="15.5">
      <c r="A54" s="18" t="s">
        <v>643</v>
      </c>
      <c r="B54" s="368" t="s">
        <v>584</v>
      </c>
    </row>
    <row r="55" spans="1:57" s="368" customFormat="1" ht="15.5">
      <c r="A55" s="18" t="s">
        <v>644</v>
      </c>
      <c r="B55" s="368" t="s">
        <v>584</v>
      </c>
    </row>
    <row r="56" spans="1:57" s="368" customFormat="1" ht="15.5">
      <c r="A56" s="18" t="s">
        <v>645</v>
      </c>
      <c r="B56" s="368" t="s">
        <v>584</v>
      </c>
    </row>
    <row r="57" spans="1:57" s="368" customFormat="1" ht="15.5">
      <c r="A57" s="18" t="s">
        <v>646</v>
      </c>
      <c r="B57" s="368" t="s">
        <v>584</v>
      </c>
    </row>
    <row r="58" spans="1:57" s="368" customFormat="1" ht="15.5">
      <c r="A58" s="18" t="s">
        <v>647</v>
      </c>
      <c r="B58" s="368" t="s">
        <v>584</v>
      </c>
    </row>
    <row r="59" spans="1:57" s="368" customFormat="1" ht="15.5">
      <c r="A59" s="21" t="s">
        <v>384</v>
      </c>
      <c r="B59" s="673" t="s">
        <v>585</v>
      </c>
    </row>
    <row r="60" spans="1:57" s="368" customFormat="1" ht="15.5">
      <c r="A60" s="21" t="s">
        <v>385</v>
      </c>
      <c r="B60" s="673" t="s">
        <v>585</v>
      </c>
    </row>
    <row r="61" spans="1:57" s="368" customFormat="1" ht="15.5">
      <c r="A61" s="21" t="s">
        <v>93</v>
      </c>
      <c r="B61" s="673" t="s">
        <v>585</v>
      </c>
    </row>
    <row r="62" spans="1:57" s="368" customFormat="1" ht="15.5">
      <c r="A62" s="674" t="s">
        <v>404</v>
      </c>
      <c r="B62" s="673" t="s">
        <v>585</v>
      </c>
    </row>
    <row r="63" spans="1:57" s="368" customFormat="1" ht="15.5">
      <c r="A63" s="674" t="s">
        <v>405</v>
      </c>
      <c r="B63" s="673" t="s">
        <v>585</v>
      </c>
    </row>
    <row r="64" spans="1:57" s="368" customFormat="1" ht="15.5">
      <c r="A64" s="674" t="s">
        <v>406</v>
      </c>
      <c r="B64" s="673" t="s">
        <v>585</v>
      </c>
      <c r="C64" s="675"/>
      <c r="D64" s="675"/>
      <c r="E64" s="675"/>
      <c r="F64" s="675"/>
      <c r="G64" s="675"/>
      <c r="H64" s="675"/>
      <c r="I64" s="675"/>
      <c r="J64" s="675"/>
      <c r="K64" s="675"/>
      <c r="L64" s="675"/>
      <c r="M64" s="675"/>
      <c r="N64" s="675"/>
      <c r="O64" s="675"/>
      <c r="P64" s="675"/>
      <c r="Q64" s="675"/>
      <c r="R64" s="675"/>
      <c r="S64" s="675"/>
      <c r="T64" s="675"/>
      <c r="U64" s="675"/>
      <c r="V64" s="675"/>
      <c r="W64" s="675"/>
      <c r="X64" s="675"/>
      <c r="Y64" s="675"/>
      <c r="Z64" s="675"/>
      <c r="AA64" s="675"/>
      <c r="AB64" s="675"/>
      <c r="AC64" s="675"/>
      <c r="AD64" s="675"/>
      <c r="AE64" s="675"/>
      <c r="AF64" s="675"/>
      <c r="AG64" s="675"/>
      <c r="AH64" s="675"/>
      <c r="AI64" s="675"/>
      <c r="AJ64" s="675"/>
      <c r="AK64" s="675"/>
      <c r="AL64" s="675"/>
      <c r="AM64" s="675"/>
      <c r="AN64" s="675"/>
      <c r="AO64" s="675"/>
      <c r="AP64" s="675"/>
      <c r="AQ64" s="675"/>
      <c r="AR64" s="675"/>
      <c r="AS64" s="675"/>
      <c r="AT64" s="675"/>
      <c r="AU64" s="675"/>
      <c r="AV64" s="675"/>
      <c r="AW64" s="675"/>
      <c r="AX64" s="675"/>
      <c r="AY64" s="675"/>
      <c r="AZ64" s="675"/>
      <c r="BA64" s="675"/>
      <c r="BB64" s="675"/>
      <c r="BC64" s="675"/>
      <c r="BD64" s="675"/>
      <c r="BE64" s="675"/>
    </row>
    <row r="65" spans="1:57" s="368" customFormat="1">
      <c r="A65" s="675"/>
      <c r="B65" s="675"/>
      <c r="C65" s="675"/>
      <c r="D65" s="675"/>
      <c r="E65" s="675"/>
      <c r="F65" s="675"/>
      <c r="G65" s="675"/>
      <c r="H65" s="675"/>
      <c r="I65" s="675"/>
      <c r="J65" s="675"/>
      <c r="K65" s="675"/>
      <c r="L65" s="675"/>
      <c r="M65" s="675"/>
      <c r="N65" s="675"/>
      <c r="O65" s="675"/>
      <c r="P65" s="675"/>
      <c r="Q65" s="675"/>
      <c r="R65" s="675"/>
      <c r="S65" s="675"/>
      <c r="T65" s="675"/>
      <c r="U65" s="675"/>
      <c r="V65" s="675"/>
      <c r="W65" s="675"/>
      <c r="X65" s="675"/>
      <c r="Y65" s="675"/>
      <c r="Z65" s="675"/>
      <c r="AA65" s="675"/>
      <c r="AB65" s="675"/>
      <c r="AC65" s="675"/>
      <c r="AD65" s="675"/>
      <c r="AE65" s="675"/>
      <c r="AF65" s="675"/>
      <c r="AG65" s="675"/>
      <c r="AH65" s="675"/>
      <c r="AI65" s="675"/>
      <c r="AJ65" s="675"/>
      <c r="AK65" s="675"/>
      <c r="AL65" s="675"/>
      <c r="AM65" s="675"/>
      <c r="AN65" s="675"/>
      <c r="AO65" s="675"/>
      <c r="AP65" s="675"/>
      <c r="AQ65" s="675"/>
      <c r="AR65" s="675"/>
      <c r="AS65" s="675"/>
      <c r="AT65" s="675"/>
      <c r="AU65" s="675"/>
      <c r="AV65" s="675"/>
      <c r="AW65" s="675"/>
      <c r="AX65" s="675"/>
      <c r="AY65" s="675"/>
      <c r="AZ65" s="675"/>
      <c r="BA65" s="675"/>
      <c r="BB65" s="675"/>
      <c r="BC65" s="675"/>
      <c r="BD65" s="675"/>
      <c r="BE65" s="675"/>
    </row>
    <row r="67" spans="1:57" ht="15.5">
      <c r="A67" s="918" t="str">
        <f>VLOOKUP(A46,A4:B64,2,FALSE)</f>
        <v>Hasil pengujian kinerja suhu tertelusur ke Satuan SI melalui PT. Kaliman ( LK-032-IDN 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100"/>
  <sheetViews>
    <sheetView topLeftCell="A34" workbookViewId="0">
      <selection activeCell="D50" sqref="D50"/>
    </sheetView>
  </sheetViews>
  <sheetFormatPr defaultRowHeight="12.5"/>
  <cols>
    <col min="2" max="2" width="16.81640625" customWidth="1"/>
    <col min="3" max="3" width="39.54296875" customWidth="1"/>
    <col min="4" max="4" width="44" customWidth="1"/>
  </cols>
  <sheetData>
    <row r="2" spans="1:5">
      <c r="A2" s="1011" t="s">
        <v>108</v>
      </c>
      <c r="B2" s="1011" t="s">
        <v>109</v>
      </c>
      <c r="C2" s="1011" t="s">
        <v>110</v>
      </c>
      <c r="D2" s="1011"/>
      <c r="E2" s="1009" t="s">
        <v>111</v>
      </c>
    </row>
    <row r="3" spans="1:5">
      <c r="A3" s="1011"/>
      <c r="B3" s="1011"/>
      <c r="C3" s="280" t="s">
        <v>13</v>
      </c>
      <c r="D3" s="280" t="s">
        <v>14</v>
      </c>
      <c r="E3" s="1010"/>
    </row>
    <row r="4" spans="1:5" ht="25">
      <c r="A4" s="280">
        <v>1</v>
      </c>
      <c r="B4" s="281">
        <v>44225</v>
      </c>
      <c r="C4" s="283" t="s">
        <v>112</v>
      </c>
      <c r="D4" s="283" t="s">
        <v>113</v>
      </c>
      <c r="E4" s="299"/>
    </row>
    <row r="5" spans="1:5" ht="25">
      <c r="A5" s="280"/>
      <c r="B5" s="282"/>
      <c r="C5" s="283" t="s">
        <v>114</v>
      </c>
      <c r="D5" s="283" t="s">
        <v>115</v>
      </c>
      <c r="E5" s="299"/>
    </row>
    <row r="6" spans="1:5">
      <c r="A6" s="280"/>
      <c r="B6" s="282"/>
      <c r="C6" s="280" t="s">
        <v>116</v>
      </c>
      <c r="D6" s="280" t="s">
        <v>117</v>
      </c>
      <c r="E6" s="299"/>
    </row>
    <row r="7" spans="1:5">
      <c r="A7" s="280"/>
      <c r="B7" s="282"/>
      <c r="C7" s="280" t="s">
        <v>118</v>
      </c>
      <c r="D7" s="280" t="s">
        <v>119</v>
      </c>
      <c r="E7" s="299"/>
    </row>
    <row r="8" spans="1:5" ht="62.5">
      <c r="A8" s="280"/>
      <c r="B8" s="282"/>
      <c r="C8" s="283" t="s">
        <v>120</v>
      </c>
      <c r="D8" s="283" t="s">
        <v>121</v>
      </c>
      <c r="E8" s="299"/>
    </row>
    <row r="9" spans="1:5" ht="25">
      <c r="A9" s="280"/>
      <c r="B9" s="282"/>
      <c r="C9" s="188" t="s">
        <v>122</v>
      </c>
      <c r="D9" s="187" t="s">
        <v>123</v>
      </c>
      <c r="E9" s="299"/>
    </row>
    <row r="10" spans="1:5">
      <c r="A10" s="280"/>
      <c r="B10" s="282"/>
      <c r="C10" s="280" t="s">
        <v>124</v>
      </c>
      <c r="D10" s="280" t="s">
        <v>125</v>
      </c>
      <c r="E10" s="299"/>
    </row>
    <row r="11" spans="1:5">
      <c r="A11" s="280"/>
      <c r="B11" s="282"/>
      <c r="C11" s="280" t="s">
        <v>126</v>
      </c>
      <c r="D11" s="284" t="s">
        <v>127</v>
      </c>
      <c r="E11" s="299"/>
    </row>
    <row r="12" spans="1:5">
      <c r="A12" s="280"/>
      <c r="B12" s="282"/>
      <c r="C12" s="280" t="s">
        <v>128</v>
      </c>
      <c r="D12" s="280" t="s">
        <v>129</v>
      </c>
      <c r="E12" s="299"/>
    </row>
    <row r="13" spans="1:5">
      <c r="A13" s="280">
        <v>2</v>
      </c>
      <c r="B13" s="282" t="s">
        <v>130</v>
      </c>
      <c r="C13" s="280" t="s">
        <v>131</v>
      </c>
      <c r="D13" s="280" t="s">
        <v>132</v>
      </c>
      <c r="E13" s="299"/>
    </row>
    <row r="14" spans="1:5">
      <c r="A14" s="280">
        <v>3</v>
      </c>
      <c r="B14" s="282" t="s">
        <v>133</v>
      </c>
      <c r="C14" s="280" t="s">
        <v>134</v>
      </c>
      <c r="D14" s="280" t="s">
        <v>135</v>
      </c>
      <c r="E14" s="299" t="s">
        <v>136</v>
      </c>
    </row>
    <row r="15" spans="1:5">
      <c r="A15" s="280">
        <v>4</v>
      </c>
      <c r="B15" s="282">
        <v>44406</v>
      </c>
      <c r="C15" s="280" t="s">
        <v>137</v>
      </c>
      <c r="D15" s="280" t="s">
        <v>135</v>
      </c>
      <c r="E15" s="299" t="s">
        <v>136</v>
      </c>
    </row>
    <row r="16" spans="1:5" ht="50">
      <c r="A16" s="280">
        <v>5</v>
      </c>
      <c r="B16" s="282" t="s">
        <v>138</v>
      </c>
      <c r="C16" s="283" t="s">
        <v>139</v>
      </c>
      <c r="D16" s="280" t="s">
        <v>140</v>
      </c>
      <c r="E16" s="299" t="s">
        <v>141</v>
      </c>
    </row>
    <row r="17" spans="1:5">
      <c r="A17" s="280">
        <v>6</v>
      </c>
      <c r="B17" s="282" t="s">
        <v>142</v>
      </c>
      <c r="C17" s="280" t="s">
        <v>143</v>
      </c>
      <c r="D17" s="280" t="s">
        <v>144</v>
      </c>
      <c r="E17" s="299" t="s">
        <v>145</v>
      </c>
    </row>
    <row r="18" spans="1:5">
      <c r="A18" s="1011">
        <v>7</v>
      </c>
      <c r="B18" s="1012" t="s">
        <v>146</v>
      </c>
      <c r="C18" s="280" t="s">
        <v>147</v>
      </c>
      <c r="D18" s="280" t="s">
        <v>148</v>
      </c>
      <c r="E18" s="1013" t="s">
        <v>149</v>
      </c>
    </row>
    <row r="19" spans="1:5" ht="37.5">
      <c r="A19" s="1011"/>
      <c r="B19" s="1012"/>
      <c r="C19" s="353" t="s">
        <v>150</v>
      </c>
      <c r="D19" s="353" t="s">
        <v>104</v>
      </c>
      <c r="E19" s="1013"/>
    </row>
    <row r="20" spans="1:5" ht="25">
      <c r="A20" s="292"/>
      <c r="B20" s="299"/>
      <c r="C20" s="745" t="s">
        <v>151</v>
      </c>
      <c r="D20" s="746" t="s">
        <v>152</v>
      </c>
      <c r="E20" s="1013"/>
    </row>
    <row r="21" spans="1:5">
      <c r="A21" s="292"/>
      <c r="B21" s="299"/>
      <c r="C21" s="299"/>
      <c r="D21" s="747" t="s">
        <v>153</v>
      </c>
      <c r="E21" s="299"/>
    </row>
    <row r="22" spans="1:5">
      <c r="A22" s="292"/>
      <c r="B22" s="299"/>
      <c r="C22" s="299"/>
      <c r="D22" s="747" t="s">
        <v>154</v>
      </c>
      <c r="E22" s="299"/>
    </row>
    <row r="23" spans="1:5" ht="13">
      <c r="A23" s="292">
        <v>8</v>
      </c>
      <c r="B23" s="299" t="s">
        <v>155</v>
      </c>
      <c r="C23" s="299" t="s">
        <v>156</v>
      </c>
      <c r="D23" s="748" t="s">
        <v>157</v>
      </c>
      <c r="E23" s="299" t="s">
        <v>158</v>
      </c>
    </row>
    <row r="24" spans="1:5">
      <c r="A24" s="292"/>
      <c r="B24" s="299" t="s">
        <v>155</v>
      </c>
      <c r="C24" s="299"/>
      <c r="D24" s="299" t="s">
        <v>159</v>
      </c>
      <c r="E24" s="299" t="s">
        <v>160</v>
      </c>
    </row>
    <row r="25" spans="1:5">
      <c r="A25" s="292">
        <v>9</v>
      </c>
      <c r="B25" s="747" t="s">
        <v>161</v>
      </c>
      <c r="C25" s="747" t="s">
        <v>156</v>
      </c>
      <c r="D25" s="747" t="s">
        <v>162</v>
      </c>
      <c r="E25" s="747" t="s">
        <v>160</v>
      </c>
    </row>
    <row r="26" spans="1:5" ht="31.5" customHeight="1">
      <c r="A26" s="292">
        <v>10</v>
      </c>
      <c r="B26" s="299" t="s">
        <v>163</v>
      </c>
      <c r="C26" s="299" t="s">
        <v>156</v>
      </c>
      <c r="D26" s="749" t="s">
        <v>164</v>
      </c>
      <c r="E26" s="299" t="s">
        <v>160</v>
      </c>
    </row>
    <row r="27" spans="1:5" ht="24" customHeight="1">
      <c r="A27" s="292"/>
      <c r="B27" s="299" t="s">
        <v>163</v>
      </c>
      <c r="C27" s="299" t="s">
        <v>156</v>
      </c>
      <c r="D27" s="747" t="s">
        <v>165</v>
      </c>
      <c r="E27" s="299" t="s">
        <v>160</v>
      </c>
    </row>
    <row r="28" spans="1:5" ht="42" customHeight="1">
      <c r="A28" s="292">
        <v>11</v>
      </c>
      <c r="B28" s="299" t="s">
        <v>166</v>
      </c>
      <c r="C28" s="750" t="s">
        <v>167</v>
      </c>
      <c r="D28" s="750" t="s">
        <v>168</v>
      </c>
      <c r="E28" s="299" t="s">
        <v>160</v>
      </c>
    </row>
    <row r="29" spans="1:5" ht="94.5" customHeight="1">
      <c r="A29" s="292"/>
      <c r="B29" s="747" t="s">
        <v>166</v>
      </c>
      <c r="C29" s="749" t="s">
        <v>169</v>
      </c>
      <c r="D29" s="751" t="s">
        <v>170</v>
      </c>
      <c r="E29" s="747" t="s">
        <v>160</v>
      </c>
    </row>
    <row r="30" spans="1:5" ht="50.25" customHeight="1">
      <c r="A30" s="292">
        <v>12</v>
      </c>
      <c r="B30" s="299" t="s">
        <v>171</v>
      </c>
      <c r="C30" s="299" t="s">
        <v>156</v>
      </c>
      <c r="D30" s="750" t="s">
        <v>172</v>
      </c>
      <c r="E30" s="299" t="s">
        <v>160</v>
      </c>
    </row>
    <row r="31" spans="1:5" ht="41.25" customHeight="1">
      <c r="A31" s="292">
        <v>13</v>
      </c>
      <c r="B31" s="747" t="s">
        <v>173</v>
      </c>
      <c r="C31" s="749" t="s">
        <v>174</v>
      </c>
      <c r="D31" s="299" t="s">
        <v>175</v>
      </c>
      <c r="E31" s="747" t="s">
        <v>160</v>
      </c>
    </row>
    <row r="32" spans="1:5">
      <c r="A32" s="292">
        <v>14</v>
      </c>
      <c r="B32" s="747" t="s">
        <v>173</v>
      </c>
      <c r="C32" s="758" t="s">
        <v>156</v>
      </c>
      <c r="D32" s="747" t="s">
        <v>176</v>
      </c>
      <c r="E32" s="747" t="s">
        <v>177</v>
      </c>
    </row>
    <row r="33" spans="1:5">
      <c r="A33" s="292">
        <v>15</v>
      </c>
      <c r="B33" s="747" t="s">
        <v>173</v>
      </c>
      <c r="C33" s="759" t="s">
        <v>156</v>
      </c>
      <c r="D33" s="747" t="s">
        <v>178</v>
      </c>
      <c r="E33" s="747" t="s">
        <v>177</v>
      </c>
    </row>
    <row r="34" spans="1:5" s="768" customFormat="1" ht="43.5" customHeight="1">
      <c r="A34" s="765">
        <v>16</v>
      </c>
      <c r="B34" s="766" t="s">
        <v>586</v>
      </c>
      <c r="C34" s="766" t="s">
        <v>156</v>
      </c>
      <c r="D34" s="767" t="s">
        <v>587</v>
      </c>
      <c r="E34" s="766" t="s">
        <v>160</v>
      </c>
    </row>
    <row r="35" spans="1:5" s="768" customFormat="1">
      <c r="A35" s="765">
        <v>17</v>
      </c>
      <c r="B35" s="766" t="s">
        <v>588</v>
      </c>
      <c r="C35" s="766" t="s">
        <v>156</v>
      </c>
      <c r="D35" s="769" t="s">
        <v>589</v>
      </c>
      <c r="E35" s="766" t="s">
        <v>160</v>
      </c>
    </row>
    <row r="36" spans="1:5" s="768" customFormat="1">
      <c r="A36" s="765">
        <v>18</v>
      </c>
      <c r="B36" s="769" t="s">
        <v>591</v>
      </c>
      <c r="C36" s="769" t="s">
        <v>156</v>
      </c>
      <c r="D36" s="769" t="s">
        <v>590</v>
      </c>
      <c r="E36" s="769" t="s">
        <v>160</v>
      </c>
    </row>
    <row r="37" spans="1:5">
      <c r="A37" s="765">
        <v>19</v>
      </c>
      <c r="B37" s="769" t="s">
        <v>591</v>
      </c>
      <c r="C37" s="769" t="s">
        <v>156</v>
      </c>
      <c r="D37" s="769" t="s">
        <v>592</v>
      </c>
      <c r="E37" s="769" t="s">
        <v>160</v>
      </c>
    </row>
    <row r="38" spans="1:5">
      <c r="A38" s="765">
        <v>20</v>
      </c>
      <c r="B38" s="769" t="s">
        <v>591</v>
      </c>
      <c r="C38" s="769" t="s">
        <v>156</v>
      </c>
      <c r="D38" s="769" t="s">
        <v>593</v>
      </c>
      <c r="E38" s="769" t="s">
        <v>160</v>
      </c>
    </row>
    <row r="39" spans="1:5">
      <c r="A39" s="292">
        <v>21</v>
      </c>
      <c r="B39" s="747" t="s">
        <v>595</v>
      </c>
      <c r="C39" s="747" t="s">
        <v>156</v>
      </c>
      <c r="D39" s="747" t="s">
        <v>594</v>
      </c>
      <c r="E39" s="747" t="s">
        <v>158</v>
      </c>
    </row>
    <row r="40" spans="1:5" ht="21.65" customHeight="1">
      <c r="A40" s="292">
        <v>22</v>
      </c>
      <c r="B40" s="747" t="s">
        <v>595</v>
      </c>
      <c r="C40" s="747" t="s">
        <v>156</v>
      </c>
      <c r="D40" s="749" t="s">
        <v>596</v>
      </c>
      <c r="E40" s="747" t="s">
        <v>597</v>
      </c>
    </row>
    <row r="41" spans="1:5">
      <c r="A41" s="1009">
        <v>23</v>
      </c>
      <c r="B41" s="1014" t="s">
        <v>605</v>
      </c>
      <c r="C41" s="1016" t="s">
        <v>156</v>
      </c>
      <c r="D41" s="747" t="s">
        <v>604</v>
      </c>
      <c r="E41" s="299" t="s">
        <v>597</v>
      </c>
    </row>
    <row r="42" spans="1:5">
      <c r="A42" s="1010"/>
      <c r="B42" s="1015"/>
      <c r="C42" s="1015"/>
      <c r="D42" s="299" t="s">
        <v>606</v>
      </c>
      <c r="E42" s="747" t="s">
        <v>597</v>
      </c>
    </row>
    <row r="43" spans="1:5">
      <c r="A43" s="299"/>
      <c r="B43" s="299"/>
      <c r="C43" s="299"/>
      <c r="D43" s="299"/>
      <c r="E43" s="299"/>
    </row>
    <row r="44" spans="1:5">
      <c r="A44" s="299"/>
      <c r="B44" s="299"/>
      <c r="C44" s="299"/>
      <c r="D44" s="299"/>
      <c r="E44" s="299"/>
    </row>
    <row r="45" spans="1:5">
      <c r="A45" s="299"/>
      <c r="B45" s="299"/>
      <c r="C45" s="299"/>
      <c r="D45" s="299"/>
      <c r="E45" s="299"/>
    </row>
    <row r="46" spans="1:5">
      <c r="A46" s="299"/>
      <c r="B46" s="299"/>
      <c r="C46" s="299"/>
      <c r="D46" s="299"/>
      <c r="E46" s="299"/>
    </row>
    <row r="47" spans="1:5">
      <c r="A47" s="299"/>
      <c r="B47" s="299"/>
      <c r="C47" s="299"/>
      <c r="D47" s="299"/>
      <c r="E47" s="299"/>
    </row>
    <row r="48" spans="1:5">
      <c r="A48" s="299"/>
      <c r="B48" s="299"/>
      <c r="C48" s="299"/>
      <c r="D48" s="299"/>
      <c r="E48" s="299"/>
    </row>
    <row r="49" spans="1:5">
      <c r="A49" s="299"/>
      <c r="B49" s="299"/>
      <c r="C49" s="299"/>
      <c r="D49" s="299"/>
      <c r="E49" s="299"/>
    </row>
    <row r="50" spans="1:5">
      <c r="A50" s="299"/>
      <c r="B50" s="299"/>
      <c r="C50" s="299"/>
      <c r="D50" s="299"/>
      <c r="E50" s="299"/>
    </row>
    <row r="100" spans="1:1">
      <c r="A100" s="300" t="s">
        <v>607</v>
      </c>
    </row>
  </sheetData>
  <sheetProtection algorithmName="SHA-512" hashValue="m59L93/gfHqW3egE9lvOGQ721pdombqI53ac9joHyCt/X9BeN4W7OtjH73KwI061iGgTIgqQMngWHg6DCPOh8g==" saltValue="4LlwaKzMoEa93qmPkKgr5g==" spinCount="100000" sheet="1" objects="1" scenarios="1"/>
  <mergeCells count="10">
    <mergeCell ref="E2:E3"/>
    <mergeCell ref="A18:A19"/>
    <mergeCell ref="B18:B19"/>
    <mergeCell ref="E18:E20"/>
    <mergeCell ref="B41:B42"/>
    <mergeCell ref="A41:A42"/>
    <mergeCell ref="C41:C42"/>
    <mergeCell ref="A2:A3"/>
    <mergeCell ref="B2:B3"/>
    <mergeCell ref="C2:D2"/>
  </mergeCells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IU174"/>
  <sheetViews>
    <sheetView showGridLines="0" tabSelected="1" showWhiteSpace="0" view="pageBreakPreview" topLeftCell="A104" zoomScale="64" zoomScaleNormal="100" zoomScaleSheetLayoutView="64" workbookViewId="0">
      <selection activeCell="H121" sqref="H121"/>
    </sheetView>
  </sheetViews>
  <sheetFormatPr defaultColWidth="9" defaultRowHeight="15.5" outlineLevelRow="1"/>
  <cols>
    <col min="1" max="1" width="3.81640625" style="368" customWidth="1"/>
    <col min="2" max="2" width="22.1796875" style="18" customWidth="1"/>
    <col min="3" max="3" width="12.81640625" style="18" customWidth="1"/>
    <col min="4" max="5" width="9.7265625" style="18" customWidth="1"/>
    <col min="6" max="6" width="10.26953125" style="18" customWidth="1"/>
    <col min="7" max="7" width="9.7265625" style="18" customWidth="1"/>
    <col min="8" max="10" width="11.453125" style="18" customWidth="1"/>
    <col min="11" max="13" width="9.7265625" style="18" customWidth="1"/>
    <col min="14" max="16" width="10.7265625" style="18" customWidth="1"/>
    <col min="17" max="17" width="11.26953125" style="18" customWidth="1"/>
    <col min="18" max="18" width="10.26953125" style="18" customWidth="1"/>
    <col min="19" max="19" width="10.7265625" style="18" customWidth="1"/>
    <col min="20" max="20" width="11.453125" style="18" customWidth="1"/>
    <col min="21" max="27" width="9.1796875" style="18" customWidth="1"/>
    <col min="28" max="28" width="11.54296875" style="18" customWidth="1"/>
    <col min="29" max="255" width="9.1796875" style="18" customWidth="1"/>
    <col min="256" max="16384" width="9" style="368"/>
  </cols>
  <sheetData>
    <row r="1" spans="1:255" ht="19.5" customHeight="1">
      <c r="A1" s="1060" t="s">
        <v>179</v>
      </c>
      <c r="B1" s="1060"/>
      <c r="C1" s="1060"/>
      <c r="D1" s="1060"/>
      <c r="E1" s="1060"/>
      <c r="F1" s="1060"/>
      <c r="G1" s="1060"/>
      <c r="H1" s="1060"/>
      <c r="I1" s="1060"/>
      <c r="J1" s="1060"/>
      <c r="K1" s="1060"/>
      <c r="L1" s="1060"/>
      <c r="M1" s="1060"/>
      <c r="N1" s="1060"/>
      <c r="O1" s="1060"/>
      <c r="P1" s="1060"/>
    </row>
    <row r="2" spans="1:255" ht="18.75" customHeight="1">
      <c r="A2" s="1071" t="str">
        <f ca="1">IF('Lembar Penyelia'!H67&gt;=70%,ID!T7,ID!T8)</f>
        <v>Nomor Sertifikat : 30 /</v>
      </c>
      <c r="B2" s="1071"/>
      <c r="C2" s="1071"/>
      <c r="D2" s="1071"/>
      <c r="E2" s="1071"/>
      <c r="F2" s="1071"/>
      <c r="G2" s="1071"/>
      <c r="H2" s="1071"/>
      <c r="I2" s="1066" t="s">
        <v>633</v>
      </c>
      <c r="J2" s="1066"/>
      <c r="K2" s="1066"/>
      <c r="L2" s="1066"/>
      <c r="M2" s="1066"/>
      <c r="N2" s="1066"/>
      <c r="O2" s="1066"/>
      <c r="P2" s="1066"/>
    </row>
    <row r="3" spans="1:255" ht="18.75" customHeight="1">
      <c r="B3" s="234"/>
      <c r="C3" s="234"/>
      <c r="D3" s="234"/>
      <c r="E3" s="234"/>
      <c r="F3" s="234"/>
      <c r="G3" s="234"/>
      <c r="H3" s="234"/>
      <c r="I3" s="234"/>
      <c r="J3" s="234"/>
    </row>
    <row r="4" spans="1:255" ht="15.75" customHeight="1">
      <c r="B4" s="15"/>
      <c r="C4" s="15"/>
      <c r="D4" s="15"/>
      <c r="E4" s="15"/>
      <c r="F4" s="15"/>
      <c r="G4" s="15"/>
      <c r="H4" s="15"/>
      <c r="I4" s="15"/>
      <c r="J4" s="15"/>
    </row>
    <row r="5" spans="1:255" ht="15.75" customHeight="1">
      <c r="A5" s="18" t="s">
        <v>180</v>
      </c>
      <c r="C5" s="11" t="s">
        <v>3</v>
      </c>
      <c r="D5" s="263" t="s">
        <v>181</v>
      </c>
      <c r="E5" s="33"/>
      <c r="F5" s="33"/>
      <c r="G5" s="33"/>
    </row>
    <row r="6" spans="1:255" s="21" customFormat="1" ht="15.75" customHeight="1">
      <c r="A6" s="18" t="s">
        <v>182</v>
      </c>
      <c r="C6" s="11" t="s">
        <v>3</v>
      </c>
      <c r="D6" s="855" t="s">
        <v>183</v>
      </c>
      <c r="E6" s="263"/>
      <c r="F6" s="263"/>
      <c r="G6" s="263"/>
      <c r="N6" s="18"/>
      <c r="S6" s="21" t="str">
        <f>VLOOKUP(R16,S7:T9,2,0)</f>
        <v>Nomor Surat Keterangan : 30 /</v>
      </c>
      <c r="T6" s="18"/>
      <c r="U6" s="18"/>
    </row>
    <row r="7" spans="1:255" ht="15.75" customHeight="1">
      <c r="A7" s="18" t="s">
        <v>184</v>
      </c>
      <c r="C7" s="11" t="s">
        <v>3</v>
      </c>
      <c r="D7" s="856" t="s">
        <v>185</v>
      </c>
      <c r="E7" s="33"/>
      <c r="F7" s="33"/>
      <c r="G7" s="33"/>
      <c r="S7" s="15">
        <v>1</v>
      </c>
      <c r="T7" s="21" t="s">
        <v>631</v>
      </c>
      <c r="U7" s="62" t="s">
        <v>186</v>
      </c>
    </row>
    <row r="8" spans="1:255" ht="15.75" customHeight="1">
      <c r="A8" s="18" t="s">
        <v>6</v>
      </c>
      <c r="C8" s="11" t="s">
        <v>3</v>
      </c>
      <c r="D8" s="896">
        <v>0.1</v>
      </c>
      <c r="E8" s="857" t="s">
        <v>187</v>
      </c>
      <c r="F8" s="33"/>
      <c r="G8" s="33" t="s">
        <v>188</v>
      </c>
      <c r="H8" s="11" t="str">
        <f>IF(D8&gt;=10,"0",IF(D8&lt;1,"0.0","0"))</f>
        <v>0.0</v>
      </c>
      <c r="I8" s="18" t="str">
        <f>TEXT(D8,$H$8)</f>
        <v>0.1</v>
      </c>
      <c r="S8" s="15">
        <v>0</v>
      </c>
      <c r="T8" s="18" t="s">
        <v>632</v>
      </c>
      <c r="U8" s="62" t="s">
        <v>189</v>
      </c>
    </row>
    <row r="9" spans="1:255" ht="15.75" customHeight="1">
      <c r="A9" s="18" t="s">
        <v>8</v>
      </c>
      <c r="C9" s="11" t="s">
        <v>3</v>
      </c>
      <c r="D9" s="18" t="s">
        <v>190</v>
      </c>
      <c r="F9" s="33"/>
      <c r="G9" s="33" t="s">
        <v>191</v>
      </c>
      <c r="H9" s="368"/>
      <c r="I9" s="18" t="str">
        <f>TEXT(L95,$H$8)</f>
        <v>37.0</v>
      </c>
      <c r="S9" s="15">
        <v>2</v>
      </c>
      <c r="T9" s="18" t="s">
        <v>192</v>
      </c>
      <c r="V9" s="368"/>
      <c r="W9" s="368"/>
      <c r="X9" s="368"/>
      <c r="Y9" s="368"/>
      <c r="Z9" s="368"/>
      <c r="AA9" s="368"/>
      <c r="AB9" s="368"/>
      <c r="AC9" s="368"/>
      <c r="AD9" s="368"/>
      <c r="AE9" s="368"/>
      <c r="AF9" s="368"/>
      <c r="AG9" s="368"/>
      <c r="AH9" s="368"/>
      <c r="AI9" s="368"/>
      <c r="AJ9" s="368"/>
      <c r="AK9" s="368"/>
      <c r="AL9" s="368"/>
      <c r="AM9" s="368"/>
      <c r="AN9" s="368"/>
      <c r="AO9" s="368"/>
      <c r="AP9" s="368"/>
      <c r="AQ9" s="368"/>
      <c r="AR9" s="368"/>
      <c r="AS9" s="368"/>
      <c r="AT9" s="368"/>
      <c r="AU9" s="368"/>
      <c r="AV9" s="368"/>
      <c r="AW9" s="368"/>
      <c r="AX9" s="368"/>
      <c r="AY9" s="368"/>
      <c r="AZ9" s="368"/>
      <c r="BA9" s="368"/>
      <c r="BB9" s="368"/>
      <c r="BC9" s="368"/>
      <c r="BD9" s="368"/>
      <c r="BE9" s="368"/>
      <c r="BF9" s="368"/>
      <c r="BG9" s="368"/>
      <c r="BH9" s="368"/>
      <c r="BI9" s="368"/>
      <c r="BJ9" s="368"/>
      <c r="BK9" s="368"/>
      <c r="BL9" s="368"/>
      <c r="BM9" s="368"/>
      <c r="BN9" s="368"/>
      <c r="BO9" s="368"/>
      <c r="BP9" s="368"/>
      <c r="BQ9" s="368"/>
      <c r="BR9" s="368"/>
      <c r="BS9" s="368"/>
      <c r="BT9" s="368"/>
      <c r="BU9" s="368"/>
      <c r="BV9" s="368"/>
      <c r="BW9" s="368"/>
      <c r="BX9" s="368"/>
      <c r="BY9" s="368"/>
      <c r="BZ9" s="368"/>
      <c r="CA9" s="368"/>
      <c r="CB9" s="368"/>
      <c r="CC9" s="368"/>
      <c r="CD9" s="368"/>
      <c r="CE9" s="368"/>
      <c r="CF9" s="368"/>
      <c r="CG9" s="368"/>
      <c r="CH9" s="368"/>
      <c r="CI9" s="368"/>
      <c r="CJ9" s="368"/>
      <c r="CK9" s="368"/>
      <c r="CL9" s="368"/>
      <c r="CM9" s="368"/>
      <c r="CN9" s="368"/>
      <c r="CO9" s="368"/>
      <c r="CP9" s="368"/>
      <c r="CQ9" s="368"/>
      <c r="CR9" s="368"/>
      <c r="CS9" s="368"/>
      <c r="CT9" s="368"/>
      <c r="CU9" s="368"/>
      <c r="CV9" s="368"/>
      <c r="CW9" s="368"/>
      <c r="CX9" s="368"/>
      <c r="CY9" s="368"/>
      <c r="CZ9" s="368"/>
      <c r="DA9" s="368"/>
      <c r="DB9" s="368"/>
      <c r="DC9" s="368"/>
      <c r="DD9" s="368"/>
      <c r="DE9" s="368"/>
      <c r="DF9" s="368"/>
      <c r="DG9" s="368"/>
      <c r="DH9" s="368"/>
      <c r="DI9" s="368"/>
      <c r="DJ9" s="368"/>
      <c r="DK9" s="368"/>
      <c r="DL9" s="368"/>
      <c r="DM9" s="368"/>
      <c r="DN9" s="368"/>
      <c r="DO9" s="368"/>
      <c r="DP9" s="368"/>
      <c r="DQ9" s="368"/>
      <c r="DR9" s="368"/>
      <c r="DS9" s="368"/>
      <c r="DT9" s="368"/>
      <c r="DU9" s="368"/>
      <c r="DV9" s="368"/>
      <c r="DW9" s="368"/>
      <c r="DX9" s="368"/>
      <c r="DY9" s="368"/>
      <c r="DZ9" s="368"/>
      <c r="EA9" s="368"/>
      <c r="EB9" s="368"/>
      <c r="EC9" s="368"/>
      <c r="ED9" s="368"/>
      <c r="EE9" s="368"/>
      <c r="EF9" s="368"/>
      <c r="EG9" s="368"/>
      <c r="EH9" s="368"/>
      <c r="EI9" s="368"/>
      <c r="EJ9" s="368"/>
      <c r="EK9" s="368"/>
      <c r="EL9" s="368"/>
      <c r="EM9" s="368"/>
      <c r="EN9" s="368"/>
      <c r="EO9" s="368"/>
      <c r="EP9" s="368"/>
      <c r="EQ9" s="368"/>
      <c r="ER9" s="368"/>
      <c r="ES9" s="368"/>
      <c r="ET9" s="368"/>
      <c r="EU9" s="368"/>
      <c r="EV9" s="368"/>
      <c r="EW9" s="368"/>
      <c r="EX9" s="368"/>
      <c r="EY9" s="368"/>
      <c r="EZ9" s="368"/>
      <c r="FA9" s="368"/>
      <c r="FB9" s="368"/>
      <c r="FC9" s="368"/>
      <c r="FD9" s="368"/>
      <c r="FE9" s="368"/>
      <c r="FF9" s="368"/>
      <c r="FG9" s="368"/>
      <c r="FH9" s="368"/>
      <c r="FI9" s="368"/>
      <c r="FJ9" s="368"/>
      <c r="FK9" s="368"/>
      <c r="FL9" s="368"/>
      <c r="FM9" s="368"/>
      <c r="FN9" s="368"/>
      <c r="FO9" s="368"/>
      <c r="FP9" s="368"/>
      <c r="FQ9" s="368"/>
      <c r="FR9" s="368"/>
      <c r="FS9" s="368"/>
      <c r="FT9" s="368"/>
      <c r="FU9" s="368"/>
      <c r="FV9" s="368"/>
      <c r="FW9" s="368"/>
      <c r="FX9" s="368"/>
      <c r="FY9" s="368"/>
      <c r="FZ9" s="368"/>
      <c r="GA9" s="368"/>
      <c r="GB9" s="368"/>
      <c r="GC9" s="368"/>
      <c r="GD9" s="368"/>
      <c r="GE9" s="368"/>
      <c r="GF9" s="368"/>
      <c r="GG9" s="368"/>
      <c r="GH9" s="368"/>
      <c r="GI9" s="368"/>
      <c r="GJ9" s="368"/>
      <c r="GK9" s="368"/>
      <c r="GL9" s="368"/>
      <c r="GM9" s="368"/>
      <c r="GN9" s="368"/>
      <c r="GO9" s="368"/>
      <c r="GP9" s="368"/>
      <c r="GQ9" s="368"/>
      <c r="GR9" s="368"/>
      <c r="GS9" s="368"/>
      <c r="GT9" s="368"/>
      <c r="GU9" s="368"/>
      <c r="GV9" s="368"/>
      <c r="GW9" s="368"/>
      <c r="GX9" s="368"/>
      <c r="GY9" s="368"/>
      <c r="GZ9" s="368"/>
      <c r="HA9" s="368"/>
      <c r="HB9" s="368"/>
      <c r="HC9" s="368"/>
      <c r="HD9" s="368"/>
      <c r="HE9" s="368"/>
      <c r="HF9" s="368"/>
      <c r="HG9" s="368"/>
      <c r="HH9" s="368"/>
      <c r="HI9" s="368"/>
      <c r="HJ9" s="368"/>
      <c r="HK9" s="368"/>
      <c r="HL9" s="368"/>
      <c r="HM9" s="368"/>
      <c r="HN9" s="368"/>
      <c r="HO9" s="368"/>
      <c r="HP9" s="368"/>
      <c r="HQ9" s="368"/>
      <c r="HR9" s="368"/>
      <c r="HS9" s="368"/>
      <c r="HT9" s="368"/>
      <c r="HU9" s="368"/>
      <c r="HV9" s="368"/>
      <c r="HW9" s="368"/>
      <c r="HX9" s="368"/>
      <c r="HY9" s="368"/>
      <c r="HZ9" s="368"/>
      <c r="IA9" s="368"/>
      <c r="IB9" s="368"/>
      <c r="IC9" s="368"/>
      <c r="ID9" s="368"/>
      <c r="IE9" s="368"/>
      <c r="IF9" s="368"/>
      <c r="IG9" s="368"/>
      <c r="IH9" s="368"/>
      <c r="II9" s="368"/>
      <c r="IJ9" s="368"/>
      <c r="IK9" s="368"/>
      <c r="IL9" s="368"/>
      <c r="IM9" s="368"/>
      <c r="IN9" s="368"/>
      <c r="IO9" s="368"/>
      <c r="IP9" s="368"/>
      <c r="IQ9" s="368"/>
      <c r="IR9" s="368"/>
      <c r="IS9" s="368"/>
      <c r="IT9" s="368"/>
      <c r="IU9" s="368"/>
    </row>
    <row r="10" spans="1:255" ht="15.75" customHeight="1">
      <c r="A10" s="18" t="s">
        <v>193</v>
      </c>
      <c r="C10" s="11" t="s">
        <v>3</v>
      </c>
      <c r="D10" s="18" t="s">
        <v>194</v>
      </c>
      <c r="F10" s="33"/>
      <c r="G10" s="33" t="s">
        <v>195</v>
      </c>
      <c r="H10" s="11"/>
      <c r="I10" s="18" t="str">
        <f>TEXT(B85,$H$8)</f>
        <v>37.0</v>
      </c>
      <c r="S10" s="15"/>
      <c r="V10" s="368"/>
      <c r="W10" s="368"/>
      <c r="X10" s="368"/>
      <c r="Y10" s="368"/>
      <c r="Z10" s="368"/>
      <c r="AA10" s="368"/>
      <c r="AB10" s="368"/>
      <c r="AC10" s="368"/>
      <c r="AD10" s="368"/>
      <c r="AE10" s="368"/>
      <c r="AF10" s="368"/>
      <c r="AG10" s="368"/>
      <c r="AH10" s="368"/>
      <c r="AI10" s="368"/>
      <c r="AJ10" s="368"/>
      <c r="AK10" s="368"/>
      <c r="AL10" s="368"/>
      <c r="AM10" s="368"/>
      <c r="AN10" s="368"/>
      <c r="AO10" s="368"/>
      <c r="AP10" s="368"/>
      <c r="AQ10" s="368"/>
      <c r="AR10" s="368"/>
      <c r="AS10" s="368"/>
      <c r="AT10" s="368"/>
      <c r="AU10" s="368"/>
      <c r="AV10" s="368"/>
      <c r="AW10" s="368"/>
      <c r="AX10" s="368"/>
      <c r="AY10" s="368"/>
      <c r="AZ10" s="368"/>
      <c r="BA10" s="368"/>
      <c r="BB10" s="368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368"/>
      <c r="BY10" s="368"/>
      <c r="BZ10" s="368"/>
      <c r="CA10" s="368"/>
      <c r="CB10" s="368"/>
      <c r="CC10" s="368"/>
      <c r="CD10" s="368"/>
      <c r="CE10" s="368"/>
      <c r="CF10" s="368"/>
      <c r="CG10" s="368"/>
      <c r="CH10" s="368"/>
      <c r="CI10" s="368"/>
      <c r="CJ10" s="368"/>
      <c r="CK10" s="368"/>
      <c r="CL10" s="368"/>
      <c r="CM10" s="368"/>
      <c r="CN10" s="368"/>
      <c r="CO10" s="368"/>
      <c r="CP10" s="368"/>
      <c r="CQ10" s="368"/>
      <c r="CR10" s="368"/>
      <c r="CS10" s="368"/>
      <c r="CT10" s="368"/>
      <c r="CU10" s="368"/>
      <c r="CV10" s="368"/>
      <c r="CW10" s="368"/>
      <c r="CX10" s="368"/>
      <c r="CY10" s="368"/>
      <c r="CZ10" s="368"/>
      <c r="DA10" s="368"/>
      <c r="DB10" s="368"/>
      <c r="DC10" s="368"/>
      <c r="DD10" s="368"/>
      <c r="DE10" s="368"/>
      <c r="DF10" s="368"/>
      <c r="DG10" s="368"/>
      <c r="DH10" s="368"/>
      <c r="DI10" s="368"/>
      <c r="DJ10" s="368"/>
      <c r="DK10" s="368"/>
      <c r="DL10" s="368"/>
      <c r="DM10" s="368"/>
      <c r="DN10" s="368"/>
      <c r="DO10" s="368"/>
      <c r="DP10" s="368"/>
      <c r="DQ10" s="368"/>
      <c r="DR10" s="368"/>
      <c r="DS10" s="368"/>
      <c r="DT10" s="368"/>
      <c r="DU10" s="368"/>
      <c r="DV10" s="368"/>
      <c r="DW10" s="368"/>
      <c r="DX10" s="368"/>
      <c r="DY10" s="368"/>
      <c r="DZ10" s="368"/>
      <c r="EA10" s="368"/>
      <c r="EB10" s="368"/>
      <c r="EC10" s="368"/>
      <c r="ED10" s="368"/>
      <c r="EE10" s="368"/>
      <c r="EF10" s="368"/>
      <c r="EG10" s="368"/>
      <c r="EH10" s="368"/>
      <c r="EI10" s="368"/>
      <c r="EJ10" s="368"/>
      <c r="EK10" s="368"/>
      <c r="EL10" s="368"/>
      <c r="EM10" s="368"/>
      <c r="EN10" s="368"/>
      <c r="EO10" s="368"/>
      <c r="EP10" s="368"/>
      <c r="EQ10" s="368"/>
      <c r="ER10" s="368"/>
      <c r="ES10" s="368"/>
      <c r="ET10" s="368"/>
      <c r="EU10" s="368"/>
      <c r="EV10" s="368"/>
      <c r="EW10" s="368"/>
      <c r="EX10" s="368"/>
      <c r="EY10" s="368"/>
      <c r="EZ10" s="368"/>
      <c r="FA10" s="368"/>
      <c r="FB10" s="368"/>
      <c r="FC10" s="368"/>
      <c r="FD10" s="368"/>
      <c r="FE10" s="368"/>
      <c r="FF10" s="368"/>
      <c r="FG10" s="368"/>
      <c r="FH10" s="368"/>
      <c r="FI10" s="368"/>
      <c r="FJ10" s="368"/>
      <c r="FK10" s="368"/>
      <c r="FL10" s="368"/>
      <c r="FM10" s="368"/>
      <c r="FN10" s="368"/>
      <c r="FO10" s="368"/>
      <c r="FP10" s="368"/>
      <c r="FQ10" s="368"/>
      <c r="FR10" s="368"/>
      <c r="FS10" s="368"/>
      <c r="FT10" s="368"/>
      <c r="FU10" s="368"/>
      <c r="FV10" s="368"/>
      <c r="FW10" s="368"/>
      <c r="FX10" s="368"/>
      <c r="FY10" s="368"/>
      <c r="FZ10" s="368"/>
      <c r="GA10" s="368"/>
      <c r="GB10" s="368"/>
      <c r="GC10" s="368"/>
      <c r="GD10" s="368"/>
      <c r="GE10" s="368"/>
      <c r="GF10" s="368"/>
      <c r="GG10" s="368"/>
      <c r="GH10" s="368"/>
      <c r="GI10" s="368"/>
      <c r="GJ10" s="368"/>
      <c r="GK10" s="368"/>
      <c r="GL10" s="368"/>
      <c r="GM10" s="368"/>
      <c r="GN10" s="368"/>
      <c r="GO10" s="368"/>
      <c r="GP10" s="368"/>
      <c r="GQ10" s="368"/>
      <c r="GR10" s="368"/>
      <c r="GS10" s="368"/>
      <c r="GT10" s="368"/>
      <c r="GU10" s="368"/>
      <c r="GV10" s="368"/>
      <c r="GW10" s="368"/>
      <c r="GX10" s="368"/>
      <c r="GY10" s="368"/>
      <c r="GZ10" s="368"/>
      <c r="HA10" s="368"/>
      <c r="HB10" s="368"/>
      <c r="HC10" s="368"/>
      <c r="HD10" s="368"/>
      <c r="HE10" s="368"/>
      <c r="HF10" s="368"/>
      <c r="HG10" s="368"/>
      <c r="HH10" s="368"/>
      <c r="HI10" s="368"/>
      <c r="HJ10" s="368"/>
      <c r="HK10" s="368"/>
      <c r="HL10" s="368"/>
      <c r="HM10" s="368"/>
      <c r="HN10" s="368"/>
      <c r="HO10" s="368"/>
      <c r="HP10" s="368"/>
      <c r="HQ10" s="368"/>
      <c r="HR10" s="368"/>
      <c r="HS10" s="368"/>
      <c r="HT10" s="368"/>
      <c r="HU10" s="368"/>
      <c r="HV10" s="368"/>
      <c r="HW10" s="368"/>
      <c r="HX10" s="368"/>
      <c r="HY10" s="368"/>
      <c r="HZ10" s="368"/>
      <c r="IA10" s="368"/>
      <c r="IB10" s="368"/>
      <c r="IC10" s="368"/>
      <c r="ID10" s="368"/>
      <c r="IE10" s="368"/>
      <c r="IF10" s="368"/>
      <c r="IG10" s="368"/>
      <c r="IH10" s="368"/>
      <c r="II10" s="368"/>
      <c r="IJ10" s="368"/>
      <c r="IK10" s="368"/>
      <c r="IL10" s="368"/>
      <c r="IM10" s="368"/>
      <c r="IN10" s="368"/>
      <c r="IO10" s="368"/>
      <c r="IP10" s="368"/>
      <c r="IQ10" s="368"/>
      <c r="IR10" s="368"/>
      <c r="IS10" s="368"/>
      <c r="IT10" s="368"/>
      <c r="IU10" s="368"/>
    </row>
    <row r="11" spans="1:255" ht="15.75" customHeight="1">
      <c r="A11" s="18" t="s">
        <v>196</v>
      </c>
      <c r="C11" s="11" t="s">
        <v>3</v>
      </c>
      <c r="D11" s="18" t="s">
        <v>197</v>
      </c>
      <c r="Q11" s="18" t="s">
        <v>198</v>
      </c>
      <c r="R11" s="15" t="s">
        <v>199</v>
      </c>
      <c r="S11" s="271"/>
      <c r="V11" s="368"/>
      <c r="W11" s="368"/>
      <c r="X11" s="368"/>
      <c r="Y11" s="368"/>
      <c r="Z11" s="368"/>
      <c r="AA11" s="368"/>
      <c r="AB11" s="368"/>
      <c r="AC11" s="368"/>
      <c r="AD11" s="368"/>
      <c r="AE11" s="368"/>
      <c r="AF11" s="368"/>
      <c r="AG11" s="368"/>
      <c r="AH11" s="368"/>
      <c r="AI11" s="368"/>
      <c r="AJ11" s="368"/>
      <c r="AK11" s="368"/>
      <c r="AL11" s="368"/>
      <c r="AM11" s="368"/>
      <c r="AN11" s="368"/>
      <c r="AO11" s="368"/>
      <c r="AP11" s="368"/>
      <c r="AQ11" s="368"/>
      <c r="AR11" s="368"/>
      <c r="AS11" s="368"/>
      <c r="AT11" s="368"/>
      <c r="AU11" s="368"/>
      <c r="AV11" s="368"/>
      <c r="AW11" s="368"/>
      <c r="AX11" s="368"/>
      <c r="AY11" s="368"/>
      <c r="AZ11" s="368"/>
      <c r="BA11" s="368"/>
      <c r="BB11" s="368"/>
      <c r="BC11" s="368"/>
      <c r="BD11" s="368"/>
      <c r="BE11" s="368"/>
      <c r="BF11" s="368"/>
      <c r="BG11" s="368"/>
      <c r="BH11" s="368"/>
      <c r="BI11" s="368"/>
      <c r="BJ11" s="368"/>
      <c r="BK11" s="368"/>
      <c r="BL11" s="368"/>
      <c r="BM11" s="368"/>
      <c r="BN11" s="368"/>
      <c r="BO11" s="368"/>
      <c r="BP11" s="368"/>
      <c r="BQ11" s="368"/>
      <c r="BR11" s="368"/>
      <c r="BS11" s="368"/>
      <c r="BT11" s="368"/>
      <c r="BU11" s="368"/>
      <c r="BV11" s="368"/>
      <c r="BW11" s="368"/>
      <c r="BX11" s="368"/>
      <c r="BY11" s="368"/>
      <c r="BZ11" s="368"/>
      <c r="CA11" s="368"/>
      <c r="CB11" s="368"/>
      <c r="CC11" s="368"/>
      <c r="CD11" s="368"/>
      <c r="CE11" s="368"/>
      <c r="CF11" s="368"/>
      <c r="CG11" s="368"/>
      <c r="CH11" s="368"/>
      <c r="CI11" s="368"/>
      <c r="CJ11" s="368"/>
      <c r="CK11" s="368"/>
      <c r="CL11" s="368"/>
      <c r="CM11" s="368"/>
      <c r="CN11" s="368"/>
      <c r="CO11" s="368"/>
      <c r="CP11" s="368"/>
      <c r="CQ11" s="368"/>
      <c r="CR11" s="368"/>
      <c r="CS11" s="368"/>
      <c r="CT11" s="368"/>
      <c r="CU11" s="368"/>
      <c r="CV11" s="368"/>
      <c r="CW11" s="368"/>
      <c r="CX11" s="368"/>
      <c r="CY11" s="368"/>
      <c r="CZ11" s="368"/>
      <c r="DA11" s="368"/>
      <c r="DB11" s="368"/>
      <c r="DC11" s="368"/>
      <c r="DD11" s="368"/>
      <c r="DE11" s="368"/>
      <c r="DF11" s="368"/>
      <c r="DG11" s="368"/>
      <c r="DH11" s="368"/>
      <c r="DI11" s="368"/>
      <c r="DJ11" s="368"/>
      <c r="DK11" s="368"/>
      <c r="DL11" s="368"/>
      <c r="DM11" s="368"/>
      <c r="DN11" s="368"/>
      <c r="DO11" s="368"/>
      <c r="DP11" s="368"/>
      <c r="DQ11" s="368"/>
      <c r="DR11" s="368"/>
      <c r="DS11" s="368"/>
      <c r="DT11" s="368"/>
      <c r="DU11" s="368"/>
      <c r="DV11" s="368"/>
      <c r="DW11" s="368"/>
      <c r="DX11" s="368"/>
      <c r="DY11" s="368"/>
      <c r="DZ11" s="368"/>
      <c r="EA11" s="368"/>
      <c r="EB11" s="368"/>
      <c r="EC11" s="368"/>
      <c r="ED11" s="368"/>
      <c r="EE11" s="368"/>
      <c r="EF11" s="368"/>
      <c r="EG11" s="368"/>
      <c r="EH11" s="368"/>
      <c r="EI11" s="368"/>
      <c r="EJ11" s="368"/>
      <c r="EK11" s="368"/>
      <c r="EL11" s="368"/>
      <c r="EM11" s="368"/>
      <c r="EN11" s="368"/>
      <c r="EO11" s="368"/>
      <c r="EP11" s="368"/>
      <c r="EQ11" s="368"/>
      <c r="ER11" s="368"/>
      <c r="ES11" s="368"/>
      <c r="ET11" s="368"/>
      <c r="EU11" s="368"/>
      <c r="EV11" s="368"/>
      <c r="EW11" s="368"/>
      <c r="EX11" s="368"/>
      <c r="EY11" s="368"/>
      <c r="EZ11" s="368"/>
      <c r="FA11" s="368"/>
      <c r="FB11" s="368"/>
      <c r="FC11" s="368"/>
      <c r="FD11" s="368"/>
      <c r="FE11" s="368"/>
      <c r="FF11" s="368"/>
      <c r="FG11" s="368"/>
      <c r="FH11" s="368"/>
      <c r="FI11" s="368"/>
      <c r="FJ11" s="368"/>
      <c r="FK11" s="368"/>
      <c r="FL11" s="368"/>
      <c r="FM11" s="368"/>
      <c r="FN11" s="368"/>
      <c r="FO11" s="368"/>
      <c r="FP11" s="368"/>
      <c r="FQ11" s="368"/>
      <c r="FR11" s="368"/>
      <c r="FS11" s="368"/>
      <c r="FT11" s="368"/>
      <c r="FU11" s="368"/>
      <c r="FV11" s="368"/>
      <c r="FW11" s="368"/>
      <c r="FX11" s="368"/>
      <c r="FY11" s="368"/>
      <c r="FZ11" s="368"/>
      <c r="GA11" s="368"/>
      <c r="GB11" s="368"/>
      <c r="GC11" s="368"/>
      <c r="GD11" s="368"/>
      <c r="GE11" s="368"/>
      <c r="GF11" s="368"/>
      <c r="GG11" s="368"/>
      <c r="GH11" s="368"/>
      <c r="GI11" s="368"/>
      <c r="GJ11" s="368"/>
      <c r="GK11" s="368"/>
      <c r="GL11" s="368"/>
      <c r="GM11" s="368"/>
      <c r="GN11" s="368"/>
      <c r="GO11" s="368"/>
      <c r="GP11" s="368"/>
      <c r="GQ11" s="368"/>
      <c r="GR11" s="368"/>
      <c r="GS11" s="368"/>
      <c r="GT11" s="368"/>
      <c r="GU11" s="368"/>
      <c r="GV11" s="368"/>
      <c r="GW11" s="368"/>
      <c r="GX11" s="368"/>
      <c r="GY11" s="368"/>
      <c r="GZ11" s="368"/>
      <c r="HA11" s="368"/>
      <c r="HB11" s="368"/>
      <c r="HC11" s="368"/>
      <c r="HD11" s="368"/>
      <c r="HE11" s="368"/>
      <c r="HF11" s="368"/>
      <c r="HG11" s="368"/>
      <c r="HH11" s="368"/>
      <c r="HI11" s="368"/>
      <c r="HJ11" s="368"/>
      <c r="HK11" s="368"/>
      <c r="HL11" s="368"/>
      <c r="HM11" s="368"/>
      <c r="HN11" s="368"/>
      <c r="HO11" s="368"/>
      <c r="HP11" s="368"/>
      <c r="HQ11" s="368"/>
      <c r="HR11" s="368"/>
      <c r="HS11" s="368"/>
      <c r="HT11" s="368"/>
      <c r="HU11" s="368"/>
      <c r="HV11" s="368"/>
      <c r="HW11" s="368"/>
      <c r="HX11" s="368"/>
      <c r="HY11" s="368"/>
      <c r="HZ11" s="368"/>
      <c r="IA11" s="368"/>
      <c r="IB11" s="368"/>
      <c r="IC11" s="368"/>
      <c r="ID11" s="368"/>
      <c r="IE11" s="368"/>
      <c r="IF11" s="368"/>
      <c r="IG11" s="368"/>
      <c r="IH11" s="368"/>
      <c r="II11" s="368"/>
      <c r="IJ11" s="368"/>
      <c r="IK11" s="368"/>
      <c r="IL11" s="368"/>
      <c r="IM11" s="368"/>
      <c r="IN11" s="368"/>
      <c r="IO11" s="368"/>
      <c r="IP11" s="368"/>
      <c r="IQ11" s="368"/>
      <c r="IR11" s="368"/>
      <c r="IS11" s="368"/>
      <c r="IT11" s="368"/>
      <c r="IU11" s="368"/>
    </row>
    <row r="12" spans="1:255" ht="15.75" customHeight="1">
      <c r="A12" s="18" t="s">
        <v>200</v>
      </c>
      <c r="C12" s="11" t="s">
        <v>3</v>
      </c>
      <c r="D12" s="18" t="s">
        <v>197</v>
      </c>
      <c r="Q12" s="41">
        <f>(25+25.2)/2</f>
        <v>25.1</v>
      </c>
      <c r="R12" s="42">
        <f>(25.2-25)/2</f>
        <v>9.9999999999999645E-2</v>
      </c>
      <c r="S12" s="18" t="s">
        <v>16</v>
      </c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  <c r="AJ12" s="368"/>
      <c r="AK12" s="368"/>
      <c r="AL12" s="368"/>
      <c r="AM12" s="368"/>
      <c r="AN12" s="368"/>
      <c r="AO12" s="368"/>
      <c r="AP12" s="368"/>
      <c r="AQ12" s="368"/>
      <c r="AR12" s="368"/>
      <c r="AS12" s="368"/>
      <c r="AT12" s="368"/>
      <c r="AU12" s="368"/>
      <c r="AV12" s="368"/>
      <c r="AW12" s="368"/>
      <c r="AX12" s="368"/>
      <c r="AY12" s="368"/>
      <c r="AZ12" s="368"/>
      <c r="BA12" s="368"/>
      <c r="BB12" s="368"/>
      <c r="BC12" s="368"/>
      <c r="BD12" s="368"/>
      <c r="BE12" s="368"/>
      <c r="BF12" s="368"/>
      <c r="BG12" s="368"/>
      <c r="BH12" s="368"/>
      <c r="BI12" s="368"/>
      <c r="BJ12" s="368"/>
      <c r="BK12" s="368"/>
      <c r="BL12" s="368"/>
      <c r="BM12" s="368"/>
      <c r="BN12" s="368"/>
      <c r="BO12" s="368"/>
      <c r="BP12" s="368"/>
      <c r="BQ12" s="368"/>
      <c r="BR12" s="368"/>
      <c r="BS12" s="368"/>
      <c r="BT12" s="368"/>
      <c r="BU12" s="368"/>
      <c r="BV12" s="368"/>
      <c r="BW12" s="368"/>
      <c r="BX12" s="368"/>
      <c r="BY12" s="368"/>
      <c r="BZ12" s="368"/>
      <c r="CA12" s="368"/>
      <c r="CB12" s="368"/>
      <c r="CC12" s="368"/>
      <c r="CD12" s="368"/>
      <c r="CE12" s="368"/>
      <c r="CF12" s="368"/>
      <c r="CG12" s="368"/>
      <c r="CH12" s="368"/>
      <c r="CI12" s="368"/>
      <c r="CJ12" s="368"/>
      <c r="CK12" s="368"/>
      <c r="CL12" s="368"/>
      <c r="CM12" s="368"/>
      <c r="CN12" s="368"/>
      <c r="CO12" s="368"/>
      <c r="CP12" s="368"/>
      <c r="CQ12" s="368"/>
      <c r="CR12" s="368"/>
      <c r="CS12" s="368"/>
      <c r="CT12" s="368"/>
      <c r="CU12" s="368"/>
      <c r="CV12" s="368"/>
      <c r="CW12" s="368"/>
      <c r="CX12" s="368"/>
      <c r="CY12" s="368"/>
      <c r="CZ12" s="368"/>
      <c r="DA12" s="368"/>
      <c r="DB12" s="368"/>
      <c r="DC12" s="368"/>
      <c r="DD12" s="368"/>
      <c r="DE12" s="368"/>
      <c r="DF12" s="368"/>
      <c r="DG12" s="368"/>
      <c r="DH12" s="368"/>
      <c r="DI12" s="368"/>
      <c r="DJ12" s="368"/>
      <c r="DK12" s="368"/>
      <c r="DL12" s="368"/>
      <c r="DM12" s="368"/>
      <c r="DN12" s="368"/>
      <c r="DO12" s="368"/>
      <c r="DP12" s="368"/>
      <c r="DQ12" s="368"/>
      <c r="DR12" s="368"/>
      <c r="DS12" s="368"/>
      <c r="DT12" s="368"/>
      <c r="DU12" s="368"/>
      <c r="DV12" s="368"/>
      <c r="DW12" s="368"/>
      <c r="DX12" s="368"/>
      <c r="DY12" s="368"/>
      <c r="DZ12" s="368"/>
      <c r="EA12" s="368"/>
      <c r="EB12" s="368"/>
      <c r="EC12" s="368"/>
      <c r="ED12" s="368"/>
      <c r="EE12" s="368"/>
      <c r="EF12" s="368"/>
      <c r="EG12" s="368"/>
      <c r="EH12" s="368"/>
      <c r="EI12" s="368"/>
      <c r="EJ12" s="368"/>
      <c r="EK12" s="368"/>
      <c r="EL12" s="368"/>
      <c r="EM12" s="368"/>
      <c r="EN12" s="368"/>
      <c r="EO12" s="368"/>
      <c r="EP12" s="368"/>
      <c r="EQ12" s="368"/>
      <c r="ER12" s="368"/>
      <c r="ES12" s="368"/>
      <c r="ET12" s="368"/>
      <c r="EU12" s="368"/>
      <c r="EV12" s="368"/>
      <c r="EW12" s="368"/>
      <c r="EX12" s="368"/>
      <c r="EY12" s="368"/>
      <c r="EZ12" s="368"/>
      <c r="FA12" s="368"/>
      <c r="FB12" s="368"/>
      <c r="FC12" s="368"/>
      <c r="FD12" s="368"/>
      <c r="FE12" s="368"/>
      <c r="FF12" s="368"/>
      <c r="FG12" s="368"/>
      <c r="FH12" s="368"/>
      <c r="FI12" s="368"/>
      <c r="FJ12" s="368"/>
      <c r="FK12" s="368"/>
      <c r="FL12" s="368"/>
      <c r="FM12" s="368"/>
      <c r="FN12" s="368"/>
      <c r="FO12" s="368"/>
      <c r="FP12" s="368"/>
      <c r="FQ12" s="368"/>
      <c r="FR12" s="368"/>
      <c r="FS12" s="368"/>
      <c r="FT12" s="368"/>
      <c r="FU12" s="368"/>
      <c r="FV12" s="368"/>
      <c r="FW12" s="368"/>
      <c r="FX12" s="368"/>
      <c r="FY12" s="368"/>
      <c r="FZ12" s="368"/>
      <c r="GA12" s="368"/>
      <c r="GB12" s="368"/>
      <c r="GC12" s="368"/>
      <c r="GD12" s="368"/>
      <c r="GE12" s="368"/>
      <c r="GF12" s="368"/>
      <c r="GG12" s="368"/>
      <c r="GH12" s="368"/>
      <c r="GI12" s="368"/>
      <c r="GJ12" s="368"/>
      <c r="GK12" s="368"/>
      <c r="GL12" s="368"/>
      <c r="GM12" s="368"/>
      <c r="GN12" s="368"/>
      <c r="GO12" s="368"/>
      <c r="GP12" s="368"/>
      <c r="GQ12" s="368"/>
      <c r="GR12" s="368"/>
      <c r="GS12" s="368"/>
      <c r="GT12" s="368"/>
      <c r="GU12" s="368"/>
      <c r="GV12" s="368"/>
      <c r="GW12" s="368"/>
      <c r="GX12" s="368"/>
      <c r="GY12" s="368"/>
      <c r="GZ12" s="368"/>
      <c r="HA12" s="368"/>
      <c r="HB12" s="368"/>
      <c r="HC12" s="368"/>
      <c r="HD12" s="368"/>
      <c r="HE12" s="368"/>
      <c r="HF12" s="368"/>
      <c r="HG12" s="368"/>
      <c r="HH12" s="368"/>
      <c r="HI12" s="368"/>
      <c r="HJ12" s="368"/>
      <c r="HK12" s="368"/>
      <c r="HL12" s="368"/>
      <c r="HM12" s="368"/>
      <c r="HN12" s="368"/>
      <c r="HO12" s="368"/>
      <c r="HP12" s="368"/>
      <c r="HQ12" s="368"/>
      <c r="HR12" s="368"/>
      <c r="HS12" s="368"/>
      <c r="HT12" s="368"/>
      <c r="HU12" s="368"/>
      <c r="HV12" s="368"/>
      <c r="HW12" s="368"/>
      <c r="HX12" s="368"/>
      <c r="HY12" s="368"/>
      <c r="HZ12" s="368"/>
      <c r="IA12" s="368"/>
      <c r="IB12" s="368"/>
      <c r="IC12" s="368"/>
      <c r="ID12" s="368"/>
      <c r="IE12" s="368"/>
      <c r="IF12" s="368"/>
      <c r="IG12" s="368"/>
      <c r="IH12" s="368"/>
      <c r="II12" s="368"/>
      <c r="IJ12" s="368"/>
      <c r="IK12" s="368"/>
      <c r="IL12" s="368"/>
      <c r="IM12" s="368"/>
      <c r="IN12" s="368"/>
      <c r="IO12" s="368"/>
      <c r="IP12" s="368"/>
      <c r="IQ12" s="368"/>
      <c r="IR12" s="368"/>
      <c r="IS12" s="368"/>
      <c r="IT12" s="368"/>
      <c r="IU12" s="368"/>
    </row>
    <row r="13" spans="1:255" ht="15.75" customHeight="1">
      <c r="A13" s="18" t="s">
        <v>201</v>
      </c>
      <c r="C13" s="11" t="s">
        <v>3</v>
      </c>
      <c r="D13" s="1061" t="s">
        <v>125</v>
      </c>
      <c r="E13" s="1061"/>
      <c r="F13" s="1061"/>
      <c r="G13" s="1061"/>
      <c r="H13" s="1061"/>
      <c r="I13" s="1061"/>
      <c r="J13" s="1061"/>
      <c r="K13" s="1061"/>
      <c r="Q13" s="41">
        <f>(64+63.7)/2</f>
        <v>63.85</v>
      </c>
      <c r="R13" s="42">
        <f>(64-63.7)/2</f>
        <v>0.14999999999999858</v>
      </c>
      <c r="S13" s="18" t="s">
        <v>18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  <c r="AJ13" s="368"/>
      <c r="AK13" s="368"/>
      <c r="AL13" s="368"/>
      <c r="AM13" s="368"/>
      <c r="AN13" s="368"/>
      <c r="AO13" s="368"/>
      <c r="AP13" s="368"/>
      <c r="AQ13" s="368"/>
      <c r="AR13" s="368"/>
      <c r="AS13" s="368"/>
      <c r="AT13" s="368"/>
      <c r="AU13" s="368"/>
      <c r="AV13" s="368"/>
      <c r="AW13" s="368"/>
      <c r="AX13" s="368"/>
      <c r="AY13" s="368"/>
      <c r="AZ13" s="368"/>
      <c r="BA13" s="368"/>
      <c r="BB13" s="368"/>
      <c r="BC13" s="368"/>
      <c r="BD13" s="368"/>
      <c r="BE13" s="368"/>
      <c r="BF13" s="368"/>
      <c r="BG13" s="368"/>
      <c r="BH13" s="368"/>
      <c r="BI13" s="368"/>
      <c r="BJ13" s="368"/>
      <c r="BK13" s="368"/>
      <c r="BL13" s="368"/>
      <c r="BM13" s="368"/>
      <c r="BN13" s="368"/>
      <c r="BO13" s="368"/>
      <c r="BP13" s="368"/>
      <c r="BQ13" s="368"/>
      <c r="BR13" s="368"/>
      <c r="BS13" s="368"/>
      <c r="BT13" s="368"/>
      <c r="BU13" s="368"/>
      <c r="BV13" s="368"/>
      <c r="BW13" s="368"/>
      <c r="BX13" s="368"/>
      <c r="BY13" s="368"/>
      <c r="BZ13" s="368"/>
      <c r="CA13" s="368"/>
      <c r="CB13" s="368"/>
      <c r="CC13" s="368"/>
      <c r="CD13" s="368"/>
      <c r="CE13" s="368"/>
      <c r="CF13" s="368"/>
      <c r="CG13" s="368"/>
      <c r="CH13" s="368"/>
      <c r="CI13" s="368"/>
      <c r="CJ13" s="368"/>
      <c r="CK13" s="368"/>
      <c r="CL13" s="368"/>
      <c r="CM13" s="368"/>
      <c r="CN13" s="368"/>
      <c r="CO13" s="368"/>
      <c r="CP13" s="368"/>
      <c r="CQ13" s="368"/>
      <c r="CR13" s="368"/>
      <c r="CS13" s="368"/>
      <c r="CT13" s="368"/>
      <c r="CU13" s="368"/>
      <c r="CV13" s="368"/>
      <c r="CW13" s="368"/>
      <c r="CX13" s="368"/>
      <c r="CY13" s="368"/>
      <c r="CZ13" s="368"/>
      <c r="DA13" s="368"/>
      <c r="DB13" s="368"/>
      <c r="DC13" s="368"/>
      <c r="DD13" s="368"/>
      <c r="DE13" s="368"/>
      <c r="DF13" s="368"/>
      <c r="DG13" s="368"/>
      <c r="DH13" s="368"/>
      <c r="DI13" s="368"/>
      <c r="DJ13" s="368"/>
      <c r="DK13" s="368"/>
      <c r="DL13" s="368"/>
      <c r="DM13" s="368"/>
      <c r="DN13" s="368"/>
      <c r="DO13" s="368"/>
      <c r="DP13" s="368"/>
      <c r="DQ13" s="368"/>
      <c r="DR13" s="368"/>
      <c r="DS13" s="368"/>
      <c r="DT13" s="368"/>
      <c r="DU13" s="368"/>
      <c r="DV13" s="368"/>
      <c r="DW13" s="368"/>
      <c r="DX13" s="368"/>
      <c r="DY13" s="368"/>
      <c r="DZ13" s="368"/>
      <c r="EA13" s="368"/>
      <c r="EB13" s="368"/>
      <c r="EC13" s="368"/>
      <c r="ED13" s="368"/>
      <c r="EE13" s="368"/>
      <c r="EF13" s="368"/>
      <c r="EG13" s="368"/>
      <c r="EH13" s="368"/>
      <c r="EI13" s="368"/>
      <c r="EJ13" s="368"/>
      <c r="EK13" s="368"/>
      <c r="EL13" s="368"/>
      <c r="EM13" s="368"/>
      <c r="EN13" s="368"/>
      <c r="EO13" s="368"/>
      <c r="EP13" s="368"/>
      <c r="EQ13" s="368"/>
      <c r="ER13" s="368"/>
      <c r="ES13" s="368"/>
      <c r="ET13" s="368"/>
      <c r="EU13" s="368"/>
      <c r="EV13" s="368"/>
      <c r="EW13" s="368"/>
      <c r="EX13" s="368"/>
      <c r="EY13" s="368"/>
      <c r="EZ13" s="368"/>
      <c r="FA13" s="368"/>
      <c r="FB13" s="368"/>
      <c r="FC13" s="368"/>
      <c r="FD13" s="368"/>
      <c r="FE13" s="368"/>
      <c r="FF13" s="368"/>
      <c r="FG13" s="368"/>
      <c r="FH13" s="368"/>
      <c r="FI13" s="368"/>
      <c r="FJ13" s="368"/>
      <c r="FK13" s="368"/>
      <c r="FL13" s="368"/>
      <c r="FM13" s="368"/>
      <c r="FN13" s="368"/>
      <c r="FO13" s="368"/>
      <c r="FP13" s="368"/>
      <c r="FQ13" s="368"/>
      <c r="FR13" s="368"/>
      <c r="FS13" s="368"/>
      <c r="FT13" s="368"/>
      <c r="FU13" s="368"/>
      <c r="FV13" s="368"/>
      <c r="FW13" s="368"/>
      <c r="FX13" s="368"/>
      <c r="FY13" s="368"/>
      <c r="FZ13" s="368"/>
      <c r="GA13" s="368"/>
      <c r="GB13" s="368"/>
      <c r="GC13" s="368"/>
      <c r="GD13" s="368"/>
      <c r="GE13" s="368"/>
      <c r="GF13" s="368"/>
      <c r="GG13" s="368"/>
      <c r="GH13" s="368"/>
      <c r="GI13" s="368"/>
      <c r="GJ13" s="368"/>
      <c r="GK13" s="368"/>
      <c r="GL13" s="368"/>
      <c r="GM13" s="368"/>
      <c r="GN13" s="368"/>
      <c r="GO13" s="368"/>
      <c r="GP13" s="368"/>
      <c r="GQ13" s="368"/>
      <c r="GR13" s="368"/>
      <c r="GS13" s="368"/>
      <c r="GT13" s="368"/>
      <c r="GU13" s="368"/>
      <c r="GV13" s="368"/>
      <c r="GW13" s="368"/>
      <c r="GX13" s="368"/>
      <c r="GY13" s="368"/>
      <c r="GZ13" s="368"/>
      <c r="HA13" s="368"/>
      <c r="HB13" s="368"/>
      <c r="HC13" s="368"/>
      <c r="HD13" s="368"/>
      <c r="HE13" s="368"/>
      <c r="HF13" s="368"/>
      <c r="HG13" s="368"/>
      <c r="HH13" s="368"/>
      <c r="HI13" s="368"/>
      <c r="HJ13" s="368"/>
      <c r="HK13" s="368"/>
      <c r="HL13" s="368"/>
      <c r="HM13" s="368"/>
      <c r="HN13" s="368"/>
      <c r="HO13" s="368"/>
      <c r="HP13" s="368"/>
      <c r="HQ13" s="368"/>
      <c r="HR13" s="368"/>
      <c r="HS13" s="368"/>
      <c r="HT13" s="368"/>
      <c r="HU13" s="368"/>
      <c r="HV13" s="368"/>
      <c r="HW13" s="368"/>
      <c r="HX13" s="368"/>
      <c r="HY13" s="368"/>
      <c r="HZ13" s="368"/>
      <c r="IA13" s="368"/>
      <c r="IB13" s="368"/>
      <c r="IC13" s="368"/>
      <c r="ID13" s="368"/>
      <c r="IE13" s="368"/>
      <c r="IF13" s="368"/>
      <c r="IG13" s="368"/>
      <c r="IH13" s="368"/>
      <c r="II13" s="368"/>
      <c r="IJ13" s="368"/>
      <c r="IK13" s="368"/>
      <c r="IL13" s="368"/>
      <c r="IM13" s="368"/>
      <c r="IN13" s="368"/>
      <c r="IO13" s="368"/>
      <c r="IP13" s="368"/>
      <c r="IQ13" s="368"/>
      <c r="IR13" s="368"/>
      <c r="IS13" s="368"/>
      <c r="IT13" s="368"/>
      <c r="IU13" s="368"/>
    </row>
    <row r="14" spans="1:255" ht="17.25" customHeight="1">
      <c r="D14" s="1061"/>
      <c r="E14" s="1061"/>
      <c r="F14" s="1061"/>
      <c r="G14" s="1061"/>
      <c r="H14" s="1061"/>
      <c r="I14" s="1061"/>
      <c r="J14" s="1061"/>
      <c r="K14" s="1061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  <c r="AJ14" s="368"/>
      <c r="AK14" s="368"/>
      <c r="AL14" s="368"/>
      <c r="AM14" s="368"/>
      <c r="AN14" s="368"/>
      <c r="AO14" s="368"/>
      <c r="AP14" s="368"/>
      <c r="AQ14" s="368"/>
      <c r="AR14" s="368"/>
      <c r="AS14" s="368"/>
      <c r="AT14" s="368"/>
      <c r="AU14" s="368"/>
      <c r="AV14" s="368"/>
      <c r="AW14" s="368"/>
      <c r="AX14" s="368"/>
      <c r="AY14" s="368"/>
      <c r="AZ14" s="368"/>
      <c r="BA14" s="368"/>
      <c r="BB14" s="368"/>
      <c r="BC14" s="368"/>
      <c r="BD14" s="368"/>
      <c r="BE14" s="368"/>
      <c r="BF14" s="368"/>
      <c r="BG14" s="368"/>
      <c r="BH14" s="368"/>
      <c r="BI14" s="368"/>
      <c r="BJ14" s="368"/>
      <c r="BK14" s="368"/>
      <c r="BL14" s="368"/>
      <c r="BM14" s="368"/>
      <c r="BN14" s="368"/>
      <c r="BO14" s="368"/>
      <c r="BP14" s="368"/>
      <c r="BQ14" s="368"/>
      <c r="BR14" s="368"/>
      <c r="BS14" s="368"/>
      <c r="BT14" s="368"/>
      <c r="BU14" s="368"/>
      <c r="BV14" s="368"/>
      <c r="BW14" s="368"/>
      <c r="BX14" s="368"/>
      <c r="BY14" s="368"/>
      <c r="BZ14" s="368"/>
      <c r="CA14" s="368"/>
      <c r="CB14" s="368"/>
      <c r="CC14" s="368"/>
      <c r="CD14" s="368"/>
      <c r="CE14" s="368"/>
      <c r="CF14" s="368"/>
      <c r="CG14" s="368"/>
      <c r="CH14" s="368"/>
      <c r="CI14" s="368"/>
      <c r="CJ14" s="368"/>
      <c r="CK14" s="368"/>
      <c r="CL14" s="368"/>
      <c r="CM14" s="368"/>
      <c r="CN14" s="368"/>
      <c r="CO14" s="368"/>
      <c r="CP14" s="368"/>
      <c r="CQ14" s="368"/>
      <c r="CR14" s="368"/>
      <c r="CS14" s="368"/>
      <c r="CT14" s="368"/>
      <c r="CU14" s="368"/>
      <c r="CV14" s="368"/>
      <c r="CW14" s="368"/>
      <c r="CX14" s="368"/>
      <c r="CY14" s="368"/>
      <c r="CZ14" s="368"/>
      <c r="DA14" s="368"/>
      <c r="DB14" s="368"/>
      <c r="DC14" s="368"/>
      <c r="DD14" s="368"/>
      <c r="DE14" s="368"/>
      <c r="DF14" s="368"/>
      <c r="DG14" s="368"/>
      <c r="DH14" s="368"/>
      <c r="DI14" s="368"/>
      <c r="DJ14" s="368"/>
      <c r="DK14" s="368"/>
      <c r="DL14" s="368"/>
      <c r="DM14" s="368"/>
      <c r="DN14" s="368"/>
      <c r="DO14" s="368"/>
      <c r="DP14" s="368"/>
      <c r="DQ14" s="368"/>
      <c r="DR14" s="368"/>
      <c r="DS14" s="368"/>
      <c r="DT14" s="368"/>
      <c r="DU14" s="368"/>
      <c r="DV14" s="368"/>
      <c r="DW14" s="368"/>
      <c r="DX14" s="368"/>
      <c r="DY14" s="368"/>
      <c r="DZ14" s="368"/>
      <c r="EA14" s="368"/>
      <c r="EB14" s="368"/>
      <c r="EC14" s="368"/>
      <c r="ED14" s="368"/>
      <c r="EE14" s="368"/>
      <c r="EF14" s="368"/>
      <c r="EG14" s="368"/>
      <c r="EH14" s="368"/>
      <c r="EI14" s="368"/>
      <c r="EJ14" s="368"/>
      <c r="EK14" s="368"/>
      <c r="EL14" s="368"/>
      <c r="EM14" s="368"/>
      <c r="EN14" s="368"/>
      <c r="EO14" s="368"/>
      <c r="EP14" s="368"/>
      <c r="EQ14" s="368"/>
      <c r="ER14" s="368"/>
      <c r="ES14" s="368"/>
      <c r="ET14" s="368"/>
      <c r="EU14" s="368"/>
      <c r="EV14" s="368"/>
      <c r="EW14" s="368"/>
      <c r="EX14" s="368"/>
      <c r="EY14" s="368"/>
      <c r="EZ14" s="368"/>
      <c r="FA14" s="368"/>
      <c r="FB14" s="368"/>
      <c r="FC14" s="368"/>
      <c r="FD14" s="368"/>
      <c r="FE14" s="368"/>
      <c r="FF14" s="368"/>
      <c r="FG14" s="368"/>
      <c r="FH14" s="368"/>
      <c r="FI14" s="368"/>
      <c r="FJ14" s="368"/>
      <c r="FK14" s="368"/>
      <c r="FL14" s="368"/>
      <c r="FM14" s="368"/>
      <c r="FN14" s="368"/>
      <c r="FO14" s="368"/>
      <c r="FP14" s="368"/>
      <c r="FQ14" s="368"/>
      <c r="FR14" s="368"/>
      <c r="FS14" s="368"/>
      <c r="FT14" s="368"/>
      <c r="FU14" s="368"/>
      <c r="FV14" s="368"/>
      <c r="FW14" s="368"/>
      <c r="FX14" s="368"/>
      <c r="FY14" s="368"/>
      <c r="FZ14" s="368"/>
      <c r="GA14" s="368"/>
      <c r="GB14" s="368"/>
      <c r="GC14" s="368"/>
      <c r="GD14" s="368"/>
      <c r="GE14" s="368"/>
      <c r="GF14" s="368"/>
      <c r="GG14" s="368"/>
      <c r="GH14" s="368"/>
      <c r="GI14" s="368"/>
      <c r="GJ14" s="368"/>
      <c r="GK14" s="368"/>
      <c r="GL14" s="368"/>
      <c r="GM14" s="368"/>
      <c r="GN14" s="368"/>
      <c r="GO14" s="368"/>
      <c r="GP14" s="368"/>
      <c r="GQ14" s="368"/>
      <c r="GR14" s="368"/>
      <c r="GS14" s="368"/>
      <c r="GT14" s="368"/>
      <c r="GU14" s="368"/>
      <c r="GV14" s="368"/>
      <c r="GW14" s="368"/>
      <c r="GX14" s="368"/>
      <c r="GY14" s="368"/>
      <c r="GZ14" s="368"/>
      <c r="HA14" s="368"/>
      <c r="HB14" s="368"/>
      <c r="HC14" s="368"/>
      <c r="HD14" s="368"/>
      <c r="HE14" s="368"/>
      <c r="HF14" s="368"/>
      <c r="HG14" s="368"/>
      <c r="HH14" s="368"/>
      <c r="HI14" s="368"/>
      <c r="HJ14" s="368"/>
      <c r="HK14" s="368"/>
      <c r="HL14" s="368"/>
      <c r="HM14" s="368"/>
      <c r="HN14" s="368"/>
      <c r="HO14" s="368"/>
      <c r="HP14" s="368"/>
      <c r="HQ14" s="368"/>
      <c r="HR14" s="368"/>
      <c r="HS14" s="368"/>
      <c r="HT14" s="368"/>
      <c r="HU14" s="368"/>
      <c r="HV14" s="368"/>
      <c r="HW14" s="368"/>
      <c r="HX14" s="368"/>
      <c r="HY14" s="368"/>
      <c r="HZ14" s="368"/>
      <c r="IA14" s="368"/>
      <c r="IB14" s="368"/>
      <c r="IC14" s="368"/>
      <c r="ID14" s="368"/>
      <c r="IE14" s="368"/>
      <c r="IF14" s="368"/>
      <c r="IG14" s="368"/>
      <c r="IH14" s="368"/>
      <c r="II14" s="368"/>
      <c r="IJ14" s="368"/>
      <c r="IK14" s="368"/>
      <c r="IL14" s="368"/>
      <c r="IM14" s="368"/>
      <c r="IN14" s="368"/>
      <c r="IO14" s="368"/>
      <c r="IP14" s="368"/>
      <c r="IQ14" s="368"/>
      <c r="IR14" s="368"/>
      <c r="IS14" s="368"/>
      <c r="IT14" s="368"/>
      <c r="IU14" s="368"/>
    </row>
    <row r="15" spans="1:255" ht="17.25" customHeight="1">
      <c r="I15" s="15"/>
      <c r="J15" s="15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  <c r="AJ15" s="368"/>
      <c r="AK15" s="368"/>
      <c r="AL15" s="368"/>
      <c r="AM15" s="368"/>
      <c r="AN15" s="368"/>
      <c r="AO15" s="368"/>
      <c r="AP15" s="368"/>
      <c r="AQ15" s="368"/>
      <c r="AR15" s="368"/>
      <c r="AS15" s="368"/>
      <c r="AT15" s="368"/>
      <c r="AU15" s="368"/>
      <c r="AV15" s="368"/>
      <c r="AW15" s="368"/>
      <c r="AX15" s="368"/>
      <c r="AY15" s="368"/>
      <c r="AZ15" s="368"/>
      <c r="BA15" s="368"/>
      <c r="BB15" s="368"/>
      <c r="BC15" s="368"/>
      <c r="BD15" s="368"/>
      <c r="BE15" s="368"/>
      <c r="BF15" s="368"/>
      <c r="BG15" s="368"/>
      <c r="BH15" s="368"/>
      <c r="BI15" s="368"/>
      <c r="BJ15" s="368"/>
      <c r="BK15" s="368"/>
      <c r="BL15" s="368"/>
      <c r="BM15" s="368"/>
      <c r="BN15" s="368"/>
      <c r="BO15" s="368"/>
      <c r="BP15" s="368"/>
      <c r="BQ15" s="368"/>
      <c r="BR15" s="368"/>
      <c r="BS15" s="368"/>
      <c r="BT15" s="368"/>
      <c r="BU15" s="368"/>
      <c r="BV15" s="368"/>
      <c r="BW15" s="368"/>
      <c r="BX15" s="368"/>
      <c r="BY15" s="368"/>
      <c r="BZ15" s="368"/>
      <c r="CA15" s="368"/>
      <c r="CB15" s="368"/>
      <c r="CC15" s="368"/>
      <c r="CD15" s="368"/>
      <c r="CE15" s="368"/>
      <c r="CF15" s="368"/>
      <c r="CG15" s="368"/>
      <c r="CH15" s="368"/>
      <c r="CI15" s="368"/>
      <c r="CJ15" s="368"/>
      <c r="CK15" s="368"/>
      <c r="CL15" s="368"/>
      <c r="CM15" s="368"/>
      <c r="CN15" s="368"/>
      <c r="CO15" s="368"/>
      <c r="CP15" s="368"/>
      <c r="CQ15" s="368"/>
      <c r="CR15" s="368"/>
      <c r="CS15" s="368"/>
      <c r="CT15" s="368"/>
      <c r="CU15" s="368"/>
      <c r="CV15" s="368"/>
      <c r="CW15" s="368"/>
      <c r="CX15" s="368"/>
      <c r="CY15" s="368"/>
      <c r="CZ15" s="368"/>
      <c r="DA15" s="368"/>
      <c r="DB15" s="368"/>
      <c r="DC15" s="368"/>
      <c r="DD15" s="368"/>
      <c r="DE15" s="368"/>
      <c r="DF15" s="368"/>
      <c r="DG15" s="368"/>
      <c r="DH15" s="368"/>
      <c r="DI15" s="368"/>
      <c r="DJ15" s="368"/>
      <c r="DK15" s="368"/>
      <c r="DL15" s="368"/>
      <c r="DM15" s="368"/>
      <c r="DN15" s="368"/>
      <c r="DO15" s="368"/>
      <c r="DP15" s="368"/>
      <c r="DQ15" s="368"/>
      <c r="DR15" s="368"/>
      <c r="DS15" s="368"/>
      <c r="DT15" s="368"/>
      <c r="DU15" s="368"/>
      <c r="DV15" s="368"/>
      <c r="DW15" s="368"/>
      <c r="DX15" s="368"/>
      <c r="DY15" s="368"/>
      <c r="DZ15" s="368"/>
      <c r="EA15" s="368"/>
      <c r="EB15" s="368"/>
      <c r="EC15" s="368"/>
      <c r="ED15" s="368"/>
      <c r="EE15" s="368"/>
      <c r="EF15" s="368"/>
      <c r="EG15" s="368"/>
      <c r="EH15" s="368"/>
      <c r="EI15" s="368"/>
      <c r="EJ15" s="368"/>
      <c r="EK15" s="368"/>
      <c r="EL15" s="368"/>
      <c r="EM15" s="368"/>
      <c r="EN15" s="368"/>
      <c r="EO15" s="368"/>
      <c r="EP15" s="368"/>
      <c r="EQ15" s="368"/>
      <c r="ER15" s="368"/>
      <c r="ES15" s="368"/>
      <c r="ET15" s="368"/>
      <c r="EU15" s="368"/>
      <c r="EV15" s="368"/>
      <c r="EW15" s="368"/>
      <c r="EX15" s="368"/>
      <c r="EY15" s="368"/>
      <c r="EZ15" s="368"/>
      <c r="FA15" s="368"/>
      <c r="FB15" s="368"/>
      <c r="FC15" s="368"/>
      <c r="FD15" s="368"/>
      <c r="FE15" s="368"/>
      <c r="FF15" s="368"/>
      <c r="FG15" s="368"/>
      <c r="FH15" s="368"/>
      <c r="FI15" s="368"/>
      <c r="FJ15" s="368"/>
      <c r="FK15" s="368"/>
      <c r="FL15" s="368"/>
      <c r="FM15" s="368"/>
      <c r="FN15" s="368"/>
      <c r="FO15" s="368"/>
      <c r="FP15" s="368"/>
      <c r="FQ15" s="368"/>
      <c r="FR15" s="368"/>
      <c r="FS15" s="368"/>
      <c r="FT15" s="368"/>
      <c r="FU15" s="368"/>
      <c r="FV15" s="368"/>
      <c r="FW15" s="368"/>
      <c r="FX15" s="368"/>
      <c r="FY15" s="368"/>
      <c r="FZ15" s="368"/>
      <c r="GA15" s="368"/>
      <c r="GB15" s="368"/>
      <c r="GC15" s="368"/>
      <c r="GD15" s="368"/>
      <c r="GE15" s="368"/>
      <c r="GF15" s="368"/>
      <c r="GG15" s="368"/>
      <c r="GH15" s="368"/>
      <c r="GI15" s="368"/>
      <c r="GJ15" s="368"/>
      <c r="GK15" s="368"/>
      <c r="GL15" s="368"/>
      <c r="GM15" s="368"/>
      <c r="GN15" s="368"/>
      <c r="GO15" s="368"/>
      <c r="GP15" s="368"/>
      <c r="GQ15" s="368"/>
      <c r="GR15" s="368"/>
      <c r="GS15" s="368"/>
      <c r="GT15" s="368"/>
      <c r="GU15" s="368"/>
      <c r="GV15" s="368"/>
      <c r="GW15" s="368"/>
      <c r="GX15" s="368"/>
      <c r="GY15" s="368"/>
      <c r="GZ15" s="368"/>
      <c r="HA15" s="368"/>
      <c r="HB15" s="368"/>
      <c r="HC15" s="368"/>
      <c r="HD15" s="368"/>
      <c r="HE15" s="368"/>
      <c r="HF15" s="368"/>
      <c r="HG15" s="368"/>
      <c r="HH15" s="368"/>
      <c r="HI15" s="368"/>
      <c r="HJ15" s="368"/>
      <c r="HK15" s="368"/>
      <c r="HL15" s="368"/>
      <c r="HM15" s="368"/>
      <c r="HN15" s="368"/>
      <c r="HO15" s="368"/>
      <c r="HP15" s="368"/>
      <c r="HQ15" s="368"/>
      <c r="HR15" s="368"/>
      <c r="HS15" s="368"/>
      <c r="HT15" s="368"/>
      <c r="HU15" s="368"/>
      <c r="HV15" s="368"/>
      <c r="HW15" s="368"/>
      <c r="HX15" s="368"/>
      <c r="HY15" s="368"/>
      <c r="HZ15" s="368"/>
      <c r="IA15" s="368"/>
      <c r="IB15" s="368"/>
      <c r="IC15" s="368"/>
      <c r="ID15" s="368"/>
      <c r="IE15" s="368"/>
      <c r="IF15" s="368"/>
      <c r="IG15" s="368"/>
      <c r="IH15" s="368"/>
      <c r="II15" s="368"/>
      <c r="IJ15" s="368"/>
      <c r="IK15" s="368"/>
      <c r="IL15" s="368"/>
      <c r="IM15" s="368"/>
      <c r="IN15" s="368"/>
      <c r="IO15" s="368"/>
      <c r="IP15" s="368"/>
      <c r="IQ15" s="368"/>
      <c r="IR15" s="368"/>
      <c r="IS15" s="368"/>
      <c r="IT15" s="368"/>
      <c r="IU15" s="368"/>
    </row>
    <row r="16" spans="1:255" ht="15.75" customHeight="1">
      <c r="A16" s="234" t="s">
        <v>11</v>
      </c>
      <c r="B16" s="23" t="s">
        <v>12</v>
      </c>
      <c r="C16" s="23"/>
      <c r="D16" s="29" t="s">
        <v>13</v>
      </c>
      <c r="E16" s="29" t="s">
        <v>14</v>
      </c>
      <c r="F16" s="858" t="s">
        <v>198</v>
      </c>
      <c r="G16" s="29" t="s">
        <v>199</v>
      </c>
      <c r="H16" s="271"/>
      <c r="I16" s="368"/>
      <c r="J16" s="368"/>
      <c r="K16" s="368"/>
      <c r="R16" s="18">
        <f>IF(AND(J29&gt;500,Q19="G",S20="-"),2,IF(AND(J29&gt;500,Q19="G",S20&gt;100),0,IF(AND(J29&gt;500,Q19="G",S20=""),2,IF(AND(J29&gt;500,Q19="G",S20&lt;=100),1,IF(AND(Q19="G",J29&gt;500),2,IF(AND(J29="-",Q19="G"),2,IF(AND(J29&gt;500,Q19="G",S20="-"),2,IF(AND(Q19="G",J29="-",S20&gt;100),2,IF(AND(J29="-",Q19="NG",S20&lt;=100),1,IF(AND(J29="-",Q19="NG",S20&gt;100),1,IF(AND(J29="-",Q19="NG",S20="-"),2,IF(AND(J29="-",Q19="NG",S20=""),2,IF(AND(J29="",S20="",Q19="NG"),2,IF(AND(Q19="NG",J29&lt;=500,S20&gt;100),1,IF(AND(Q19="G",B108="CEK LAGI OM!!!"),2,IF(AND(Q19="G",J29&gt;500,S20&gt;100),0,IF(AND(Q19="G",V27="uye"),2,IF(AND(Q19="G",V27="keluar"),1,IF(AND(Q19="NG",V27="keluar"),0,IF(AND(Q19="NG",V27="masuk"),1,IF(AND(Q19="G",V27="masuk"),1)))))))))))))))))))))</f>
        <v>0</v>
      </c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  <c r="AJ16" s="368"/>
      <c r="AK16" s="368"/>
      <c r="AL16" s="368"/>
      <c r="AM16" s="368"/>
      <c r="AN16" s="368"/>
      <c r="AO16" s="368"/>
      <c r="AP16" s="368"/>
      <c r="AQ16" s="368"/>
      <c r="AR16" s="368"/>
      <c r="AS16" s="368"/>
      <c r="AT16" s="368"/>
      <c r="AU16" s="368"/>
      <c r="AV16" s="368"/>
      <c r="AW16" s="368"/>
      <c r="AX16" s="368"/>
      <c r="AY16" s="368"/>
      <c r="AZ16" s="368"/>
      <c r="BA16" s="368"/>
      <c r="BB16" s="368"/>
      <c r="BC16" s="368"/>
      <c r="BD16" s="368"/>
      <c r="BE16" s="368"/>
      <c r="BF16" s="368"/>
      <c r="BG16" s="368"/>
      <c r="BH16" s="368"/>
      <c r="BI16" s="368"/>
      <c r="BJ16" s="368"/>
      <c r="BK16" s="368"/>
      <c r="BL16" s="368"/>
      <c r="BM16" s="368"/>
      <c r="BN16" s="368"/>
      <c r="BO16" s="368"/>
      <c r="BP16" s="368"/>
      <c r="BQ16" s="368"/>
      <c r="BR16" s="368"/>
      <c r="BS16" s="368"/>
      <c r="BT16" s="368"/>
      <c r="BU16" s="368"/>
      <c r="BV16" s="368"/>
      <c r="BW16" s="368"/>
      <c r="BX16" s="368"/>
      <c r="BY16" s="368"/>
      <c r="BZ16" s="368"/>
      <c r="CA16" s="368"/>
      <c r="CB16" s="368"/>
      <c r="CC16" s="368"/>
      <c r="CD16" s="368"/>
      <c r="CE16" s="368"/>
      <c r="CF16" s="368"/>
      <c r="CG16" s="368"/>
      <c r="CH16" s="368"/>
      <c r="CI16" s="368"/>
      <c r="CJ16" s="368"/>
      <c r="CK16" s="368"/>
      <c r="CL16" s="368"/>
      <c r="CM16" s="368"/>
      <c r="CN16" s="368"/>
      <c r="CO16" s="368"/>
      <c r="CP16" s="368"/>
      <c r="CQ16" s="368"/>
      <c r="CR16" s="368"/>
      <c r="CS16" s="368"/>
      <c r="CT16" s="368"/>
      <c r="CU16" s="368"/>
      <c r="CV16" s="368"/>
      <c r="CW16" s="368"/>
      <c r="CX16" s="368"/>
      <c r="CY16" s="368"/>
      <c r="CZ16" s="368"/>
      <c r="DA16" s="368"/>
      <c r="DB16" s="368"/>
      <c r="DC16" s="368"/>
      <c r="DD16" s="368"/>
      <c r="DE16" s="368"/>
      <c r="DF16" s="368"/>
      <c r="DG16" s="368"/>
      <c r="DH16" s="368"/>
      <c r="DI16" s="368"/>
      <c r="DJ16" s="368"/>
      <c r="DK16" s="368"/>
      <c r="DL16" s="368"/>
      <c r="DM16" s="368"/>
      <c r="DN16" s="368"/>
      <c r="DO16" s="368"/>
      <c r="DP16" s="368"/>
      <c r="DQ16" s="368"/>
      <c r="DR16" s="368"/>
      <c r="DS16" s="368"/>
      <c r="DT16" s="368"/>
      <c r="DU16" s="368"/>
      <c r="DV16" s="368"/>
      <c r="DW16" s="368"/>
      <c r="DX16" s="368"/>
      <c r="DY16" s="368"/>
      <c r="DZ16" s="368"/>
      <c r="EA16" s="368"/>
      <c r="EB16" s="368"/>
      <c r="EC16" s="368"/>
      <c r="ED16" s="368"/>
      <c r="EE16" s="368"/>
      <c r="EF16" s="368"/>
      <c r="EG16" s="368"/>
      <c r="EH16" s="368"/>
      <c r="EI16" s="368"/>
      <c r="EJ16" s="368"/>
      <c r="EK16" s="368"/>
      <c r="EL16" s="368"/>
      <c r="EM16" s="368"/>
      <c r="EN16" s="368"/>
      <c r="EO16" s="368"/>
      <c r="EP16" s="368"/>
      <c r="EQ16" s="368"/>
      <c r="ER16" s="368"/>
      <c r="ES16" s="368"/>
      <c r="ET16" s="368"/>
      <c r="EU16" s="368"/>
      <c r="EV16" s="368"/>
      <c r="EW16" s="368"/>
      <c r="EX16" s="368"/>
      <c r="EY16" s="368"/>
      <c r="EZ16" s="368"/>
      <c r="FA16" s="368"/>
      <c r="FB16" s="368"/>
      <c r="FC16" s="368"/>
      <c r="FD16" s="368"/>
      <c r="FE16" s="368"/>
      <c r="FF16" s="368"/>
      <c r="FG16" s="368"/>
      <c r="FH16" s="368"/>
      <c r="FI16" s="368"/>
      <c r="FJ16" s="368"/>
      <c r="FK16" s="368"/>
      <c r="FL16" s="368"/>
      <c r="FM16" s="368"/>
      <c r="FN16" s="368"/>
      <c r="FO16" s="368"/>
      <c r="FP16" s="368"/>
      <c r="FQ16" s="368"/>
      <c r="FR16" s="368"/>
      <c r="FS16" s="368"/>
      <c r="FT16" s="368"/>
      <c r="FU16" s="368"/>
      <c r="FV16" s="368"/>
      <c r="FW16" s="368"/>
      <c r="FX16" s="368"/>
      <c r="FY16" s="368"/>
      <c r="FZ16" s="368"/>
      <c r="GA16" s="368"/>
      <c r="GB16" s="368"/>
      <c r="GC16" s="368"/>
      <c r="GD16" s="368"/>
      <c r="GE16" s="368"/>
      <c r="GF16" s="368"/>
      <c r="GG16" s="368"/>
      <c r="GH16" s="368"/>
      <c r="GI16" s="368"/>
      <c r="GJ16" s="368"/>
      <c r="GK16" s="368"/>
      <c r="GL16" s="368"/>
      <c r="GM16" s="368"/>
      <c r="GN16" s="368"/>
      <c r="GO16" s="368"/>
      <c r="GP16" s="368"/>
      <c r="GQ16" s="368"/>
      <c r="GR16" s="368"/>
      <c r="GS16" s="368"/>
      <c r="GT16" s="368"/>
      <c r="GU16" s="368"/>
      <c r="GV16" s="368"/>
      <c r="GW16" s="368"/>
      <c r="GX16" s="368"/>
      <c r="GY16" s="368"/>
      <c r="GZ16" s="368"/>
      <c r="HA16" s="368"/>
      <c r="HB16" s="368"/>
      <c r="HC16" s="368"/>
      <c r="HD16" s="368"/>
      <c r="HE16" s="368"/>
      <c r="HF16" s="368"/>
      <c r="HG16" s="368"/>
      <c r="HH16" s="368"/>
      <c r="HI16" s="368"/>
      <c r="HJ16" s="368"/>
      <c r="HK16" s="368"/>
      <c r="HL16" s="368"/>
      <c r="HM16" s="368"/>
      <c r="HN16" s="368"/>
      <c r="HO16" s="368"/>
      <c r="HP16" s="368"/>
      <c r="HQ16" s="368"/>
      <c r="HR16" s="368"/>
      <c r="HS16" s="368"/>
      <c r="HT16" s="368"/>
      <c r="HU16" s="368"/>
      <c r="HV16" s="368"/>
      <c r="HW16" s="368"/>
      <c r="HX16" s="368"/>
      <c r="HY16" s="368"/>
      <c r="HZ16" s="368"/>
      <c r="IA16" s="368"/>
      <c r="IB16" s="368"/>
      <c r="IC16" s="368"/>
      <c r="ID16" s="368"/>
      <c r="IE16" s="368"/>
      <c r="IF16" s="368"/>
      <c r="IG16" s="368"/>
      <c r="IH16" s="368"/>
      <c r="II16" s="368"/>
      <c r="IJ16" s="368"/>
      <c r="IK16" s="368"/>
      <c r="IL16" s="368"/>
      <c r="IM16" s="368"/>
      <c r="IN16" s="368"/>
      <c r="IO16" s="368"/>
      <c r="IP16" s="368"/>
      <c r="IQ16" s="368"/>
      <c r="IR16" s="368"/>
      <c r="IS16" s="368"/>
      <c r="IT16" s="368"/>
      <c r="IU16" s="368"/>
    </row>
    <row r="17" spans="2:255" ht="18" customHeight="1">
      <c r="B17" s="21" t="s">
        <v>15</v>
      </c>
      <c r="C17" s="11" t="s">
        <v>3</v>
      </c>
      <c r="D17" s="897">
        <v>25</v>
      </c>
      <c r="E17" s="897">
        <v>25.2</v>
      </c>
      <c r="F17" s="801">
        <f>(D17+E17)/2</f>
        <v>25.1</v>
      </c>
      <c r="G17" s="31">
        <f>(MAX(D17:E17)-MIN(D17:E17))/2</f>
        <v>9.9999999999999645E-2</v>
      </c>
      <c r="H17" s="18" t="s">
        <v>16</v>
      </c>
      <c r="I17" s="368"/>
      <c r="J17" s="368"/>
      <c r="K17" s="368"/>
      <c r="AA17" s="368"/>
      <c r="AB17" s="368"/>
      <c r="AC17" s="368"/>
      <c r="AD17" s="368"/>
      <c r="AE17" s="368"/>
      <c r="AF17" s="368"/>
      <c r="AG17" s="368"/>
      <c r="AH17" s="368"/>
      <c r="AI17" s="368"/>
      <c r="AJ17" s="368"/>
      <c r="AK17" s="368"/>
      <c r="AL17" s="368"/>
      <c r="AM17" s="368"/>
      <c r="AN17" s="368"/>
      <c r="AO17" s="368"/>
      <c r="AP17" s="368"/>
      <c r="AQ17" s="368"/>
      <c r="AR17" s="368"/>
      <c r="AS17" s="368"/>
      <c r="AT17" s="368"/>
      <c r="AU17" s="368"/>
      <c r="AV17" s="368"/>
      <c r="AW17" s="368"/>
      <c r="AX17" s="368"/>
      <c r="AY17" s="368"/>
      <c r="AZ17" s="368"/>
      <c r="BA17" s="368"/>
      <c r="BB17" s="368"/>
      <c r="BC17" s="368"/>
      <c r="BD17" s="368"/>
      <c r="BE17" s="368"/>
      <c r="BF17" s="368"/>
      <c r="BG17" s="368"/>
      <c r="BH17" s="368"/>
      <c r="BI17" s="368"/>
      <c r="BJ17" s="368"/>
      <c r="BK17" s="368"/>
      <c r="BL17" s="368"/>
      <c r="BM17" s="368"/>
      <c r="BN17" s="368"/>
      <c r="BO17" s="368"/>
      <c r="BP17" s="368"/>
      <c r="BQ17" s="368"/>
      <c r="BR17" s="368"/>
      <c r="BS17" s="368"/>
      <c r="BT17" s="368"/>
      <c r="BU17" s="368"/>
      <c r="BV17" s="368"/>
      <c r="BW17" s="368"/>
      <c r="BX17" s="368"/>
      <c r="BY17" s="368"/>
      <c r="BZ17" s="368"/>
      <c r="CA17" s="368"/>
      <c r="CB17" s="368"/>
      <c r="CC17" s="368"/>
      <c r="CD17" s="368"/>
      <c r="CE17" s="368"/>
      <c r="CF17" s="368"/>
      <c r="CG17" s="368"/>
      <c r="CH17" s="368"/>
      <c r="CI17" s="368"/>
      <c r="CJ17" s="368"/>
      <c r="CK17" s="368"/>
      <c r="CL17" s="368"/>
      <c r="CM17" s="368"/>
      <c r="CN17" s="368"/>
      <c r="CO17" s="368"/>
      <c r="CP17" s="368"/>
      <c r="CQ17" s="368"/>
      <c r="CR17" s="368"/>
      <c r="CS17" s="368"/>
      <c r="CT17" s="368"/>
      <c r="CU17" s="368"/>
      <c r="CV17" s="368"/>
      <c r="CW17" s="368"/>
      <c r="CX17" s="368"/>
      <c r="CY17" s="368"/>
      <c r="CZ17" s="368"/>
      <c r="DA17" s="368"/>
      <c r="DB17" s="368"/>
      <c r="DC17" s="368"/>
      <c r="DD17" s="368"/>
      <c r="DE17" s="368"/>
      <c r="DF17" s="368"/>
      <c r="DG17" s="368"/>
      <c r="DH17" s="368"/>
      <c r="DI17" s="368"/>
      <c r="DJ17" s="368"/>
      <c r="DK17" s="368"/>
      <c r="DL17" s="368"/>
      <c r="DM17" s="368"/>
      <c r="DN17" s="368"/>
      <c r="DO17" s="368"/>
      <c r="DP17" s="368"/>
      <c r="DQ17" s="368"/>
      <c r="DR17" s="368"/>
      <c r="DS17" s="368"/>
      <c r="DT17" s="368"/>
      <c r="DU17" s="368"/>
      <c r="DV17" s="368"/>
      <c r="DW17" s="368"/>
      <c r="DX17" s="368"/>
      <c r="DY17" s="368"/>
      <c r="DZ17" s="368"/>
      <c r="EA17" s="368"/>
      <c r="EB17" s="368"/>
      <c r="EC17" s="368"/>
      <c r="ED17" s="368"/>
      <c r="EE17" s="368"/>
      <c r="EF17" s="368"/>
      <c r="EG17" s="368"/>
      <c r="EH17" s="368"/>
      <c r="EI17" s="368"/>
      <c r="EJ17" s="368"/>
      <c r="EK17" s="368"/>
      <c r="EL17" s="368"/>
      <c r="EM17" s="368"/>
      <c r="EN17" s="368"/>
      <c r="EO17" s="368"/>
      <c r="EP17" s="368"/>
      <c r="EQ17" s="368"/>
      <c r="ER17" s="368"/>
      <c r="ES17" s="368"/>
      <c r="ET17" s="368"/>
      <c r="EU17" s="368"/>
      <c r="EV17" s="368"/>
      <c r="EW17" s="368"/>
      <c r="EX17" s="368"/>
      <c r="EY17" s="368"/>
      <c r="EZ17" s="368"/>
      <c r="FA17" s="368"/>
      <c r="FB17" s="368"/>
      <c r="FC17" s="368"/>
      <c r="FD17" s="368"/>
      <c r="FE17" s="368"/>
      <c r="FF17" s="368"/>
      <c r="FG17" s="368"/>
      <c r="FH17" s="368"/>
      <c r="FI17" s="368"/>
      <c r="FJ17" s="368"/>
      <c r="FK17" s="368"/>
      <c r="FL17" s="368"/>
      <c r="FM17" s="368"/>
      <c r="FN17" s="368"/>
      <c r="FO17" s="368"/>
      <c r="FP17" s="368"/>
      <c r="FQ17" s="368"/>
      <c r="FR17" s="368"/>
      <c r="FS17" s="368"/>
      <c r="FT17" s="368"/>
      <c r="FU17" s="368"/>
      <c r="FV17" s="368"/>
      <c r="FW17" s="368"/>
      <c r="FX17" s="368"/>
      <c r="FY17" s="368"/>
      <c r="FZ17" s="368"/>
      <c r="GA17" s="368"/>
      <c r="GB17" s="368"/>
      <c r="GC17" s="368"/>
      <c r="GD17" s="368"/>
      <c r="GE17" s="368"/>
      <c r="GF17" s="368"/>
      <c r="GG17" s="368"/>
      <c r="GH17" s="368"/>
      <c r="GI17" s="368"/>
      <c r="GJ17" s="368"/>
      <c r="GK17" s="368"/>
      <c r="GL17" s="368"/>
      <c r="GM17" s="368"/>
      <c r="GN17" s="368"/>
      <c r="GO17" s="368"/>
      <c r="GP17" s="368"/>
      <c r="GQ17" s="368"/>
      <c r="GR17" s="368"/>
      <c r="GS17" s="368"/>
      <c r="GT17" s="368"/>
      <c r="GU17" s="368"/>
      <c r="GV17" s="368"/>
      <c r="GW17" s="368"/>
      <c r="GX17" s="368"/>
      <c r="GY17" s="368"/>
      <c r="GZ17" s="368"/>
      <c r="HA17" s="368"/>
      <c r="HB17" s="368"/>
      <c r="HC17" s="368"/>
      <c r="HD17" s="368"/>
      <c r="HE17" s="368"/>
      <c r="HF17" s="368"/>
      <c r="HG17" s="368"/>
      <c r="HH17" s="368"/>
      <c r="HI17" s="368"/>
      <c r="HJ17" s="368"/>
      <c r="HK17" s="368"/>
      <c r="HL17" s="368"/>
      <c r="HM17" s="368"/>
      <c r="HN17" s="368"/>
      <c r="HO17" s="368"/>
      <c r="HP17" s="368"/>
      <c r="HQ17" s="368"/>
      <c r="HR17" s="368"/>
      <c r="HS17" s="368"/>
      <c r="HT17" s="368"/>
      <c r="HU17" s="368"/>
      <c r="HV17" s="368"/>
      <c r="HW17" s="368"/>
      <c r="HX17" s="368"/>
      <c r="HY17" s="368"/>
      <c r="HZ17" s="368"/>
      <c r="IA17" s="368"/>
      <c r="IB17" s="368"/>
      <c r="IC17" s="368"/>
      <c r="ID17" s="368"/>
      <c r="IE17" s="368"/>
      <c r="IF17" s="368"/>
      <c r="IG17" s="368"/>
      <c r="IH17" s="368"/>
      <c r="II17" s="368"/>
      <c r="IJ17" s="368"/>
      <c r="IK17" s="368"/>
      <c r="IL17" s="368"/>
      <c r="IM17" s="368"/>
      <c r="IN17" s="368"/>
      <c r="IO17" s="368"/>
      <c r="IP17" s="368"/>
      <c r="IQ17" s="368"/>
      <c r="IR17" s="368"/>
      <c r="IS17" s="368"/>
      <c r="IT17" s="368"/>
      <c r="IU17" s="368"/>
    </row>
    <row r="18" spans="2:255" ht="16.5" customHeight="1">
      <c r="B18" s="21" t="s">
        <v>202</v>
      </c>
      <c r="C18" s="11" t="s">
        <v>3</v>
      </c>
      <c r="D18" s="898">
        <v>64</v>
      </c>
      <c r="E18" s="898">
        <v>63.7</v>
      </c>
      <c r="F18" s="859">
        <f>(D18+E18)/2</f>
        <v>63.85</v>
      </c>
      <c r="G18" s="31">
        <f>(MAX(D18:E18)-MIN(D18:E18))/2</f>
        <v>0.14999999999999858</v>
      </c>
      <c r="H18" s="18" t="s">
        <v>18</v>
      </c>
      <c r="I18" s="368"/>
      <c r="J18" s="368"/>
      <c r="K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/>
      <c r="AV18" s="368"/>
      <c r="AW18" s="368"/>
      <c r="AX18" s="368"/>
      <c r="AY18" s="368"/>
      <c r="AZ18" s="368"/>
      <c r="BA18" s="368"/>
      <c r="BB18" s="368"/>
      <c r="BC18" s="368"/>
      <c r="BD18" s="368"/>
      <c r="BE18" s="368"/>
      <c r="BF18" s="368"/>
      <c r="BG18" s="368"/>
      <c r="BH18" s="368"/>
      <c r="BI18" s="368"/>
      <c r="BJ18" s="368"/>
      <c r="BK18" s="368"/>
      <c r="BL18" s="368"/>
      <c r="BM18" s="368"/>
      <c r="BN18" s="368"/>
      <c r="BO18" s="368"/>
      <c r="BP18" s="368"/>
      <c r="BQ18" s="368"/>
      <c r="BR18" s="368"/>
      <c r="BS18" s="368"/>
      <c r="BT18" s="368"/>
      <c r="BU18" s="368"/>
      <c r="BV18" s="368"/>
      <c r="BW18" s="368"/>
      <c r="BX18" s="368"/>
      <c r="BY18" s="368"/>
      <c r="BZ18" s="368"/>
      <c r="CA18" s="368"/>
      <c r="CB18" s="368"/>
      <c r="CC18" s="368"/>
      <c r="CD18" s="368"/>
      <c r="CE18" s="368"/>
      <c r="CF18" s="368"/>
      <c r="CG18" s="368"/>
      <c r="CH18" s="368"/>
      <c r="CI18" s="368"/>
      <c r="CJ18" s="368"/>
      <c r="CK18" s="368"/>
      <c r="CL18" s="368"/>
      <c r="CM18" s="368"/>
      <c r="CN18" s="368"/>
      <c r="CO18" s="368"/>
      <c r="CP18" s="368"/>
      <c r="CQ18" s="368"/>
      <c r="CR18" s="368"/>
      <c r="CS18" s="368"/>
      <c r="CT18" s="368"/>
      <c r="CU18" s="368"/>
      <c r="CV18" s="368"/>
      <c r="CW18" s="368"/>
      <c r="CX18" s="368"/>
      <c r="CY18" s="368"/>
      <c r="CZ18" s="368"/>
      <c r="DA18" s="368"/>
      <c r="DB18" s="368"/>
      <c r="DC18" s="368"/>
      <c r="DD18" s="368"/>
      <c r="DE18" s="368"/>
      <c r="DF18" s="368"/>
      <c r="DG18" s="368"/>
      <c r="DH18" s="368"/>
      <c r="DI18" s="368"/>
      <c r="DJ18" s="368"/>
      <c r="DK18" s="368"/>
      <c r="DL18" s="368"/>
      <c r="DM18" s="368"/>
      <c r="DN18" s="368"/>
      <c r="DO18" s="368"/>
      <c r="DP18" s="368"/>
      <c r="DQ18" s="368"/>
      <c r="DR18" s="368"/>
      <c r="DS18" s="368"/>
      <c r="DT18" s="368"/>
      <c r="DU18" s="368"/>
      <c r="DV18" s="368"/>
      <c r="DW18" s="368"/>
      <c r="DX18" s="368"/>
      <c r="DY18" s="368"/>
      <c r="DZ18" s="368"/>
      <c r="EA18" s="368"/>
      <c r="EB18" s="368"/>
      <c r="EC18" s="368"/>
      <c r="ED18" s="368"/>
      <c r="EE18" s="368"/>
      <c r="EF18" s="368"/>
      <c r="EG18" s="368"/>
      <c r="EH18" s="368"/>
      <c r="EI18" s="368"/>
      <c r="EJ18" s="368"/>
      <c r="EK18" s="368"/>
      <c r="EL18" s="368"/>
      <c r="EM18" s="368"/>
      <c r="EN18" s="368"/>
      <c r="EO18" s="368"/>
      <c r="EP18" s="368"/>
      <c r="EQ18" s="368"/>
      <c r="ER18" s="368"/>
      <c r="ES18" s="368"/>
      <c r="ET18" s="368"/>
      <c r="EU18" s="368"/>
      <c r="EV18" s="368"/>
      <c r="EW18" s="368"/>
      <c r="EX18" s="368"/>
      <c r="EY18" s="368"/>
      <c r="EZ18" s="368"/>
      <c r="FA18" s="368"/>
      <c r="FB18" s="368"/>
      <c r="FC18" s="368"/>
      <c r="FD18" s="368"/>
      <c r="FE18" s="368"/>
      <c r="FF18" s="368"/>
      <c r="FG18" s="368"/>
      <c r="FH18" s="368"/>
      <c r="FI18" s="368"/>
      <c r="FJ18" s="368"/>
      <c r="FK18" s="368"/>
      <c r="FL18" s="368"/>
      <c r="FM18" s="368"/>
      <c r="FN18" s="368"/>
      <c r="FO18" s="368"/>
      <c r="FP18" s="368"/>
      <c r="FQ18" s="368"/>
      <c r="FR18" s="368"/>
      <c r="FS18" s="368"/>
      <c r="FT18" s="368"/>
      <c r="FU18" s="368"/>
      <c r="FV18" s="368"/>
      <c r="FW18" s="368"/>
      <c r="FX18" s="368"/>
      <c r="FY18" s="368"/>
      <c r="FZ18" s="368"/>
      <c r="GA18" s="368"/>
      <c r="GB18" s="368"/>
      <c r="GC18" s="368"/>
      <c r="GD18" s="368"/>
      <c r="GE18" s="368"/>
      <c r="GF18" s="368"/>
      <c r="GG18" s="368"/>
      <c r="GH18" s="368"/>
      <c r="GI18" s="368"/>
      <c r="GJ18" s="368"/>
      <c r="GK18" s="368"/>
      <c r="GL18" s="368"/>
      <c r="GM18" s="368"/>
      <c r="GN18" s="368"/>
      <c r="GO18" s="368"/>
      <c r="GP18" s="368"/>
      <c r="GQ18" s="368"/>
      <c r="GR18" s="368"/>
      <c r="GS18" s="368"/>
      <c r="GT18" s="368"/>
      <c r="GU18" s="368"/>
      <c r="GV18" s="368"/>
      <c r="GW18" s="368"/>
      <c r="GX18" s="368"/>
      <c r="GY18" s="368"/>
      <c r="GZ18" s="368"/>
      <c r="HA18" s="368"/>
      <c r="HB18" s="368"/>
      <c r="HC18" s="368"/>
      <c r="HD18" s="368"/>
      <c r="HE18" s="368"/>
      <c r="HF18" s="368"/>
      <c r="HG18" s="368"/>
      <c r="HH18" s="368"/>
      <c r="HI18" s="368"/>
      <c r="HJ18" s="368"/>
      <c r="HK18" s="368"/>
      <c r="HL18" s="368"/>
      <c r="HM18" s="368"/>
      <c r="HN18" s="368"/>
      <c r="HO18" s="368"/>
      <c r="HP18" s="368"/>
      <c r="HQ18" s="368"/>
      <c r="HR18" s="368"/>
      <c r="HS18" s="368"/>
      <c r="HT18" s="368"/>
      <c r="HU18" s="368"/>
      <c r="HV18" s="368"/>
      <c r="HW18" s="368"/>
      <c r="HX18" s="368"/>
      <c r="HY18" s="368"/>
      <c r="HZ18" s="368"/>
      <c r="IA18" s="368"/>
      <c r="IB18" s="368"/>
      <c r="IC18" s="368"/>
      <c r="ID18" s="368"/>
      <c r="IE18" s="368"/>
      <c r="IF18" s="368"/>
      <c r="IG18" s="368"/>
      <c r="IH18" s="368"/>
      <c r="II18" s="368"/>
      <c r="IJ18" s="368"/>
      <c r="IK18" s="368"/>
      <c r="IL18" s="368"/>
      <c r="IM18" s="368"/>
      <c r="IN18" s="368"/>
      <c r="IO18" s="368"/>
      <c r="IP18" s="368"/>
      <c r="IQ18" s="368"/>
      <c r="IR18" s="368"/>
      <c r="IS18" s="368"/>
      <c r="IT18" s="368"/>
      <c r="IU18" s="368"/>
    </row>
    <row r="19" spans="2:255" ht="16.5" customHeight="1">
      <c r="B19" s="1061" t="s">
        <v>203</v>
      </c>
      <c r="C19" s="1061"/>
      <c r="D19" s="899">
        <v>204.5</v>
      </c>
      <c r="E19" s="860" t="s">
        <v>204</v>
      </c>
      <c r="F19" s="860"/>
      <c r="H19" s="41"/>
      <c r="I19" s="41"/>
      <c r="J19" s="41"/>
      <c r="Q19" s="1039" t="s">
        <v>205</v>
      </c>
      <c r="R19" s="1039"/>
      <c r="S19" s="861" t="s">
        <v>206</v>
      </c>
      <c r="AA19" s="368"/>
      <c r="AB19" s="368"/>
      <c r="AC19" s="368"/>
      <c r="AD19" s="368"/>
      <c r="AE19" s="368"/>
      <c r="AF19" s="368"/>
      <c r="AG19" s="368"/>
      <c r="AH19" s="368"/>
      <c r="AI19" s="368"/>
      <c r="AJ19" s="368"/>
      <c r="AK19" s="368"/>
      <c r="AL19" s="368"/>
      <c r="AM19" s="368"/>
      <c r="AN19" s="368"/>
      <c r="AO19" s="368"/>
      <c r="AP19" s="368"/>
      <c r="AQ19" s="368"/>
      <c r="AR19" s="368"/>
      <c r="AS19" s="368"/>
      <c r="AT19" s="368"/>
      <c r="AU19" s="368"/>
      <c r="AV19" s="368"/>
      <c r="AW19" s="368"/>
      <c r="AX19" s="368"/>
      <c r="AY19" s="368"/>
      <c r="AZ19" s="368"/>
      <c r="BA19" s="368"/>
      <c r="BB19" s="368"/>
      <c r="BC19" s="368"/>
      <c r="BD19" s="368"/>
      <c r="BE19" s="368"/>
      <c r="BF19" s="368"/>
      <c r="BG19" s="368"/>
      <c r="BH19" s="368"/>
      <c r="BI19" s="368"/>
      <c r="BJ19" s="368"/>
      <c r="BK19" s="368"/>
      <c r="BL19" s="368"/>
      <c r="BM19" s="368"/>
      <c r="BN19" s="368"/>
      <c r="BO19" s="368"/>
      <c r="BP19" s="368"/>
      <c r="BQ19" s="368"/>
      <c r="BR19" s="368"/>
      <c r="BS19" s="368"/>
      <c r="BT19" s="368"/>
      <c r="BU19" s="368"/>
      <c r="BV19" s="368"/>
      <c r="BW19" s="368"/>
      <c r="BX19" s="368"/>
      <c r="BY19" s="368"/>
      <c r="BZ19" s="368"/>
      <c r="CA19" s="368"/>
      <c r="CB19" s="368"/>
      <c r="CC19" s="368"/>
      <c r="CD19" s="368"/>
      <c r="CE19" s="368"/>
      <c r="CF19" s="368"/>
      <c r="CG19" s="368"/>
      <c r="CH19" s="368"/>
      <c r="CI19" s="368"/>
      <c r="CJ19" s="368"/>
      <c r="CK19" s="368"/>
      <c r="CL19" s="368"/>
      <c r="CM19" s="368"/>
      <c r="CN19" s="368"/>
      <c r="CO19" s="368"/>
      <c r="CP19" s="368"/>
      <c r="CQ19" s="368"/>
      <c r="CR19" s="368"/>
      <c r="CS19" s="368"/>
      <c r="CT19" s="368"/>
      <c r="CU19" s="368"/>
      <c r="CV19" s="368"/>
      <c r="CW19" s="368"/>
      <c r="CX19" s="368"/>
      <c r="CY19" s="368"/>
      <c r="CZ19" s="368"/>
      <c r="DA19" s="368"/>
      <c r="DB19" s="368"/>
      <c r="DC19" s="368"/>
      <c r="DD19" s="368"/>
      <c r="DE19" s="368"/>
      <c r="DF19" s="368"/>
      <c r="DG19" s="368"/>
      <c r="DH19" s="368"/>
      <c r="DI19" s="368"/>
      <c r="DJ19" s="368"/>
      <c r="DK19" s="368"/>
      <c r="DL19" s="368"/>
      <c r="DM19" s="368"/>
      <c r="DN19" s="368"/>
      <c r="DO19" s="368"/>
      <c r="DP19" s="368"/>
      <c r="DQ19" s="368"/>
      <c r="DR19" s="368"/>
      <c r="DS19" s="368"/>
      <c r="DT19" s="368"/>
      <c r="DU19" s="368"/>
      <c r="DV19" s="368"/>
      <c r="DW19" s="368"/>
      <c r="DX19" s="368"/>
      <c r="DY19" s="368"/>
      <c r="DZ19" s="368"/>
      <c r="EA19" s="368"/>
      <c r="EB19" s="368"/>
      <c r="EC19" s="368"/>
      <c r="ED19" s="368"/>
      <c r="EE19" s="368"/>
      <c r="EF19" s="368"/>
      <c r="EG19" s="368"/>
      <c r="EH19" s="368"/>
      <c r="EI19" s="368"/>
      <c r="EJ19" s="368"/>
      <c r="EK19" s="368"/>
      <c r="EL19" s="368"/>
      <c r="EM19" s="368"/>
      <c r="EN19" s="368"/>
      <c r="EO19" s="368"/>
      <c r="EP19" s="368"/>
      <c r="EQ19" s="368"/>
      <c r="ER19" s="368"/>
      <c r="ES19" s="368"/>
      <c r="ET19" s="368"/>
      <c r="EU19" s="368"/>
      <c r="EV19" s="368"/>
      <c r="EW19" s="368"/>
      <c r="EX19" s="368"/>
      <c r="EY19" s="368"/>
      <c r="EZ19" s="368"/>
      <c r="FA19" s="368"/>
      <c r="FB19" s="368"/>
      <c r="FC19" s="368"/>
      <c r="FD19" s="368"/>
      <c r="FE19" s="368"/>
      <c r="FF19" s="368"/>
      <c r="FG19" s="368"/>
      <c r="FH19" s="368"/>
      <c r="FI19" s="368"/>
      <c r="FJ19" s="368"/>
      <c r="FK19" s="368"/>
      <c r="FL19" s="368"/>
      <c r="FM19" s="368"/>
      <c r="FN19" s="368"/>
      <c r="FO19" s="368"/>
      <c r="FP19" s="368"/>
      <c r="FQ19" s="368"/>
      <c r="FR19" s="368"/>
      <c r="FS19" s="368"/>
      <c r="FT19" s="368"/>
      <c r="FU19" s="368"/>
      <c r="FV19" s="368"/>
      <c r="FW19" s="368"/>
      <c r="FX19" s="368"/>
      <c r="FY19" s="368"/>
      <c r="FZ19" s="368"/>
      <c r="GA19" s="368"/>
      <c r="GB19" s="368"/>
      <c r="GC19" s="368"/>
      <c r="GD19" s="368"/>
      <c r="GE19" s="368"/>
      <c r="GF19" s="368"/>
      <c r="GG19" s="368"/>
      <c r="GH19" s="368"/>
      <c r="GI19" s="368"/>
      <c r="GJ19" s="368"/>
      <c r="GK19" s="368"/>
      <c r="GL19" s="368"/>
      <c r="GM19" s="368"/>
      <c r="GN19" s="368"/>
      <c r="GO19" s="368"/>
      <c r="GP19" s="368"/>
      <c r="GQ19" s="368"/>
      <c r="GR19" s="368"/>
      <c r="GS19" s="368"/>
      <c r="GT19" s="368"/>
      <c r="GU19" s="368"/>
      <c r="GV19" s="368"/>
      <c r="GW19" s="368"/>
      <c r="GX19" s="368"/>
      <c r="GY19" s="368"/>
      <c r="GZ19" s="368"/>
      <c r="HA19" s="368"/>
      <c r="HB19" s="368"/>
      <c r="HC19" s="368"/>
      <c r="HD19" s="368"/>
      <c r="HE19" s="368"/>
      <c r="HF19" s="368"/>
      <c r="HG19" s="368"/>
      <c r="HH19" s="368"/>
      <c r="HI19" s="368"/>
      <c r="HJ19" s="368"/>
      <c r="HK19" s="368"/>
      <c r="HL19" s="368"/>
      <c r="HM19" s="368"/>
      <c r="HN19" s="368"/>
      <c r="HO19" s="368"/>
      <c r="HP19" s="368"/>
      <c r="HQ19" s="368"/>
      <c r="HR19" s="368"/>
      <c r="HS19" s="368"/>
      <c r="HT19" s="368"/>
      <c r="HU19" s="368"/>
      <c r="HV19" s="368"/>
      <c r="HW19" s="368"/>
      <c r="HX19" s="368"/>
      <c r="HY19" s="368"/>
      <c r="HZ19" s="368"/>
      <c r="IA19" s="368"/>
      <c r="IB19" s="368"/>
      <c r="IC19" s="368"/>
      <c r="ID19" s="368"/>
      <c r="IE19" s="368"/>
      <c r="IF19" s="368"/>
      <c r="IG19" s="368"/>
      <c r="IH19" s="368"/>
      <c r="II19" s="368"/>
      <c r="IJ19" s="368"/>
      <c r="IK19" s="368"/>
      <c r="IL19" s="368"/>
      <c r="IM19" s="368"/>
      <c r="IN19" s="368"/>
      <c r="IO19" s="368"/>
      <c r="IP19" s="368"/>
      <c r="IQ19" s="368"/>
      <c r="IR19" s="368"/>
      <c r="IS19" s="368"/>
      <c r="IT19" s="368"/>
      <c r="IU19" s="368"/>
    </row>
    <row r="20" spans="2:255" ht="17.25" customHeight="1">
      <c r="B20" s="23"/>
      <c r="C20" s="23"/>
      <c r="D20" s="23"/>
      <c r="J20" s="25"/>
      <c r="Q20" s="1039"/>
      <c r="R20" s="1039"/>
      <c r="S20" s="1049">
        <v>105</v>
      </c>
      <c r="AA20" s="368"/>
      <c r="AB20" s="368"/>
      <c r="AC20" s="368"/>
      <c r="AD20" s="368"/>
      <c r="AE20" s="368"/>
      <c r="AF20" s="368"/>
      <c r="AG20" s="368"/>
      <c r="AH20" s="368"/>
      <c r="AI20" s="368"/>
      <c r="AJ20" s="368"/>
      <c r="AK20" s="368"/>
      <c r="AL20" s="368"/>
      <c r="AM20" s="368"/>
      <c r="AN20" s="368"/>
      <c r="AO20" s="368"/>
      <c r="AP20" s="368"/>
      <c r="AQ20" s="368"/>
      <c r="AR20" s="368"/>
      <c r="AS20" s="368"/>
      <c r="AT20" s="368"/>
      <c r="AU20" s="368"/>
      <c r="AV20" s="368"/>
      <c r="AW20" s="368"/>
      <c r="AX20" s="368"/>
      <c r="AY20" s="368"/>
      <c r="AZ20" s="368"/>
      <c r="BA20" s="368"/>
      <c r="BB20" s="368"/>
      <c r="BC20" s="368"/>
      <c r="BD20" s="368"/>
      <c r="BE20" s="368"/>
      <c r="BF20" s="368"/>
      <c r="BG20" s="368"/>
      <c r="BH20" s="368"/>
      <c r="BI20" s="368"/>
      <c r="BJ20" s="368"/>
      <c r="BK20" s="368"/>
      <c r="BL20" s="368"/>
      <c r="BM20" s="368"/>
      <c r="BN20" s="368"/>
      <c r="BO20" s="368"/>
      <c r="BP20" s="368"/>
      <c r="BQ20" s="368"/>
      <c r="BR20" s="368"/>
      <c r="BS20" s="368"/>
      <c r="BT20" s="368"/>
      <c r="BU20" s="368"/>
      <c r="BV20" s="368"/>
      <c r="BW20" s="368"/>
      <c r="BX20" s="368"/>
      <c r="BY20" s="368"/>
      <c r="BZ20" s="368"/>
      <c r="CA20" s="368"/>
      <c r="CB20" s="368"/>
      <c r="CC20" s="368"/>
      <c r="CD20" s="368"/>
      <c r="CE20" s="368"/>
      <c r="CF20" s="368"/>
      <c r="CG20" s="368"/>
      <c r="CH20" s="368"/>
      <c r="CI20" s="368"/>
      <c r="CJ20" s="368"/>
      <c r="CK20" s="368"/>
      <c r="CL20" s="368"/>
      <c r="CM20" s="368"/>
      <c r="CN20" s="368"/>
      <c r="CO20" s="368"/>
      <c r="CP20" s="368"/>
      <c r="CQ20" s="368"/>
      <c r="CR20" s="368"/>
      <c r="CS20" s="368"/>
      <c r="CT20" s="368"/>
      <c r="CU20" s="368"/>
      <c r="CV20" s="368"/>
      <c r="CW20" s="368"/>
      <c r="CX20" s="368"/>
      <c r="CY20" s="368"/>
      <c r="CZ20" s="368"/>
      <c r="DA20" s="368"/>
      <c r="DB20" s="368"/>
      <c r="DC20" s="368"/>
      <c r="DD20" s="368"/>
      <c r="DE20" s="368"/>
      <c r="DF20" s="368"/>
      <c r="DG20" s="368"/>
      <c r="DH20" s="368"/>
      <c r="DI20" s="368"/>
      <c r="DJ20" s="368"/>
      <c r="DK20" s="368"/>
      <c r="DL20" s="368"/>
      <c r="DM20" s="368"/>
      <c r="DN20" s="368"/>
      <c r="DO20" s="368"/>
      <c r="DP20" s="368"/>
      <c r="DQ20" s="368"/>
      <c r="DR20" s="368"/>
      <c r="DS20" s="368"/>
      <c r="DT20" s="368"/>
      <c r="DU20" s="368"/>
      <c r="DV20" s="368"/>
      <c r="DW20" s="368"/>
      <c r="DX20" s="368"/>
      <c r="DY20" s="368"/>
      <c r="DZ20" s="368"/>
      <c r="EA20" s="368"/>
      <c r="EB20" s="368"/>
      <c r="EC20" s="368"/>
      <c r="ED20" s="368"/>
      <c r="EE20" s="368"/>
      <c r="EF20" s="368"/>
      <c r="EG20" s="368"/>
      <c r="EH20" s="368"/>
      <c r="EI20" s="368"/>
      <c r="EJ20" s="368"/>
      <c r="EK20" s="368"/>
      <c r="EL20" s="368"/>
      <c r="EM20" s="368"/>
      <c r="EN20" s="368"/>
      <c r="EO20" s="368"/>
      <c r="EP20" s="368"/>
      <c r="EQ20" s="368"/>
      <c r="ER20" s="368"/>
      <c r="ES20" s="368"/>
      <c r="ET20" s="368"/>
      <c r="EU20" s="368"/>
      <c r="EV20" s="368"/>
      <c r="EW20" s="368"/>
      <c r="EX20" s="368"/>
      <c r="EY20" s="368"/>
      <c r="EZ20" s="368"/>
      <c r="FA20" s="368"/>
      <c r="FB20" s="368"/>
      <c r="FC20" s="368"/>
      <c r="FD20" s="368"/>
      <c r="FE20" s="368"/>
      <c r="FF20" s="368"/>
      <c r="FG20" s="368"/>
      <c r="FH20" s="368"/>
      <c r="FI20" s="368"/>
      <c r="FJ20" s="368"/>
      <c r="FK20" s="368"/>
      <c r="FL20" s="368"/>
      <c r="FM20" s="368"/>
      <c r="FN20" s="368"/>
      <c r="FO20" s="368"/>
      <c r="FP20" s="368"/>
      <c r="FQ20" s="368"/>
      <c r="FR20" s="368"/>
      <c r="FS20" s="368"/>
      <c r="FT20" s="368"/>
      <c r="FU20" s="368"/>
      <c r="FV20" s="368"/>
      <c r="FW20" s="368"/>
      <c r="FX20" s="368"/>
      <c r="FY20" s="368"/>
      <c r="FZ20" s="368"/>
      <c r="GA20" s="368"/>
      <c r="GB20" s="368"/>
      <c r="GC20" s="368"/>
      <c r="GD20" s="368"/>
      <c r="GE20" s="368"/>
      <c r="GF20" s="368"/>
      <c r="GG20" s="368"/>
      <c r="GH20" s="368"/>
      <c r="GI20" s="368"/>
      <c r="GJ20" s="368"/>
      <c r="GK20" s="368"/>
      <c r="GL20" s="368"/>
      <c r="GM20" s="368"/>
      <c r="GN20" s="368"/>
      <c r="GO20" s="368"/>
      <c r="GP20" s="368"/>
      <c r="GQ20" s="368"/>
      <c r="GR20" s="368"/>
      <c r="GS20" s="368"/>
      <c r="GT20" s="368"/>
      <c r="GU20" s="368"/>
      <c r="GV20" s="368"/>
      <c r="GW20" s="368"/>
      <c r="GX20" s="368"/>
      <c r="GY20" s="368"/>
      <c r="GZ20" s="368"/>
      <c r="HA20" s="368"/>
      <c r="HB20" s="368"/>
      <c r="HC20" s="368"/>
      <c r="HD20" s="368"/>
      <c r="HE20" s="368"/>
      <c r="HF20" s="368"/>
      <c r="HG20" s="368"/>
      <c r="HH20" s="368"/>
      <c r="HI20" s="368"/>
      <c r="HJ20" s="368"/>
      <c r="HK20" s="368"/>
      <c r="HL20" s="368"/>
      <c r="HM20" s="368"/>
      <c r="HN20" s="368"/>
      <c r="HO20" s="368"/>
      <c r="HP20" s="368"/>
      <c r="HQ20" s="368"/>
      <c r="HR20" s="368"/>
      <c r="HS20" s="368"/>
      <c r="HT20" s="368"/>
      <c r="HU20" s="368"/>
      <c r="HV20" s="368"/>
      <c r="HW20" s="368"/>
      <c r="HX20" s="368"/>
      <c r="HY20" s="368"/>
      <c r="HZ20" s="368"/>
      <c r="IA20" s="368"/>
      <c r="IB20" s="368"/>
      <c r="IC20" s="368"/>
      <c r="ID20" s="368"/>
      <c r="IE20" s="368"/>
      <c r="IF20" s="368"/>
      <c r="IG20" s="368"/>
      <c r="IH20" s="368"/>
      <c r="II20" s="368"/>
      <c r="IJ20" s="368"/>
      <c r="IK20" s="368"/>
      <c r="IL20" s="368"/>
      <c r="IM20" s="368"/>
      <c r="IN20" s="368"/>
      <c r="IO20" s="368"/>
      <c r="IP20" s="368"/>
      <c r="IQ20" s="368"/>
      <c r="IR20" s="368"/>
      <c r="IS20" s="368"/>
      <c r="IT20" s="368"/>
      <c r="IU20" s="368"/>
    </row>
    <row r="21" spans="2:255" ht="19.5" customHeight="1">
      <c r="B21" s="23" t="str">
        <f>'Lembar Kerja'!B18</f>
        <v>Pemeriksaan Kondisi Fisik dan Fungsi Alat</v>
      </c>
      <c r="G21" s="25"/>
      <c r="I21" s="21"/>
      <c r="Q21" s="1039"/>
      <c r="R21" s="1039"/>
      <c r="S21" s="1029"/>
      <c r="AA21" s="368"/>
      <c r="AB21" s="368"/>
      <c r="AC21" s="368"/>
      <c r="AD21" s="368"/>
      <c r="AE21" s="368"/>
      <c r="AF21" s="368"/>
      <c r="AG21" s="368"/>
      <c r="AH21" s="368"/>
      <c r="AI21" s="368"/>
      <c r="AJ21" s="368"/>
      <c r="AK21" s="368"/>
      <c r="AL21" s="368"/>
      <c r="AM21" s="368"/>
      <c r="AN21" s="368"/>
      <c r="AO21" s="368"/>
      <c r="AP21" s="368"/>
      <c r="AQ21" s="368"/>
      <c r="AR21" s="368"/>
      <c r="AS21" s="368"/>
      <c r="AT21" s="368"/>
      <c r="AU21" s="368"/>
      <c r="AV21" s="368"/>
      <c r="AW21" s="368"/>
      <c r="AX21" s="368"/>
      <c r="AY21" s="368"/>
      <c r="AZ21" s="368"/>
      <c r="BA21" s="368"/>
      <c r="BB21" s="368"/>
      <c r="BC21" s="368"/>
      <c r="BD21" s="368"/>
      <c r="BE21" s="368"/>
      <c r="BF21" s="368"/>
      <c r="BG21" s="368"/>
      <c r="BH21" s="368"/>
      <c r="BI21" s="368"/>
      <c r="BJ21" s="368"/>
      <c r="BK21" s="368"/>
      <c r="BL21" s="368"/>
      <c r="BM21" s="368"/>
      <c r="BN21" s="368"/>
      <c r="BO21" s="368"/>
      <c r="BP21" s="368"/>
      <c r="BQ21" s="368"/>
      <c r="BR21" s="368"/>
      <c r="BS21" s="368"/>
      <c r="BT21" s="368"/>
      <c r="BU21" s="368"/>
      <c r="BV21" s="368"/>
      <c r="BW21" s="368"/>
      <c r="BX21" s="368"/>
      <c r="BY21" s="368"/>
      <c r="BZ21" s="368"/>
      <c r="CA21" s="368"/>
      <c r="CB21" s="368"/>
      <c r="CC21" s="368"/>
      <c r="CD21" s="368"/>
      <c r="CE21" s="368"/>
      <c r="CF21" s="368"/>
      <c r="CG21" s="368"/>
      <c r="CH21" s="368"/>
      <c r="CI21" s="368"/>
      <c r="CJ21" s="368"/>
      <c r="CK21" s="368"/>
      <c r="CL21" s="368"/>
      <c r="CM21" s="368"/>
      <c r="CN21" s="368"/>
      <c r="CO21" s="368"/>
      <c r="CP21" s="368"/>
      <c r="CQ21" s="368"/>
      <c r="CR21" s="368"/>
      <c r="CS21" s="368"/>
      <c r="CT21" s="368"/>
      <c r="CU21" s="368"/>
      <c r="CV21" s="368"/>
      <c r="CW21" s="368"/>
      <c r="CX21" s="368"/>
      <c r="CY21" s="368"/>
      <c r="CZ21" s="368"/>
      <c r="DA21" s="368"/>
      <c r="DB21" s="368"/>
      <c r="DC21" s="368"/>
      <c r="DD21" s="368"/>
      <c r="DE21" s="368"/>
      <c r="DF21" s="368"/>
      <c r="DG21" s="368"/>
      <c r="DH21" s="368"/>
      <c r="DI21" s="368"/>
      <c r="DJ21" s="368"/>
      <c r="DK21" s="368"/>
      <c r="DL21" s="368"/>
      <c r="DM21" s="368"/>
      <c r="DN21" s="368"/>
      <c r="DO21" s="368"/>
      <c r="DP21" s="368"/>
      <c r="DQ21" s="368"/>
      <c r="DR21" s="368"/>
      <c r="DS21" s="368"/>
      <c r="DT21" s="368"/>
      <c r="DU21" s="368"/>
      <c r="DV21" s="368"/>
      <c r="DW21" s="368"/>
      <c r="DX21" s="368"/>
      <c r="DY21" s="368"/>
      <c r="DZ21" s="368"/>
      <c r="EA21" s="368"/>
      <c r="EB21" s="368"/>
      <c r="EC21" s="368"/>
      <c r="ED21" s="368"/>
      <c r="EE21" s="368"/>
      <c r="EF21" s="368"/>
      <c r="EG21" s="368"/>
      <c r="EH21" s="368"/>
      <c r="EI21" s="368"/>
      <c r="EJ21" s="368"/>
      <c r="EK21" s="368"/>
      <c r="EL21" s="368"/>
      <c r="EM21" s="368"/>
      <c r="EN21" s="368"/>
      <c r="EO21" s="368"/>
      <c r="EP21" s="368"/>
      <c r="EQ21" s="368"/>
      <c r="ER21" s="368"/>
      <c r="ES21" s="368"/>
      <c r="ET21" s="368"/>
      <c r="EU21" s="368"/>
      <c r="EV21" s="368"/>
      <c r="EW21" s="368"/>
      <c r="EX21" s="368"/>
      <c r="EY21" s="368"/>
      <c r="EZ21" s="368"/>
      <c r="FA21" s="368"/>
      <c r="FB21" s="368"/>
      <c r="FC21" s="368"/>
      <c r="FD21" s="368"/>
      <c r="FE21" s="368"/>
      <c r="FF21" s="368"/>
      <c r="FG21" s="368"/>
      <c r="FH21" s="368"/>
      <c r="FI21" s="368"/>
      <c r="FJ21" s="368"/>
      <c r="FK21" s="368"/>
      <c r="FL21" s="368"/>
      <c r="FM21" s="368"/>
      <c r="FN21" s="368"/>
      <c r="FO21" s="368"/>
      <c r="FP21" s="368"/>
      <c r="FQ21" s="368"/>
      <c r="FR21" s="368"/>
      <c r="FS21" s="368"/>
      <c r="FT21" s="368"/>
      <c r="FU21" s="368"/>
      <c r="FV21" s="368"/>
      <c r="FW21" s="368"/>
      <c r="FX21" s="368"/>
      <c r="FY21" s="368"/>
      <c r="FZ21" s="368"/>
      <c r="GA21" s="368"/>
      <c r="GB21" s="368"/>
      <c r="GC21" s="368"/>
      <c r="GD21" s="368"/>
      <c r="GE21" s="368"/>
      <c r="GF21" s="368"/>
      <c r="GG21" s="368"/>
      <c r="GH21" s="368"/>
      <c r="GI21" s="368"/>
      <c r="GJ21" s="368"/>
      <c r="GK21" s="368"/>
      <c r="GL21" s="368"/>
      <c r="GM21" s="368"/>
      <c r="GN21" s="368"/>
      <c r="GO21" s="368"/>
      <c r="GP21" s="368"/>
      <c r="GQ21" s="368"/>
      <c r="GR21" s="368"/>
      <c r="GS21" s="368"/>
      <c r="GT21" s="368"/>
      <c r="GU21" s="368"/>
      <c r="GV21" s="368"/>
      <c r="GW21" s="368"/>
      <c r="GX21" s="368"/>
      <c r="GY21" s="368"/>
      <c r="GZ21" s="368"/>
      <c r="HA21" s="368"/>
      <c r="HB21" s="368"/>
      <c r="HC21" s="368"/>
      <c r="HD21" s="368"/>
      <c r="HE21" s="368"/>
      <c r="HF21" s="368"/>
      <c r="HG21" s="368"/>
      <c r="HH21" s="368"/>
      <c r="HI21" s="368"/>
      <c r="HJ21" s="368"/>
      <c r="HK21" s="368"/>
      <c r="HL21" s="368"/>
      <c r="HM21" s="368"/>
      <c r="HN21" s="368"/>
      <c r="HO21" s="368"/>
      <c r="HP21" s="368"/>
      <c r="HQ21" s="368"/>
      <c r="HR21" s="368"/>
      <c r="HS21" s="368"/>
      <c r="HT21" s="368"/>
      <c r="HU21" s="368"/>
      <c r="HV21" s="368"/>
      <c r="HW21" s="368"/>
      <c r="HX21" s="368"/>
      <c r="HY21" s="368"/>
      <c r="HZ21" s="368"/>
      <c r="IA21" s="368"/>
      <c r="IB21" s="368"/>
      <c r="IC21" s="368"/>
      <c r="ID21" s="368"/>
      <c r="IE21" s="368"/>
      <c r="IF21" s="368"/>
      <c r="IG21" s="368"/>
      <c r="IH21" s="368"/>
      <c r="II21" s="368"/>
      <c r="IJ21" s="368"/>
      <c r="IK21" s="368"/>
      <c r="IL21" s="368"/>
      <c r="IM21" s="368"/>
      <c r="IN21" s="368"/>
      <c r="IO21" s="368"/>
      <c r="IP21" s="368"/>
      <c r="IQ21" s="368"/>
      <c r="IR21" s="368"/>
      <c r="IS21" s="368"/>
      <c r="IT21" s="368"/>
      <c r="IU21" s="368"/>
    </row>
    <row r="22" spans="2:255" ht="21" customHeight="1">
      <c r="B22" s="18" t="s">
        <v>207</v>
      </c>
      <c r="C22" s="11" t="s">
        <v>3</v>
      </c>
      <c r="D22" s="1017" t="s">
        <v>208</v>
      </c>
      <c r="E22" s="1017"/>
      <c r="G22" s="26"/>
      <c r="H22" s="1048"/>
      <c r="I22" s="1048"/>
      <c r="J22" s="1048"/>
      <c r="K22" s="1048"/>
      <c r="L22" s="1048"/>
      <c r="Q22" s="1039"/>
      <c r="R22" s="1039"/>
      <c r="S22" s="1029"/>
      <c r="AA22" s="368"/>
      <c r="AB22" s="368"/>
      <c r="AC22" s="368"/>
      <c r="AD22" s="368"/>
      <c r="AE22" s="368"/>
      <c r="AF22" s="368"/>
      <c r="AG22" s="368"/>
      <c r="AH22" s="368"/>
      <c r="AI22" s="368"/>
      <c r="AJ22" s="368"/>
      <c r="AK22" s="368"/>
      <c r="AL22" s="368"/>
      <c r="AM22" s="368"/>
      <c r="AN22" s="368"/>
      <c r="AO22" s="368"/>
      <c r="AP22" s="368"/>
      <c r="AQ22" s="368"/>
      <c r="AR22" s="368"/>
      <c r="AS22" s="368"/>
      <c r="AT22" s="368"/>
      <c r="AU22" s="368"/>
      <c r="AV22" s="368"/>
      <c r="AW22" s="368"/>
      <c r="AX22" s="368"/>
      <c r="AY22" s="368"/>
      <c r="AZ22" s="368"/>
      <c r="BA22" s="368"/>
      <c r="BB22" s="368"/>
      <c r="BC22" s="368"/>
      <c r="BD22" s="368"/>
      <c r="BE22" s="368"/>
      <c r="BF22" s="368"/>
      <c r="BG22" s="368"/>
      <c r="BH22" s="368"/>
      <c r="BI22" s="368"/>
      <c r="BJ22" s="368"/>
      <c r="BK22" s="368"/>
      <c r="BL22" s="368"/>
      <c r="BM22" s="368"/>
      <c r="BN22" s="368"/>
      <c r="BO22" s="368"/>
      <c r="BP22" s="368"/>
      <c r="BQ22" s="368"/>
      <c r="BR22" s="368"/>
      <c r="BS22" s="368"/>
      <c r="BT22" s="368"/>
      <c r="BU22" s="368"/>
      <c r="BV22" s="368"/>
      <c r="BW22" s="368"/>
      <c r="BX22" s="368"/>
      <c r="BY22" s="368"/>
      <c r="BZ22" s="368"/>
      <c r="CA22" s="368"/>
      <c r="CB22" s="368"/>
      <c r="CC22" s="368"/>
      <c r="CD22" s="368"/>
      <c r="CE22" s="368"/>
      <c r="CF22" s="368"/>
      <c r="CG22" s="368"/>
      <c r="CH22" s="368"/>
      <c r="CI22" s="368"/>
      <c r="CJ22" s="368"/>
      <c r="CK22" s="368"/>
      <c r="CL22" s="368"/>
      <c r="CM22" s="368"/>
      <c r="CN22" s="368"/>
      <c r="CO22" s="368"/>
      <c r="CP22" s="368"/>
      <c r="CQ22" s="368"/>
      <c r="CR22" s="368"/>
      <c r="CS22" s="368"/>
      <c r="CT22" s="368"/>
      <c r="CU22" s="368"/>
      <c r="CV22" s="368"/>
      <c r="CW22" s="368"/>
      <c r="CX22" s="368"/>
      <c r="CY22" s="368"/>
      <c r="CZ22" s="368"/>
      <c r="DA22" s="368"/>
      <c r="DB22" s="368"/>
      <c r="DC22" s="368"/>
      <c r="DD22" s="368"/>
      <c r="DE22" s="368"/>
      <c r="DF22" s="368"/>
      <c r="DG22" s="368"/>
      <c r="DH22" s="368"/>
      <c r="DI22" s="368"/>
      <c r="DJ22" s="368"/>
      <c r="DK22" s="368"/>
      <c r="DL22" s="368"/>
      <c r="DM22" s="368"/>
      <c r="DN22" s="368"/>
      <c r="DO22" s="368"/>
      <c r="DP22" s="368"/>
      <c r="DQ22" s="368"/>
      <c r="DR22" s="368"/>
      <c r="DS22" s="368"/>
      <c r="DT22" s="368"/>
      <c r="DU22" s="368"/>
      <c r="DV22" s="368"/>
      <c r="DW22" s="368"/>
      <c r="DX22" s="368"/>
      <c r="DY22" s="368"/>
      <c r="DZ22" s="368"/>
      <c r="EA22" s="368"/>
      <c r="EB22" s="368"/>
      <c r="EC22" s="368"/>
      <c r="ED22" s="368"/>
      <c r="EE22" s="368"/>
      <c r="EF22" s="368"/>
      <c r="EG22" s="368"/>
      <c r="EH22" s="368"/>
      <c r="EI22" s="368"/>
      <c r="EJ22" s="368"/>
      <c r="EK22" s="368"/>
      <c r="EL22" s="368"/>
      <c r="EM22" s="368"/>
      <c r="EN22" s="368"/>
      <c r="EO22" s="368"/>
      <c r="EP22" s="368"/>
      <c r="EQ22" s="368"/>
      <c r="ER22" s="368"/>
      <c r="ES22" s="368"/>
      <c r="ET22" s="368"/>
      <c r="EU22" s="368"/>
      <c r="EV22" s="368"/>
      <c r="EW22" s="368"/>
      <c r="EX22" s="368"/>
      <c r="EY22" s="368"/>
      <c r="EZ22" s="368"/>
      <c r="FA22" s="368"/>
      <c r="FB22" s="368"/>
      <c r="FC22" s="368"/>
      <c r="FD22" s="368"/>
      <c r="FE22" s="368"/>
      <c r="FF22" s="368"/>
      <c r="FG22" s="368"/>
      <c r="FH22" s="368"/>
      <c r="FI22" s="368"/>
      <c r="FJ22" s="368"/>
      <c r="FK22" s="368"/>
      <c r="FL22" s="368"/>
      <c r="FM22" s="368"/>
      <c r="FN22" s="368"/>
      <c r="FO22" s="368"/>
      <c r="FP22" s="368"/>
      <c r="FQ22" s="368"/>
      <c r="FR22" s="368"/>
      <c r="FS22" s="368"/>
      <c r="FT22" s="368"/>
      <c r="FU22" s="368"/>
      <c r="FV22" s="368"/>
      <c r="FW22" s="368"/>
      <c r="FX22" s="368"/>
      <c r="FY22" s="368"/>
      <c r="FZ22" s="368"/>
      <c r="GA22" s="368"/>
      <c r="GB22" s="368"/>
      <c r="GC22" s="368"/>
      <c r="GD22" s="368"/>
      <c r="GE22" s="368"/>
      <c r="GF22" s="368"/>
      <c r="GG22" s="368"/>
      <c r="GH22" s="368"/>
      <c r="GI22" s="368"/>
      <c r="GJ22" s="368"/>
      <c r="GK22" s="368"/>
      <c r="GL22" s="368"/>
      <c r="GM22" s="368"/>
      <c r="GN22" s="368"/>
      <c r="GO22" s="368"/>
      <c r="GP22" s="368"/>
      <c r="GQ22" s="368"/>
      <c r="GR22" s="368"/>
      <c r="GS22" s="368"/>
      <c r="GT22" s="368"/>
      <c r="GU22" s="368"/>
      <c r="GV22" s="368"/>
      <c r="GW22" s="368"/>
      <c r="GX22" s="368"/>
      <c r="GY22" s="368"/>
      <c r="GZ22" s="368"/>
      <c r="HA22" s="368"/>
      <c r="HB22" s="368"/>
      <c r="HC22" s="368"/>
      <c r="HD22" s="368"/>
      <c r="HE22" s="368"/>
      <c r="HF22" s="368"/>
      <c r="HG22" s="368"/>
      <c r="HH22" s="368"/>
      <c r="HI22" s="368"/>
      <c r="HJ22" s="368"/>
      <c r="HK22" s="368"/>
      <c r="HL22" s="368"/>
      <c r="HM22" s="368"/>
      <c r="HN22" s="368"/>
      <c r="HO22" s="368"/>
      <c r="HP22" s="368"/>
      <c r="HQ22" s="368"/>
      <c r="HR22" s="368"/>
      <c r="HS22" s="368"/>
      <c r="HT22" s="368"/>
      <c r="HU22" s="368"/>
      <c r="HV22" s="368"/>
      <c r="HW22" s="368"/>
      <c r="HX22" s="368"/>
      <c r="HY22" s="368"/>
      <c r="HZ22" s="368"/>
      <c r="IA22" s="368"/>
      <c r="IB22" s="368"/>
      <c r="IC22" s="368"/>
      <c r="ID22" s="368"/>
      <c r="IE22" s="368"/>
      <c r="IF22" s="368"/>
      <c r="IG22" s="368"/>
      <c r="IH22" s="368"/>
      <c r="II22" s="368"/>
      <c r="IJ22" s="368"/>
      <c r="IK22" s="368"/>
      <c r="IL22" s="368"/>
      <c r="IM22" s="368"/>
      <c r="IN22" s="368"/>
      <c r="IO22" s="368"/>
      <c r="IP22" s="368"/>
      <c r="IQ22" s="368"/>
      <c r="IR22" s="368"/>
      <c r="IS22" s="368"/>
      <c r="IT22" s="368"/>
      <c r="IU22" s="368"/>
    </row>
    <row r="23" spans="2:255" ht="15.75" customHeight="1">
      <c r="B23" s="18" t="s">
        <v>209</v>
      </c>
      <c r="C23" s="11" t="s">
        <v>3</v>
      </c>
      <c r="D23" s="1017" t="s">
        <v>208</v>
      </c>
      <c r="E23" s="1017"/>
      <c r="F23" s="26"/>
      <c r="G23" s="26"/>
      <c r="H23" s="1048"/>
      <c r="I23" s="1048"/>
      <c r="J23" s="1048"/>
      <c r="K23" s="1048"/>
      <c r="L23" s="1048"/>
      <c r="Q23" s="1039"/>
      <c r="R23" s="1039"/>
      <c r="S23" s="1029"/>
      <c r="X23" s="153" t="s">
        <v>210</v>
      </c>
      <c r="Y23" s="1040">
        <v>0.2</v>
      </c>
      <c r="Z23" s="1040"/>
      <c r="AA23" s="18" t="s">
        <v>211</v>
      </c>
      <c r="AB23" s="862">
        <v>100</v>
      </c>
      <c r="AC23" s="368"/>
      <c r="AD23" s="368"/>
      <c r="AE23" s="368"/>
      <c r="AF23" s="368"/>
      <c r="AG23" s="368"/>
      <c r="AH23" s="368"/>
      <c r="AI23" s="368"/>
      <c r="AJ23" s="368"/>
      <c r="AK23" s="368"/>
      <c r="AL23" s="368"/>
      <c r="AM23" s="368"/>
      <c r="AN23" s="368"/>
      <c r="AO23" s="368"/>
      <c r="AP23" s="368"/>
      <c r="AQ23" s="368"/>
      <c r="AR23" s="368"/>
      <c r="AS23" s="368"/>
      <c r="AT23" s="368"/>
      <c r="AU23" s="368"/>
      <c r="AV23" s="368"/>
      <c r="AW23" s="368"/>
      <c r="AX23" s="368"/>
      <c r="AY23" s="368"/>
      <c r="AZ23" s="368"/>
      <c r="BA23" s="368"/>
      <c r="BB23" s="368"/>
      <c r="BC23" s="368"/>
      <c r="BD23" s="368"/>
      <c r="BE23" s="368"/>
      <c r="BF23" s="368"/>
      <c r="BG23" s="368"/>
      <c r="BH23" s="368"/>
      <c r="BI23" s="368"/>
      <c r="BJ23" s="368"/>
      <c r="BK23" s="368"/>
      <c r="BL23" s="368"/>
      <c r="BM23" s="368"/>
      <c r="BN23" s="368"/>
      <c r="BO23" s="368"/>
      <c r="BP23" s="368"/>
      <c r="BQ23" s="368"/>
      <c r="BR23" s="368"/>
      <c r="BS23" s="368"/>
      <c r="BT23" s="368"/>
      <c r="BU23" s="368"/>
      <c r="BV23" s="368"/>
      <c r="BW23" s="368"/>
      <c r="BX23" s="368"/>
      <c r="BY23" s="368"/>
      <c r="BZ23" s="368"/>
      <c r="CA23" s="368"/>
      <c r="CB23" s="368"/>
      <c r="CC23" s="368"/>
      <c r="CD23" s="368"/>
      <c r="CE23" s="368"/>
      <c r="CF23" s="368"/>
      <c r="CG23" s="368"/>
      <c r="CH23" s="368"/>
      <c r="CI23" s="368"/>
      <c r="CJ23" s="368"/>
      <c r="CK23" s="368"/>
      <c r="CL23" s="368"/>
      <c r="CM23" s="368"/>
      <c r="CN23" s="368"/>
      <c r="CO23" s="368"/>
      <c r="CP23" s="368"/>
      <c r="CQ23" s="368"/>
      <c r="CR23" s="368"/>
      <c r="CS23" s="368"/>
      <c r="CT23" s="368"/>
      <c r="CU23" s="368"/>
      <c r="CV23" s="368"/>
      <c r="CW23" s="368"/>
      <c r="CX23" s="368"/>
      <c r="CY23" s="368"/>
      <c r="CZ23" s="368"/>
      <c r="DA23" s="368"/>
      <c r="DB23" s="368"/>
      <c r="DC23" s="368"/>
      <c r="DD23" s="368"/>
      <c r="DE23" s="368"/>
      <c r="DF23" s="368"/>
      <c r="DG23" s="368"/>
      <c r="DH23" s="368"/>
      <c r="DI23" s="368"/>
      <c r="DJ23" s="368"/>
      <c r="DK23" s="368"/>
      <c r="DL23" s="368"/>
      <c r="DM23" s="368"/>
      <c r="DN23" s="368"/>
      <c r="DO23" s="368"/>
      <c r="DP23" s="368"/>
      <c r="DQ23" s="368"/>
      <c r="DR23" s="368"/>
      <c r="DS23" s="368"/>
      <c r="DT23" s="368"/>
      <c r="DU23" s="368"/>
      <c r="DV23" s="368"/>
      <c r="DW23" s="368"/>
      <c r="DX23" s="368"/>
      <c r="DY23" s="368"/>
      <c r="DZ23" s="368"/>
      <c r="EA23" s="368"/>
      <c r="EB23" s="368"/>
      <c r="EC23" s="368"/>
      <c r="ED23" s="368"/>
      <c r="EE23" s="368"/>
      <c r="EF23" s="368"/>
      <c r="EG23" s="368"/>
      <c r="EH23" s="368"/>
      <c r="EI23" s="368"/>
      <c r="EJ23" s="368"/>
      <c r="EK23" s="368"/>
      <c r="EL23" s="368"/>
      <c r="EM23" s="368"/>
      <c r="EN23" s="368"/>
      <c r="EO23" s="368"/>
      <c r="EP23" s="368"/>
      <c r="EQ23" s="368"/>
      <c r="ER23" s="368"/>
      <c r="ES23" s="368"/>
      <c r="ET23" s="368"/>
      <c r="EU23" s="368"/>
      <c r="EV23" s="368"/>
      <c r="EW23" s="368"/>
      <c r="EX23" s="368"/>
      <c r="EY23" s="368"/>
      <c r="EZ23" s="368"/>
      <c r="FA23" s="368"/>
      <c r="FB23" s="368"/>
      <c r="FC23" s="368"/>
      <c r="FD23" s="368"/>
      <c r="FE23" s="368"/>
      <c r="FF23" s="368"/>
      <c r="FG23" s="368"/>
      <c r="FH23" s="368"/>
      <c r="FI23" s="368"/>
      <c r="FJ23" s="368"/>
      <c r="FK23" s="368"/>
      <c r="FL23" s="368"/>
      <c r="FM23" s="368"/>
      <c r="FN23" s="368"/>
      <c r="FO23" s="368"/>
      <c r="FP23" s="368"/>
      <c r="FQ23" s="368"/>
      <c r="FR23" s="368"/>
      <c r="FS23" s="368"/>
      <c r="FT23" s="368"/>
      <c r="FU23" s="368"/>
      <c r="FV23" s="368"/>
      <c r="FW23" s="368"/>
      <c r="FX23" s="368"/>
      <c r="FY23" s="368"/>
      <c r="FZ23" s="368"/>
      <c r="GA23" s="368"/>
      <c r="GB23" s="368"/>
      <c r="GC23" s="368"/>
      <c r="GD23" s="368"/>
      <c r="GE23" s="368"/>
      <c r="GF23" s="368"/>
      <c r="GG23" s="368"/>
      <c r="GH23" s="368"/>
      <c r="GI23" s="368"/>
      <c r="GJ23" s="368"/>
      <c r="GK23" s="368"/>
      <c r="GL23" s="368"/>
      <c r="GM23" s="368"/>
      <c r="GN23" s="368"/>
      <c r="GO23" s="368"/>
      <c r="GP23" s="368"/>
      <c r="GQ23" s="368"/>
      <c r="GR23" s="368"/>
      <c r="GS23" s="368"/>
      <c r="GT23" s="368"/>
      <c r="GU23" s="368"/>
      <c r="GV23" s="368"/>
      <c r="GW23" s="368"/>
      <c r="GX23" s="368"/>
      <c r="GY23" s="368"/>
      <c r="GZ23" s="368"/>
      <c r="HA23" s="368"/>
      <c r="HB23" s="368"/>
      <c r="HC23" s="368"/>
      <c r="HD23" s="368"/>
      <c r="HE23" s="368"/>
      <c r="HF23" s="368"/>
      <c r="HG23" s="368"/>
      <c r="HH23" s="368"/>
      <c r="HI23" s="368"/>
      <c r="HJ23" s="368"/>
      <c r="HK23" s="368"/>
      <c r="HL23" s="368"/>
      <c r="HM23" s="368"/>
      <c r="HN23" s="368"/>
      <c r="HO23" s="368"/>
      <c r="HP23" s="368"/>
      <c r="HQ23" s="368"/>
      <c r="HR23" s="368"/>
      <c r="HS23" s="368"/>
      <c r="HT23" s="368"/>
      <c r="HU23" s="368"/>
      <c r="HV23" s="368"/>
      <c r="HW23" s="368"/>
      <c r="HX23" s="368"/>
      <c r="HY23" s="368"/>
      <c r="HZ23" s="368"/>
      <c r="IA23" s="368"/>
      <c r="IB23" s="368"/>
      <c r="IC23" s="368"/>
      <c r="ID23" s="368"/>
      <c r="IE23" s="368"/>
      <c r="IF23" s="368"/>
      <c r="IG23" s="368"/>
      <c r="IH23" s="368"/>
      <c r="II23" s="368"/>
      <c r="IJ23" s="368"/>
      <c r="IK23" s="368"/>
      <c r="IL23" s="368"/>
      <c r="IM23" s="368"/>
      <c r="IN23" s="368"/>
      <c r="IO23" s="368"/>
      <c r="IP23" s="368"/>
      <c r="IQ23" s="368"/>
      <c r="IR23" s="368"/>
      <c r="IS23" s="368"/>
      <c r="IT23" s="368"/>
      <c r="IU23" s="368"/>
    </row>
    <row r="24" spans="2:255" ht="15.75" customHeight="1">
      <c r="C24" s="11"/>
      <c r="F24" s="26"/>
      <c r="G24" s="26"/>
      <c r="H24" s="27"/>
      <c r="I24" s="27"/>
      <c r="J24" s="27"/>
      <c r="K24" s="27"/>
      <c r="L24" s="27"/>
      <c r="Q24" s="18" t="s">
        <v>208</v>
      </c>
      <c r="X24" s="153" t="s">
        <v>212</v>
      </c>
      <c r="Y24" s="1040">
        <v>0.3</v>
      </c>
      <c r="Z24" s="1040"/>
      <c r="AA24" s="18" t="s">
        <v>42</v>
      </c>
      <c r="AB24" s="862">
        <v>500</v>
      </c>
      <c r="AC24" s="368"/>
      <c r="AD24" s="368"/>
      <c r="AE24" s="368"/>
      <c r="AF24" s="368"/>
      <c r="AG24" s="368"/>
      <c r="AH24" s="368"/>
      <c r="AI24" s="368"/>
      <c r="AJ24" s="368"/>
      <c r="AK24" s="368"/>
      <c r="AL24" s="368"/>
      <c r="AM24" s="368"/>
      <c r="AN24" s="368"/>
      <c r="AO24" s="368"/>
      <c r="AP24" s="368"/>
      <c r="AQ24" s="368"/>
      <c r="AR24" s="368"/>
      <c r="AS24" s="368"/>
      <c r="AT24" s="368"/>
      <c r="AU24" s="368"/>
      <c r="AV24" s="368"/>
      <c r="AW24" s="368"/>
      <c r="AX24" s="368"/>
      <c r="AY24" s="368"/>
      <c r="AZ24" s="368"/>
      <c r="BA24" s="368"/>
      <c r="BB24" s="368"/>
      <c r="BC24" s="368"/>
      <c r="BD24" s="368"/>
      <c r="BE24" s="368"/>
      <c r="BF24" s="368"/>
      <c r="BG24" s="368"/>
      <c r="BH24" s="368"/>
      <c r="BI24" s="368"/>
      <c r="BJ24" s="368"/>
      <c r="BK24" s="368"/>
      <c r="BL24" s="368"/>
      <c r="BM24" s="368"/>
      <c r="BN24" s="368"/>
      <c r="BO24" s="368"/>
      <c r="BP24" s="368"/>
      <c r="BQ24" s="368"/>
      <c r="BR24" s="368"/>
      <c r="BS24" s="368"/>
      <c r="BT24" s="368"/>
      <c r="BU24" s="368"/>
      <c r="BV24" s="368"/>
      <c r="BW24" s="368"/>
      <c r="BX24" s="368"/>
      <c r="BY24" s="368"/>
      <c r="BZ24" s="368"/>
      <c r="CA24" s="368"/>
      <c r="CB24" s="368"/>
      <c r="CC24" s="368"/>
      <c r="CD24" s="368"/>
      <c r="CE24" s="368"/>
      <c r="CF24" s="368"/>
      <c r="CG24" s="368"/>
      <c r="CH24" s="368"/>
      <c r="CI24" s="368"/>
      <c r="CJ24" s="368"/>
      <c r="CK24" s="368"/>
      <c r="CL24" s="368"/>
      <c r="CM24" s="368"/>
      <c r="CN24" s="368"/>
      <c r="CO24" s="368"/>
      <c r="CP24" s="368"/>
      <c r="CQ24" s="368"/>
      <c r="CR24" s="368"/>
      <c r="CS24" s="368"/>
      <c r="CT24" s="368"/>
      <c r="CU24" s="368"/>
      <c r="CV24" s="368"/>
      <c r="CW24" s="368"/>
      <c r="CX24" s="368"/>
      <c r="CY24" s="368"/>
      <c r="CZ24" s="368"/>
      <c r="DA24" s="368"/>
      <c r="DB24" s="368"/>
      <c r="DC24" s="368"/>
      <c r="DD24" s="368"/>
      <c r="DE24" s="368"/>
      <c r="DF24" s="368"/>
      <c r="DG24" s="368"/>
      <c r="DH24" s="368"/>
      <c r="DI24" s="368"/>
      <c r="DJ24" s="368"/>
      <c r="DK24" s="368"/>
      <c r="DL24" s="368"/>
      <c r="DM24" s="368"/>
      <c r="DN24" s="368"/>
      <c r="DO24" s="368"/>
      <c r="DP24" s="368"/>
      <c r="DQ24" s="368"/>
      <c r="DR24" s="368"/>
      <c r="DS24" s="368"/>
      <c r="DT24" s="368"/>
      <c r="DU24" s="368"/>
      <c r="DV24" s="368"/>
      <c r="DW24" s="368"/>
      <c r="DX24" s="368"/>
      <c r="DY24" s="368"/>
      <c r="DZ24" s="368"/>
      <c r="EA24" s="368"/>
      <c r="EB24" s="368"/>
      <c r="EC24" s="368"/>
      <c r="ED24" s="368"/>
      <c r="EE24" s="368"/>
      <c r="EF24" s="368"/>
      <c r="EG24" s="368"/>
      <c r="EH24" s="368"/>
      <c r="EI24" s="368"/>
      <c r="EJ24" s="368"/>
      <c r="EK24" s="368"/>
      <c r="EL24" s="368"/>
      <c r="EM24" s="368"/>
      <c r="EN24" s="368"/>
      <c r="EO24" s="368"/>
      <c r="EP24" s="368"/>
      <c r="EQ24" s="368"/>
      <c r="ER24" s="368"/>
      <c r="ES24" s="368"/>
      <c r="ET24" s="368"/>
      <c r="EU24" s="368"/>
      <c r="EV24" s="368"/>
      <c r="EW24" s="368"/>
      <c r="EX24" s="368"/>
      <c r="EY24" s="368"/>
      <c r="EZ24" s="368"/>
      <c r="FA24" s="368"/>
      <c r="FB24" s="368"/>
      <c r="FC24" s="368"/>
      <c r="FD24" s="368"/>
      <c r="FE24" s="368"/>
      <c r="FF24" s="368"/>
      <c r="FG24" s="368"/>
      <c r="FH24" s="368"/>
      <c r="FI24" s="368"/>
      <c r="FJ24" s="368"/>
      <c r="FK24" s="368"/>
      <c r="FL24" s="368"/>
      <c r="FM24" s="368"/>
      <c r="FN24" s="368"/>
      <c r="FO24" s="368"/>
      <c r="FP24" s="368"/>
      <c r="FQ24" s="368"/>
      <c r="FR24" s="368"/>
      <c r="FS24" s="368"/>
      <c r="FT24" s="368"/>
      <c r="FU24" s="368"/>
      <c r="FV24" s="368"/>
      <c r="FW24" s="368"/>
      <c r="FX24" s="368"/>
      <c r="FY24" s="368"/>
      <c r="FZ24" s="368"/>
      <c r="GA24" s="368"/>
      <c r="GB24" s="368"/>
      <c r="GC24" s="368"/>
      <c r="GD24" s="368"/>
      <c r="GE24" s="368"/>
      <c r="GF24" s="368"/>
      <c r="GG24" s="368"/>
      <c r="GH24" s="368"/>
      <c r="GI24" s="368"/>
      <c r="GJ24" s="368"/>
      <c r="GK24" s="368"/>
      <c r="GL24" s="368"/>
      <c r="GM24" s="368"/>
      <c r="GN24" s="368"/>
      <c r="GO24" s="368"/>
      <c r="GP24" s="368"/>
      <c r="GQ24" s="368"/>
      <c r="GR24" s="368"/>
      <c r="GS24" s="368"/>
      <c r="GT24" s="368"/>
      <c r="GU24" s="368"/>
      <c r="GV24" s="368"/>
      <c r="GW24" s="368"/>
      <c r="GX24" s="368"/>
      <c r="GY24" s="368"/>
      <c r="GZ24" s="368"/>
      <c r="HA24" s="368"/>
      <c r="HB24" s="368"/>
      <c r="HC24" s="368"/>
      <c r="HD24" s="368"/>
      <c r="HE24" s="368"/>
      <c r="HF24" s="368"/>
      <c r="HG24" s="368"/>
      <c r="HH24" s="368"/>
      <c r="HI24" s="368"/>
      <c r="HJ24" s="368"/>
      <c r="HK24" s="368"/>
      <c r="HL24" s="368"/>
      <c r="HM24" s="368"/>
      <c r="HN24" s="368"/>
      <c r="HO24" s="368"/>
      <c r="HP24" s="368"/>
      <c r="HQ24" s="368"/>
      <c r="HR24" s="368"/>
      <c r="HS24" s="368"/>
      <c r="HT24" s="368"/>
      <c r="HU24" s="368"/>
      <c r="HV24" s="368"/>
      <c r="HW24" s="368"/>
      <c r="HX24" s="368"/>
      <c r="HY24" s="368"/>
      <c r="HZ24" s="368"/>
      <c r="IA24" s="368"/>
      <c r="IB24" s="368"/>
      <c r="IC24" s="368"/>
      <c r="ID24" s="368"/>
      <c r="IE24" s="368"/>
      <c r="IF24" s="368"/>
      <c r="IG24" s="368"/>
      <c r="IH24" s="368"/>
      <c r="II24" s="368"/>
      <c r="IJ24" s="368"/>
      <c r="IK24" s="368"/>
      <c r="IL24" s="368"/>
      <c r="IM24" s="368"/>
      <c r="IN24" s="368"/>
      <c r="IO24" s="368"/>
      <c r="IP24" s="368"/>
      <c r="IQ24" s="368"/>
      <c r="IR24" s="368"/>
      <c r="IS24" s="368"/>
      <c r="IT24" s="368"/>
      <c r="IU24" s="368"/>
    </row>
    <row r="25" spans="2:255" ht="18.75" customHeight="1">
      <c r="B25" s="23" t="str">
        <f>'Lembar Kerja'!B22</f>
        <v>Pengujian Keselamatan Listrik</v>
      </c>
      <c r="J25" s="25"/>
      <c r="Q25" s="18" t="s">
        <v>213</v>
      </c>
      <c r="AA25" s="368"/>
      <c r="AB25" s="368"/>
      <c r="AC25" s="368"/>
      <c r="AD25" s="368"/>
      <c r="AE25" s="368"/>
      <c r="AF25" s="368"/>
      <c r="AG25" s="368"/>
      <c r="AH25" s="368"/>
      <c r="AI25" s="368"/>
      <c r="AJ25" s="368"/>
      <c r="AK25" s="368"/>
      <c r="AL25" s="368"/>
      <c r="AM25" s="368"/>
      <c r="AN25" s="368"/>
      <c r="AO25" s="368"/>
      <c r="AP25" s="368"/>
      <c r="AQ25" s="368"/>
      <c r="AR25" s="368"/>
      <c r="AS25" s="368"/>
      <c r="AT25" s="368"/>
      <c r="AU25" s="368"/>
      <c r="AV25" s="368"/>
      <c r="AW25" s="368"/>
      <c r="AX25" s="368"/>
      <c r="AY25" s="368"/>
      <c r="AZ25" s="368"/>
      <c r="BA25" s="368"/>
      <c r="BB25" s="368"/>
      <c r="BC25" s="368"/>
      <c r="BD25" s="368"/>
      <c r="BE25" s="368"/>
      <c r="BF25" s="368"/>
      <c r="BG25" s="368"/>
      <c r="BH25" s="368"/>
      <c r="BI25" s="368"/>
      <c r="BJ25" s="368"/>
      <c r="BK25" s="368"/>
      <c r="BL25" s="368"/>
      <c r="BM25" s="368"/>
      <c r="BN25" s="368"/>
      <c r="BO25" s="368"/>
      <c r="BP25" s="368"/>
      <c r="BQ25" s="368"/>
      <c r="BR25" s="368"/>
      <c r="BS25" s="368"/>
      <c r="BT25" s="368"/>
      <c r="BU25" s="368"/>
      <c r="BV25" s="368"/>
      <c r="BW25" s="368"/>
      <c r="BX25" s="368"/>
      <c r="BY25" s="368"/>
      <c r="BZ25" s="368"/>
      <c r="CA25" s="368"/>
      <c r="CB25" s="368"/>
      <c r="CC25" s="368"/>
      <c r="CD25" s="368"/>
      <c r="CE25" s="368"/>
      <c r="CF25" s="368"/>
      <c r="CG25" s="368"/>
      <c r="CH25" s="368"/>
      <c r="CI25" s="368"/>
      <c r="CJ25" s="368"/>
      <c r="CK25" s="368"/>
      <c r="CL25" s="368"/>
      <c r="CM25" s="368"/>
      <c r="CN25" s="368"/>
      <c r="CO25" s="368"/>
      <c r="CP25" s="368"/>
      <c r="CQ25" s="368"/>
      <c r="CR25" s="368"/>
      <c r="CS25" s="368"/>
      <c r="CT25" s="368"/>
      <c r="CU25" s="368"/>
      <c r="CV25" s="368"/>
      <c r="CW25" s="368"/>
      <c r="CX25" s="368"/>
      <c r="CY25" s="368"/>
      <c r="CZ25" s="368"/>
      <c r="DA25" s="368"/>
      <c r="DB25" s="368"/>
      <c r="DC25" s="368"/>
      <c r="DD25" s="368"/>
      <c r="DE25" s="368"/>
      <c r="DF25" s="368"/>
      <c r="DG25" s="368"/>
      <c r="DH25" s="368"/>
      <c r="DI25" s="368"/>
      <c r="DJ25" s="368"/>
      <c r="DK25" s="368"/>
      <c r="DL25" s="368"/>
      <c r="DM25" s="368"/>
      <c r="DN25" s="368"/>
      <c r="DO25" s="368"/>
      <c r="DP25" s="368"/>
      <c r="DQ25" s="368"/>
      <c r="DR25" s="368"/>
      <c r="DS25" s="368"/>
      <c r="DT25" s="368"/>
      <c r="DU25" s="368"/>
      <c r="DV25" s="368"/>
      <c r="DW25" s="368"/>
      <c r="DX25" s="368"/>
      <c r="DY25" s="368"/>
      <c r="DZ25" s="368"/>
      <c r="EA25" s="368"/>
      <c r="EB25" s="368"/>
      <c r="EC25" s="368"/>
      <c r="ED25" s="368"/>
      <c r="EE25" s="368"/>
      <c r="EF25" s="368"/>
      <c r="EG25" s="368"/>
      <c r="EH25" s="368"/>
      <c r="EI25" s="368"/>
      <c r="EJ25" s="368"/>
      <c r="EK25" s="368"/>
      <c r="EL25" s="368"/>
      <c r="EM25" s="368"/>
      <c r="EN25" s="368"/>
      <c r="EO25" s="368"/>
      <c r="EP25" s="368"/>
      <c r="EQ25" s="368"/>
      <c r="ER25" s="368"/>
      <c r="ES25" s="368"/>
      <c r="ET25" s="368"/>
      <c r="EU25" s="368"/>
      <c r="EV25" s="368"/>
      <c r="EW25" s="368"/>
      <c r="EX25" s="368"/>
      <c r="EY25" s="368"/>
      <c r="EZ25" s="368"/>
      <c r="FA25" s="368"/>
      <c r="FB25" s="368"/>
      <c r="FC25" s="368"/>
      <c r="FD25" s="368"/>
      <c r="FE25" s="368"/>
      <c r="FF25" s="368"/>
      <c r="FG25" s="368"/>
      <c r="FH25" s="368"/>
      <c r="FI25" s="368"/>
      <c r="FJ25" s="368"/>
      <c r="FK25" s="368"/>
      <c r="FL25" s="368"/>
      <c r="FM25" s="368"/>
      <c r="FN25" s="368"/>
      <c r="FO25" s="368"/>
      <c r="FP25" s="368"/>
      <c r="FQ25" s="368"/>
      <c r="FR25" s="368"/>
      <c r="FS25" s="368"/>
      <c r="FT25" s="368"/>
      <c r="FU25" s="368"/>
      <c r="FV25" s="368"/>
      <c r="FW25" s="368"/>
      <c r="FX25" s="368"/>
      <c r="FY25" s="368"/>
      <c r="FZ25" s="368"/>
      <c r="GA25" s="368"/>
      <c r="GB25" s="368"/>
      <c r="GC25" s="368"/>
      <c r="GD25" s="368"/>
      <c r="GE25" s="368"/>
      <c r="GF25" s="368"/>
      <c r="GG25" s="368"/>
      <c r="GH25" s="368"/>
      <c r="GI25" s="368"/>
      <c r="GJ25" s="368"/>
      <c r="GK25" s="368"/>
      <c r="GL25" s="368"/>
      <c r="GM25" s="368"/>
      <c r="GN25" s="368"/>
      <c r="GO25" s="368"/>
      <c r="GP25" s="368"/>
      <c r="GQ25" s="368"/>
      <c r="GR25" s="368"/>
      <c r="GS25" s="368"/>
      <c r="GT25" s="368"/>
      <c r="GU25" s="368"/>
      <c r="GV25" s="368"/>
      <c r="GW25" s="368"/>
      <c r="GX25" s="368"/>
      <c r="GY25" s="368"/>
      <c r="GZ25" s="368"/>
      <c r="HA25" s="368"/>
      <c r="HB25" s="368"/>
      <c r="HC25" s="368"/>
      <c r="HD25" s="368"/>
      <c r="HE25" s="368"/>
      <c r="HF25" s="368"/>
      <c r="HG25" s="368"/>
      <c r="HH25" s="368"/>
      <c r="HI25" s="368"/>
      <c r="HJ25" s="368"/>
      <c r="HK25" s="368"/>
      <c r="HL25" s="368"/>
      <c r="HM25" s="368"/>
      <c r="HN25" s="368"/>
      <c r="HO25" s="368"/>
      <c r="HP25" s="368"/>
      <c r="HQ25" s="368"/>
      <c r="HR25" s="368"/>
      <c r="HS25" s="368"/>
      <c r="HT25" s="368"/>
      <c r="HU25" s="368"/>
      <c r="HV25" s="368"/>
      <c r="HW25" s="368"/>
      <c r="HX25" s="368"/>
      <c r="HY25" s="368"/>
      <c r="HZ25" s="368"/>
      <c r="IA25" s="368"/>
      <c r="IB25" s="368"/>
      <c r="IC25" s="368"/>
      <c r="ID25" s="368"/>
      <c r="IE25" s="368"/>
      <c r="IF25" s="368"/>
      <c r="IG25" s="368"/>
      <c r="IH25" s="368"/>
      <c r="II25" s="368"/>
      <c r="IJ25" s="368"/>
      <c r="IK25" s="368"/>
      <c r="IL25" s="368"/>
      <c r="IM25" s="368"/>
      <c r="IN25" s="368"/>
      <c r="IO25" s="368"/>
      <c r="IP25" s="368"/>
      <c r="IQ25" s="368"/>
      <c r="IR25" s="368"/>
      <c r="IS25" s="368"/>
      <c r="IT25" s="368"/>
      <c r="IU25" s="368"/>
    </row>
    <row r="26" spans="2:255" ht="33" customHeight="1">
      <c r="B26" s="28" t="s">
        <v>30</v>
      </c>
      <c r="C26" s="1047" t="s">
        <v>31</v>
      </c>
      <c r="D26" s="1047"/>
      <c r="E26" s="1047"/>
      <c r="F26" s="1047"/>
      <c r="G26" s="1047"/>
      <c r="H26" s="1047"/>
      <c r="I26" s="1047"/>
      <c r="J26" s="1062" t="s">
        <v>32</v>
      </c>
      <c r="K26" s="1063"/>
      <c r="L26" s="1047" t="s">
        <v>33</v>
      </c>
      <c r="M26" s="1047"/>
      <c r="AA26" s="368"/>
      <c r="AB26" s="368"/>
      <c r="AC26" s="368"/>
      <c r="AD26" s="368"/>
      <c r="AE26" s="368"/>
      <c r="AF26" s="368"/>
      <c r="AG26" s="368"/>
      <c r="AH26" s="368"/>
      <c r="AI26" s="368"/>
      <c r="AJ26" s="368"/>
      <c r="AK26" s="368"/>
      <c r="AL26" s="368"/>
      <c r="AM26" s="368"/>
      <c r="AN26" s="368"/>
      <c r="AO26" s="368"/>
      <c r="AP26" s="368"/>
      <c r="AQ26" s="368"/>
      <c r="AR26" s="368"/>
      <c r="AS26" s="368"/>
      <c r="AT26" s="368"/>
      <c r="AU26" s="368"/>
      <c r="AV26" s="368"/>
      <c r="AW26" s="368"/>
      <c r="AX26" s="368"/>
      <c r="AY26" s="368"/>
      <c r="AZ26" s="368"/>
      <c r="BA26" s="368"/>
      <c r="BB26" s="368"/>
      <c r="BC26" s="368"/>
      <c r="BD26" s="368"/>
      <c r="BE26" s="368"/>
      <c r="BF26" s="368"/>
      <c r="BG26" s="368"/>
      <c r="BH26" s="368"/>
      <c r="BI26" s="368"/>
      <c r="BJ26" s="368"/>
      <c r="BK26" s="368"/>
      <c r="BL26" s="368"/>
      <c r="BM26" s="368"/>
      <c r="BN26" s="368"/>
      <c r="BO26" s="368"/>
      <c r="BP26" s="368"/>
      <c r="BQ26" s="368"/>
      <c r="BR26" s="368"/>
      <c r="BS26" s="368"/>
      <c r="BT26" s="368"/>
      <c r="BU26" s="368"/>
      <c r="BV26" s="368"/>
      <c r="BW26" s="368"/>
      <c r="BX26" s="368"/>
      <c r="BY26" s="368"/>
      <c r="BZ26" s="368"/>
      <c r="CA26" s="368"/>
      <c r="CB26" s="368"/>
      <c r="CC26" s="368"/>
      <c r="CD26" s="368"/>
      <c r="CE26" s="368"/>
      <c r="CF26" s="368"/>
      <c r="CG26" s="368"/>
      <c r="CH26" s="368"/>
      <c r="CI26" s="368"/>
      <c r="CJ26" s="368"/>
      <c r="CK26" s="368"/>
      <c r="CL26" s="368"/>
      <c r="CM26" s="368"/>
      <c r="CN26" s="368"/>
      <c r="CO26" s="368"/>
      <c r="CP26" s="368"/>
      <c r="CQ26" s="368"/>
      <c r="CR26" s="368"/>
      <c r="CS26" s="368"/>
      <c r="CT26" s="368"/>
      <c r="CU26" s="368"/>
      <c r="CV26" s="368"/>
      <c r="CW26" s="368"/>
      <c r="CX26" s="368"/>
      <c r="CY26" s="368"/>
      <c r="CZ26" s="368"/>
      <c r="DA26" s="368"/>
      <c r="DB26" s="368"/>
      <c r="DC26" s="368"/>
      <c r="DD26" s="368"/>
      <c r="DE26" s="368"/>
      <c r="DF26" s="368"/>
      <c r="DG26" s="368"/>
      <c r="DH26" s="368"/>
      <c r="DI26" s="368"/>
      <c r="DJ26" s="368"/>
      <c r="DK26" s="368"/>
      <c r="DL26" s="368"/>
      <c r="DM26" s="368"/>
      <c r="DN26" s="368"/>
      <c r="DO26" s="368"/>
      <c r="DP26" s="368"/>
      <c r="DQ26" s="368"/>
      <c r="DR26" s="368"/>
      <c r="DS26" s="368"/>
      <c r="DT26" s="368"/>
      <c r="DU26" s="368"/>
      <c r="DV26" s="368"/>
      <c r="DW26" s="368"/>
      <c r="DX26" s="368"/>
      <c r="DY26" s="368"/>
      <c r="DZ26" s="368"/>
      <c r="EA26" s="368"/>
      <c r="EB26" s="368"/>
      <c r="EC26" s="368"/>
      <c r="ED26" s="368"/>
      <c r="EE26" s="368"/>
      <c r="EF26" s="368"/>
      <c r="EG26" s="368"/>
      <c r="EH26" s="368"/>
      <c r="EI26" s="368"/>
      <c r="EJ26" s="368"/>
      <c r="EK26" s="368"/>
      <c r="EL26" s="368"/>
      <c r="EM26" s="368"/>
      <c r="EN26" s="368"/>
      <c r="EO26" s="368"/>
      <c r="EP26" s="368"/>
      <c r="EQ26" s="368"/>
      <c r="ER26" s="368"/>
      <c r="ES26" s="368"/>
      <c r="ET26" s="368"/>
      <c r="EU26" s="368"/>
      <c r="EV26" s="368"/>
      <c r="EW26" s="368"/>
      <c r="EX26" s="368"/>
      <c r="EY26" s="368"/>
      <c r="EZ26" s="368"/>
      <c r="FA26" s="368"/>
      <c r="FB26" s="368"/>
      <c r="FC26" s="368"/>
      <c r="FD26" s="368"/>
      <c r="FE26" s="368"/>
      <c r="FF26" s="368"/>
      <c r="FG26" s="368"/>
      <c r="FH26" s="368"/>
      <c r="FI26" s="368"/>
      <c r="FJ26" s="368"/>
      <c r="FK26" s="368"/>
      <c r="FL26" s="368"/>
      <c r="FM26" s="368"/>
      <c r="FN26" s="368"/>
      <c r="FO26" s="368"/>
      <c r="FP26" s="368"/>
      <c r="FQ26" s="368"/>
      <c r="FR26" s="368"/>
      <c r="FS26" s="368"/>
      <c r="FT26" s="368"/>
      <c r="FU26" s="368"/>
      <c r="FV26" s="368"/>
      <c r="FW26" s="368"/>
      <c r="FX26" s="368"/>
      <c r="FY26" s="368"/>
      <c r="FZ26" s="368"/>
      <c r="GA26" s="368"/>
      <c r="GB26" s="368"/>
      <c r="GC26" s="368"/>
      <c r="GD26" s="368"/>
      <c r="GE26" s="368"/>
      <c r="GF26" s="368"/>
      <c r="GG26" s="368"/>
      <c r="GH26" s="368"/>
      <c r="GI26" s="368"/>
      <c r="GJ26" s="368"/>
      <c r="GK26" s="368"/>
      <c r="GL26" s="368"/>
      <c r="GM26" s="368"/>
      <c r="GN26" s="368"/>
      <c r="GO26" s="368"/>
      <c r="GP26" s="368"/>
      <c r="GQ26" s="368"/>
      <c r="GR26" s="368"/>
      <c r="GS26" s="368"/>
      <c r="GT26" s="368"/>
      <c r="GU26" s="368"/>
      <c r="GV26" s="368"/>
      <c r="GW26" s="368"/>
      <c r="GX26" s="368"/>
      <c r="GY26" s="368"/>
      <c r="GZ26" s="368"/>
      <c r="HA26" s="368"/>
      <c r="HB26" s="368"/>
      <c r="HC26" s="368"/>
      <c r="HD26" s="368"/>
      <c r="HE26" s="368"/>
      <c r="HF26" s="368"/>
      <c r="HG26" s="368"/>
      <c r="HH26" s="368"/>
      <c r="HI26" s="368"/>
      <c r="HJ26" s="368"/>
      <c r="HK26" s="368"/>
      <c r="HL26" s="368"/>
      <c r="HM26" s="368"/>
      <c r="HN26" s="368"/>
      <c r="HO26" s="368"/>
      <c r="HP26" s="368"/>
      <c r="HQ26" s="368"/>
      <c r="HR26" s="368"/>
      <c r="HS26" s="368"/>
      <c r="HT26" s="368"/>
      <c r="HU26" s="368"/>
      <c r="HV26" s="368"/>
      <c r="HW26" s="368"/>
      <c r="HX26" s="368"/>
      <c r="HY26" s="368"/>
      <c r="HZ26" s="368"/>
      <c r="IA26" s="368"/>
      <c r="IB26" s="368"/>
      <c r="IC26" s="368"/>
      <c r="ID26" s="368"/>
      <c r="IE26" s="368"/>
      <c r="IF26" s="368"/>
      <c r="IG26" s="368"/>
      <c r="IH26" s="368"/>
      <c r="II26" s="368"/>
      <c r="IJ26" s="368"/>
      <c r="IK26" s="368"/>
      <c r="IL26" s="368"/>
      <c r="IM26" s="368"/>
      <c r="IN26" s="368"/>
      <c r="IO26" s="368"/>
      <c r="IP26" s="368"/>
      <c r="IQ26" s="368"/>
      <c r="IR26" s="368"/>
      <c r="IS26" s="368"/>
      <c r="IT26" s="368"/>
      <c r="IU26" s="368"/>
    </row>
    <row r="27" spans="2:255" ht="15.75" customHeight="1">
      <c r="B27" s="29">
        <v>1</v>
      </c>
      <c r="C27" s="863" t="s">
        <v>34</v>
      </c>
      <c r="D27" s="864"/>
      <c r="E27" s="864"/>
      <c r="F27" s="864"/>
      <c r="G27" s="865"/>
      <c r="H27" s="864"/>
      <c r="I27" s="46"/>
      <c r="J27" s="901" t="s">
        <v>214</v>
      </c>
      <c r="K27" s="900" t="s">
        <v>35</v>
      </c>
      <c r="L27" s="1053">
        <v>2</v>
      </c>
      <c r="M27" s="1053"/>
      <c r="S27" s="18" t="s">
        <v>205</v>
      </c>
      <c r="V27" s="18" t="str">
        <f>IF(AND(J29&lt;=500,S20&gt;100,Q19="G"),"masuk",IF(AND(Q19="NG",J29&gt;=500,S20&lt;=100),"keluar",IF(AND(Q19="G",J29="-",S20="-"),"uye",IF(AND(J29="-",S20="-"),"masuk",IF(AND(J29&lt;=500,S20&lt;=100),"masuk",IF(AND(J29&gt;500,S20&gt;100),"keluar",IF(AND(J29&gt;500,S20&lt;=100),"masuk",IF(AND(J29&lt;=500,S20="-"),"masuk",IF(AND(J29&lt;=500,S20&gt;=100),"keluar",IF(AND(S20="-",J29&gt;500),"keluar"))))))))))</f>
        <v>keluar</v>
      </c>
      <c r="AA27" s="368"/>
      <c r="AB27" s="368"/>
      <c r="AC27" s="368"/>
      <c r="AD27" s="368"/>
      <c r="AE27" s="368"/>
      <c r="AF27" s="368"/>
      <c r="AG27" s="368"/>
      <c r="AH27" s="368"/>
      <c r="AI27" s="368"/>
      <c r="AJ27" s="368"/>
      <c r="AK27" s="368"/>
      <c r="AL27" s="368"/>
      <c r="AM27" s="368"/>
      <c r="AN27" s="368"/>
      <c r="AO27" s="368"/>
      <c r="AP27" s="368"/>
      <c r="AQ27" s="368"/>
      <c r="AR27" s="368"/>
      <c r="AS27" s="368"/>
      <c r="AT27" s="368"/>
      <c r="AU27" s="368"/>
      <c r="AV27" s="368"/>
      <c r="AW27" s="368"/>
      <c r="AX27" s="368"/>
      <c r="AY27" s="368"/>
      <c r="AZ27" s="368"/>
      <c r="BA27" s="368"/>
      <c r="BB27" s="368"/>
      <c r="BC27" s="368"/>
      <c r="BD27" s="368"/>
      <c r="BE27" s="368"/>
      <c r="BF27" s="368"/>
      <c r="BG27" s="368"/>
      <c r="BH27" s="368"/>
      <c r="BI27" s="368"/>
      <c r="BJ27" s="368"/>
      <c r="BK27" s="368"/>
      <c r="BL27" s="368"/>
      <c r="BM27" s="368"/>
      <c r="BN27" s="368"/>
      <c r="BO27" s="368"/>
      <c r="BP27" s="368"/>
      <c r="BQ27" s="368"/>
      <c r="BR27" s="368"/>
      <c r="BS27" s="368"/>
      <c r="BT27" s="368"/>
      <c r="BU27" s="368"/>
      <c r="BV27" s="368"/>
      <c r="BW27" s="368"/>
      <c r="BX27" s="368"/>
      <c r="BY27" s="368"/>
      <c r="BZ27" s="368"/>
      <c r="CA27" s="368"/>
      <c r="CB27" s="368"/>
      <c r="CC27" s="368"/>
      <c r="CD27" s="368"/>
      <c r="CE27" s="368"/>
      <c r="CF27" s="368"/>
      <c r="CG27" s="368"/>
      <c r="CH27" s="368"/>
      <c r="CI27" s="368"/>
      <c r="CJ27" s="368"/>
      <c r="CK27" s="368"/>
      <c r="CL27" s="368"/>
      <c r="CM27" s="368"/>
      <c r="CN27" s="368"/>
      <c r="CO27" s="368"/>
      <c r="CP27" s="368"/>
      <c r="CQ27" s="368"/>
      <c r="CR27" s="368"/>
      <c r="CS27" s="368"/>
      <c r="CT27" s="368"/>
      <c r="CU27" s="368"/>
      <c r="CV27" s="368"/>
      <c r="CW27" s="368"/>
      <c r="CX27" s="368"/>
      <c r="CY27" s="368"/>
      <c r="CZ27" s="368"/>
      <c r="DA27" s="368"/>
      <c r="DB27" s="368"/>
      <c r="DC27" s="368"/>
      <c r="DD27" s="368"/>
      <c r="DE27" s="368"/>
      <c r="DF27" s="368"/>
      <c r="DG27" s="368"/>
      <c r="DH27" s="368"/>
      <c r="DI27" s="368"/>
      <c r="DJ27" s="368"/>
      <c r="DK27" s="368"/>
      <c r="DL27" s="368"/>
      <c r="DM27" s="368"/>
      <c r="DN27" s="368"/>
      <c r="DO27" s="368"/>
      <c r="DP27" s="368"/>
      <c r="DQ27" s="368"/>
      <c r="DR27" s="368"/>
      <c r="DS27" s="368"/>
      <c r="DT27" s="368"/>
      <c r="DU27" s="368"/>
      <c r="DV27" s="368"/>
      <c r="DW27" s="368"/>
      <c r="DX27" s="368"/>
      <c r="DY27" s="368"/>
      <c r="DZ27" s="368"/>
      <c r="EA27" s="368"/>
      <c r="EB27" s="368"/>
      <c r="EC27" s="368"/>
      <c r="ED27" s="368"/>
      <c r="EE27" s="368"/>
      <c r="EF27" s="368"/>
      <c r="EG27" s="368"/>
      <c r="EH27" s="368"/>
      <c r="EI27" s="368"/>
      <c r="EJ27" s="368"/>
      <c r="EK27" s="368"/>
      <c r="EL27" s="368"/>
      <c r="EM27" s="368"/>
      <c r="EN27" s="368"/>
      <c r="EO27" s="368"/>
      <c r="EP27" s="368"/>
      <c r="EQ27" s="368"/>
      <c r="ER27" s="368"/>
      <c r="ES27" s="368"/>
      <c r="ET27" s="368"/>
      <c r="EU27" s="368"/>
      <c r="EV27" s="368"/>
      <c r="EW27" s="368"/>
      <c r="EX27" s="368"/>
      <c r="EY27" s="368"/>
      <c r="EZ27" s="368"/>
      <c r="FA27" s="368"/>
      <c r="FB27" s="368"/>
      <c r="FC27" s="368"/>
      <c r="FD27" s="368"/>
      <c r="FE27" s="368"/>
      <c r="FF27" s="368"/>
      <c r="FG27" s="368"/>
      <c r="FH27" s="368"/>
      <c r="FI27" s="368"/>
      <c r="FJ27" s="368"/>
      <c r="FK27" s="368"/>
      <c r="FL27" s="368"/>
      <c r="FM27" s="368"/>
      <c r="FN27" s="368"/>
      <c r="FO27" s="368"/>
      <c r="FP27" s="368"/>
      <c r="FQ27" s="368"/>
      <c r="FR27" s="368"/>
      <c r="FS27" s="368"/>
      <c r="FT27" s="368"/>
      <c r="FU27" s="368"/>
      <c r="FV27" s="368"/>
      <c r="FW27" s="368"/>
      <c r="FX27" s="368"/>
      <c r="FY27" s="368"/>
      <c r="FZ27" s="368"/>
      <c r="GA27" s="368"/>
      <c r="GB27" s="368"/>
      <c r="GC27" s="368"/>
      <c r="GD27" s="368"/>
      <c r="GE27" s="368"/>
      <c r="GF27" s="368"/>
      <c r="GG27" s="368"/>
      <c r="GH27" s="368"/>
      <c r="GI27" s="368"/>
      <c r="GJ27" s="368"/>
      <c r="GK27" s="368"/>
      <c r="GL27" s="368"/>
      <c r="GM27" s="368"/>
      <c r="GN27" s="368"/>
      <c r="GO27" s="368"/>
      <c r="GP27" s="368"/>
      <c r="GQ27" s="368"/>
      <c r="GR27" s="368"/>
      <c r="GS27" s="368"/>
      <c r="GT27" s="368"/>
      <c r="GU27" s="368"/>
      <c r="GV27" s="368"/>
      <c r="GW27" s="368"/>
      <c r="GX27" s="368"/>
      <c r="GY27" s="368"/>
      <c r="GZ27" s="368"/>
      <c r="HA27" s="368"/>
      <c r="HB27" s="368"/>
      <c r="HC27" s="368"/>
      <c r="HD27" s="368"/>
      <c r="HE27" s="368"/>
      <c r="HF27" s="368"/>
      <c r="HG27" s="368"/>
      <c r="HH27" s="368"/>
      <c r="HI27" s="368"/>
      <c r="HJ27" s="368"/>
      <c r="HK27" s="368"/>
      <c r="HL27" s="368"/>
      <c r="HM27" s="368"/>
      <c r="HN27" s="368"/>
      <c r="HO27" s="368"/>
      <c r="HP27" s="368"/>
      <c r="HQ27" s="368"/>
      <c r="HR27" s="368"/>
      <c r="HS27" s="368"/>
      <c r="HT27" s="368"/>
      <c r="HU27" s="368"/>
      <c r="HV27" s="368"/>
      <c r="HW27" s="368"/>
      <c r="HX27" s="368"/>
      <c r="HY27" s="368"/>
      <c r="HZ27" s="368"/>
      <c r="IA27" s="368"/>
      <c r="IB27" s="368"/>
      <c r="IC27" s="368"/>
      <c r="ID27" s="368"/>
      <c r="IE27" s="368"/>
      <c r="IF27" s="368"/>
      <c r="IG27" s="368"/>
      <c r="IH27" s="368"/>
      <c r="II27" s="368"/>
      <c r="IJ27" s="368"/>
      <c r="IK27" s="368"/>
      <c r="IL27" s="368"/>
      <c r="IM27" s="368"/>
      <c r="IN27" s="368"/>
      <c r="IO27" s="368"/>
      <c r="IP27" s="368"/>
      <c r="IQ27" s="368"/>
      <c r="IR27" s="368"/>
      <c r="IS27" s="368"/>
      <c r="IT27" s="368"/>
      <c r="IU27" s="368"/>
    </row>
    <row r="28" spans="2:255" ht="15.75" customHeight="1">
      <c r="B28" s="29">
        <v>2</v>
      </c>
      <c r="C28" s="1041" t="s">
        <v>210</v>
      </c>
      <c r="D28" s="1042"/>
      <c r="E28" s="1042"/>
      <c r="F28" s="1042"/>
      <c r="G28" s="1042"/>
      <c r="H28" s="1042"/>
      <c r="I28" s="1043"/>
      <c r="J28" s="921">
        <v>0.1</v>
      </c>
      <c r="K28" s="46" t="s">
        <v>38</v>
      </c>
      <c r="L28" s="1054">
        <f>IF(C28='Lembar Penyelia'!X11,'Lembar Penyelia'!AD11,'Lembar Penyelia'!AD12)</f>
        <v>0.2</v>
      </c>
      <c r="M28" s="1054"/>
      <c r="S28" s="18" t="s">
        <v>215</v>
      </c>
      <c r="T28" s="866">
        <f ca="1">'Lembar Penyelia'!H67</f>
        <v>80</v>
      </c>
      <c r="AA28" s="368"/>
      <c r="AB28" s="368"/>
      <c r="AC28" s="368"/>
      <c r="AD28" s="368"/>
      <c r="AE28" s="368"/>
      <c r="AF28" s="368"/>
      <c r="AG28" s="368"/>
      <c r="AH28" s="368"/>
      <c r="AI28" s="368"/>
      <c r="AJ28" s="368"/>
      <c r="AK28" s="368"/>
      <c r="AL28" s="368"/>
      <c r="AM28" s="368"/>
      <c r="AN28" s="368"/>
      <c r="AO28" s="368"/>
      <c r="AP28" s="368"/>
      <c r="AQ28" s="368"/>
      <c r="AR28" s="368"/>
      <c r="AS28" s="368"/>
      <c r="AT28" s="368"/>
      <c r="AU28" s="368"/>
      <c r="AV28" s="368"/>
      <c r="AW28" s="368"/>
      <c r="AX28" s="368"/>
      <c r="AY28" s="368"/>
      <c r="AZ28" s="368"/>
      <c r="BA28" s="368"/>
      <c r="BB28" s="368"/>
      <c r="BC28" s="368"/>
      <c r="BD28" s="368"/>
      <c r="BE28" s="368"/>
      <c r="BF28" s="368"/>
      <c r="BG28" s="368"/>
      <c r="BH28" s="368"/>
      <c r="BI28" s="368"/>
      <c r="BJ28" s="368"/>
      <c r="BK28" s="368"/>
      <c r="BL28" s="368"/>
      <c r="BM28" s="368"/>
      <c r="BN28" s="368"/>
      <c r="BO28" s="368"/>
      <c r="BP28" s="368"/>
      <c r="BQ28" s="368"/>
      <c r="BR28" s="368"/>
      <c r="BS28" s="368"/>
      <c r="BT28" s="368"/>
      <c r="BU28" s="368"/>
      <c r="BV28" s="368"/>
      <c r="BW28" s="368"/>
      <c r="BX28" s="368"/>
      <c r="BY28" s="368"/>
      <c r="BZ28" s="368"/>
      <c r="CA28" s="368"/>
      <c r="CB28" s="368"/>
      <c r="CC28" s="368"/>
      <c r="CD28" s="368"/>
      <c r="CE28" s="368"/>
      <c r="CF28" s="368"/>
      <c r="CG28" s="368"/>
      <c r="CH28" s="368"/>
      <c r="CI28" s="368"/>
      <c r="CJ28" s="368"/>
      <c r="CK28" s="368"/>
      <c r="CL28" s="368"/>
      <c r="CM28" s="368"/>
      <c r="CN28" s="368"/>
      <c r="CO28" s="368"/>
      <c r="CP28" s="368"/>
      <c r="CQ28" s="368"/>
      <c r="CR28" s="368"/>
      <c r="CS28" s="368"/>
      <c r="CT28" s="368"/>
      <c r="CU28" s="368"/>
      <c r="CV28" s="368"/>
      <c r="CW28" s="368"/>
      <c r="CX28" s="368"/>
      <c r="CY28" s="368"/>
      <c r="CZ28" s="368"/>
      <c r="DA28" s="368"/>
      <c r="DB28" s="368"/>
      <c r="DC28" s="368"/>
      <c r="DD28" s="368"/>
      <c r="DE28" s="368"/>
      <c r="DF28" s="368"/>
      <c r="DG28" s="368"/>
      <c r="DH28" s="368"/>
      <c r="DI28" s="368"/>
      <c r="DJ28" s="368"/>
      <c r="DK28" s="368"/>
      <c r="DL28" s="368"/>
      <c r="DM28" s="368"/>
      <c r="DN28" s="368"/>
      <c r="DO28" s="368"/>
      <c r="DP28" s="368"/>
      <c r="DQ28" s="368"/>
      <c r="DR28" s="368"/>
      <c r="DS28" s="368"/>
      <c r="DT28" s="368"/>
      <c r="DU28" s="368"/>
      <c r="DV28" s="368"/>
      <c r="DW28" s="368"/>
      <c r="DX28" s="368"/>
      <c r="DY28" s="368"/>
      <c r="DZ28" s="368"/>
      <c r="EA28" s="368"/>
      <c r="EB28" s="368"/>
      <c r="EC28" s="368"/>
      <c r="ED28" s="368"/>
      <c r="EE28" s="368"/>
      <c r="EF28" s="368"/>
      <c r="EG28" s="368"/>
      <c r="EH28" s="368"/>
      <c r="EI28" s="368"/>
      <c r="EJ28" s="368"/>
      <c r="EK28" s="368"/>
      <c r="EL28" s="368"/>
      <c r="EM28" s="368"/>
      <c r="EN28" s="368"/>
      <c r="EO28" s="368"/>
      <c r="EP28" s="368"/>
      <c r="EQ28" s="368"/>
      <c r="ER28" s="368"/>
      <c r="ES28" s="368"/>
      <c r="ET28" s="368"/>
      <c r="EU28" s="368"/>
      <c r="EV28" s="368"/>
      <c r="EW28" s="368"/>
      <c r="EX28" s="368"/>
      <c r="EY28" s="368"/>
      <c r="EZ28" s="368"/>
      <c r="FA28" s="368"/>
      <c r="FB28" s="368"/>
      <c r="FC28" s="368"/>
      <c r="FD28" s="368"/>
      <c r="FE28" s="368"/>
      <c r="FF28" s="368"/>
      <c r="FG28" s="368"/>
      <c r="FH28" s="368"/>
      <c r="FI28" s="368"/>
      <c r="FJ28" s="368"/>
      <c r="FK28" s="368"/>
      <c r="FL28" s="368"/>
      <c r="FM28" s="368"/>
      <c r="FN28" s="368"/>
      <c r="FO28" s="368"/>
      <c r="FP28" s="368"/>
      <c r="FQ28" s="368"/>
      <c r="FR28" s="368"/>
      <c r="FS28" s="368"/>
      <c r="FT28" s="368"/>
      <c r="FU28" s="368"/>
      <c r="FV28" s="368"/>
      <c r="FW28" s="368"/>
      <c r="FX28" s="368"/>
      <c r="FY28" s="368"/>
      <c r="FZ28" s="368"/>
      <c r="GA28" s="368"/>
      <c r="GB28" s="368"/>
      <c r="GC28" s="368"/>
      <c r="GD28" s="368"/>
      <c r="GE28" s="368"/>
      <c r="GF28" s="368"/>
      <c r="GG28" s="368"/>
      <c r="GH28" s="368"/>
      <c r="GI28" s="368"/>
      <c r="GJ28" s="368"/>
      <c r="GK28" s="368"/>
      <c r="GL28" s="368"/>
      <c r="GM28" s="368"/>
      <c r="GN28" s="368"/>
      <c r="GO28" s="368"/>
      <c r="GP28" s="368"/>
      <c r="GQ28" s="368"/>
      <c r="GR28" s="368"/>
      <c r="GS28" s="368"/>
      <c r="GT28" s="368"/>
      <c r="GU28" s="368"/>
      <c r="GV28" s="368"/>
      <c r="GW28" s="368"/>
      <c r="GX28" s="368"/>
      <c r="GY28" s="368"/>
      <c r="GZ28" s="368"/>
      <c r="HA28" s="368"/>
      <c r="HB28" s="368"/>
      <c r="HC28" s="368"/>
      <c r="HD28" s="368"/>
      <c r="HE28" s="368"/>
      <c r="HF28" s="368"/>
      <c r="HG28" s="368"/>
      <c r="HH28" s="368"/>
      <c r="HI28" s="368"/>
      <c r="HJ28" s="368"/>
      <c r="HK28" s="368"/>
      <c r="HL28" s="368"/>
      <c r="HM28" s="368"/>
      <c r="HN28" s="368"/>
      <c r="HO28" s="368"/>
      <c r="HP28" s="368"/>
      <c r="HQ28" s="368"/>
      <c r="HR28" s="368"/>
      <c r="HS28" s="368"/>
      <c r="HT28" s="368"/>
      <c r="HU28" s="368"/>
      <c r="HV28" s="368"/>
      <c r="HW28" s="368"/>
      <c r="HX28" s="368"/>
      <c r="HY28" s="368"/>
      <c r="HZ28" s="368"/>
      <c r="IA28" s="368"/>
      <c r="IB28" s="368"/>
      <c r="IC28" s="368"/>
      <c r="ID28" s="368"/>
      <c r="IE28" s="368"/>
      <c r="IF28" s="368"/>
      <c r="IG28" s="368"/>
      <c r="IH28" s="368"/>
      <c r="II28" s="368"/>
      <c r="IJ28" s="368"/>
      <c r="IK28" s="368"/>
      <c r="IL28" s="368"/>
      <c r="IM28" s="368"/>
      <c r="IN28" s="368"/>
      <c r="IO28" s="368"/>
      <c r="IP28" s="368"/>
      <c r="IQ28" s="368"/>
      <c r="IR28" s="368"/>
      <c r="IS28" s="368"/>
      <c r="IT28" s="368"/>
      <c r="IU28" s="368"/>
    </row>
    <row r="29" spans="2:255" ht="15.75" customHeight="1">
      <c r="B29" s="29">
        <v>3</v>
      </c>
      <c r="C29" s="1041" t="s">
        <v>42</v>
      </c>
      <c r="D29" s="1042"/>
      <c r="E29" s="1042"/>
      <c r="F29" s="1042"/>
      <c r="G29" s="1042"/>
      <c r="H29" s="1042"/>
      <c r="I29" s="1043"/>
      <c r="J29" s="902" t="s">
        <v>156</v>
      </c>
      <c r="K29" s="900" t="s">
        <v>636</v>
      </c>
      <c r="L29" s="1067">
        <f>IF(C29='Lembar Penyelia'!X13,'Lembar Penyelia'!AD13,'Lembar Penyelia'!AD14)</f>
        <v>500</v>
      </c>
      <c r="M29" s="1068"/>
      <c r="T29" s="18" t="str">
        <f ca="1">A2</f>
        <v>Nomor Sertifikat : 30 /</v>
      </c>
      <c r="AA29" s="368"/>
      <c r="AB29" s="368"/>
      <c r="AC29" s="368"/>
      <c r="AD29" s="368"/>
      <c r="AE29" s="368"/>
      <c r="AF29" s="368"/>
      <c r="AG29" s="368"/>
      <c r="AH29" s="368"/>
      <c r="AI29" s="368"/>
      <c r="AJ29" s="368"/>
      <c r="AK29" s="368"/>
      <c r="AL29" s="368"/>
      <c r="AM29" s="368"/>
      <c r="AN29" s="368"/>
      <c r="AO29" s="368"/>
      <c r="AP29" s="368"/>
      <c r="AQ29" s="368"/>
      <c r="AR29" s="368"/>
      <c r="AS29" s="368"/>
      <c r="AT29" s="368"/>
      <c r="AU29" s="368"/>
      <c r="AV29" s="368"/>
      <c r="AW29" s="368"/>
      <c r="AX29" s="368"/>
      <c r="AY29" s="368"/>
      <c r="AZ29" s="368"/>
      <c r="BA29" s="368"/>
      <c r="BB29" s="368"/>
      <c r="BC29" s="368"/>
      <c r="BD29" s="368"/>
      <c r="BE29" s="368"/>
      <c r="BF29" s="368"/>
      <c r="BG29" s="368"/>
      <c r="BH29" s="368"/>
      <c r="BI29" s="368"/>
      <c r="BJ29" s="368"/>
      <c r="BK29" s="368"/>
      <c r="BL29" s="368"/>
      <c r="BM29" s="368"/>
      <c r="BN29" s="368"/>
      <c r="BO29" s="368"/>
      <c r="BP29" s="368"/>
      <c r="BQ29" s="368"/>
      <c r="BR29" s="368"/>
      <c r="BS29" s="368"/>
      <c r="BT29" s="368"/>
      <c r="BU29" s="368"/>
      <c r="BV29" s="368"/>
      <c r="BW29" s="368"/>
      <c r="BX29" s="368"/>
      <c r="BY29" s="368"/>
      <c r="BZ29" s="368"/>
      <c r="CA29" s="368"/>
      <c r="CB29" s="368"/>
      <c r="CC29" s="368"/>
      <c r="CD29" s="368"/>
      <c r="CE29" s="368"/>
      <c r="CF29" s="368"/>
      <c r="CG29" s="368"/>
      <c r="CH29" s="368"/>
      <c r="CI29" s="368"/>
      <c r="CJ29" s="368"/>
      <c r="CK29" s="368"/>
      <c r="CL29" s="368"/>
      <c r="CM29" s="368"/>
      <c r="CN29" s="368"/>
      <c r="CO29" s="368"/>
      <c r="CP29" s="368"/>
      <c r="CQ29" s="368"/>
      <c r="CR29" s="368"/>
      <c r="CS29" s="368"/>
      <c r="CT29" s="368"/>
      <c r="CU29" s="368"/>
      <c r="CV29" s="368"/>
      <c r="CW29" s="368"/>
      <c r="CX29" s="368"/>
      <c r="CY29" s="368"/>
      <c r="CZ29" s="368"/>
      <c r="DA29" s="368"/>
      <c r="DB29" s="368"/>
      <c r="DC29" s="368"/>
      <c r="DD29" s="368"/>
      <c r="DE29" s="368"/>
      <c r="DF29" s="368"/>
      <c r="DG29" s="368"/>
      <c r="DH29" s="368"/>
      <c r="DI29" s="368"/>
      <c r="DJ29" s="368"/>
      <c r="DK29" s="368"/>
      <c r="DL29" s="368"/>
      <c r="DM29" s="368"/>
      <c r="DN29" s="368"/>
      <c r="DO29" s="368"/>
      <c r="DP29" s="368"/>
      <c r="DQ29" s="368"/>
      <c r="DR29" s="368"/>
      <c r="DS29" s="368"/>
      <c r="DT29" s="368"/>
      <c r="DU29" s="368"/>
      <c r="DV29" s="368"/>
      <c r="DW29" s="368"/>
      <c r="DX29" s="368"/>
      <c r="DY29" s="368"/>
      <c r="DZ29" s="368"/>
      <c r="EA29" s="368"/>
      <c r="EB29" s="368"/>
      <c r="EC29" s="368"/>
      <c r="ED29" s="368"/>
      <c r="EE29" s="368"/>
      <c r="EF29" s="368"/>
      <c r="EG29" s="368"/>
      <c r="EH29" s="368"/>
      <c r="EI29" s="368"/>
      <c r="EJ29" s="368"/>
      <c r="EK29" s="368"/>
      <c r="EL29" s="368"/>
      <c r="EM29" s="368"/>
      <c r="EN29" s="368"/>
      <c r="EO29" s="368"/>
      <c r="EP29" s="368"/>
      <c r="EQ29" s="368"/>
      <c r="ER29" s="368"/>
      <c r="ES29" s="368"/>
      <c r="ET29" s="368"/>
      <c r="EU29" s="368"/>
      <c r="EV29" s="368"/>
      <c r="EW29" s="368"/>
      <c r="EX29" s="368"/>
      <c r="EY29" s="368"/>
      <c r="EZ29" s="368"/>
      <c r="FA29" s="368"/>
      <c r="FB29" s="368"/>
      <c r="FC29" s="368"/>
      <c r="FD29" s="368"/>
      <c r="FE29" s="368"/>
      <c r="FF29" s="368"/>
      <c r="FG29" s="368"/>
      <c r="FH29" s="368"/>
      <c r="FI29" s="368"/>
      <c r="FJ29" s="368"/>
      <c r="FK29" s="368"/>
      <c r="FL29" s="368"/>
      <c r="FM29" s="368"/>
      <c r="FN29" s="368"/>
      <c r="FO29" s="368"/>
      <c r="FP29" s="368"/>
      <c r="FQ29" s="368"/>
      <c r="FR29" s="368"/>
      <c r="FS29" s="368"/>
      <c r="FT29" s="368"/>
      <c r="FU29" s="368"/>
      <c r="FV29" s="368"/>
      <c r="FW29" s="368"/>
      <c r="FX29" s="368"/>
      <c r="FY29" s="368"/>
      <c r="FZ29" s="368"/>
      <c r="GA29" s="368"/>
      <c r="GB29" s="368"/>
      <c r="GC29" s="368"/>
      <c r="GD29" s="368"/>
      <c r="GE29" s="368"/>
      <c r="GF29" s="368"/>
      <c r="GG29" s="368"/>
      <c r="GH29" s="368"/>
      <c r="GI29" s="368"/>
      <c r="GJ29" s="368"/>
      <c r="GK29" s="368"/>
      <c r="GL29" s="368"/>
      <c r="GM29" s="368"/>
      <c r="GN29" s="368"/>
      <c r="GO29" s="368"/>
      <c r="GP29" s="368"/>
      <c r="GQ29" s="368"/>
      <c r="GR29" s="368"/>
      <c r="GS29" s="368"/>
      <c r="GT29" s="368"/>
      <c r="GU29" s="368"/>
      <c r="GV29" s="368"/>
      <c r="GW29" s="368"/>
      <c r="GX29" s="368"/>
      <c r="GY29" s="368"/>
      <c r="GZ29" s="368"/>
      <c r="HA29" s="368"/>
      <c r="HB29" s="368"/>
      <c r="HC29" s="368"/>
      <c r="HD29" s="368"/>
      <c r="HE29" s="368"/>
      <c r="HF29" s="368"/>
      <c r="HG29" s="368"/>
      <c r="HH29" s="368"/>
      <c r="HI29" s="368"/>
      <c r="HJ29" s="368"/>
      <c r="HK29" s="368"/>
      <c r="HL29" s="368"/>
      <c r="HM29" s="368"/>
      <c r="HN29" s="368"/>
      <c r="HO29" s="368"/>
      <c r="HP29" s="368"/>
      <c r="HQ29" s="368"/>
      <c r="HR29" s="368"/>
      <c r="HS29" s="368"/>
      <c r="HT29" s="368"/>
      <c r="HU29" s="368"/>
      <c r="HV29" s="368"/>
      <c r="HW29" s="368"/>
      <c r="HX29" s="368"/>
      <c r="HY29" s="368"/>
      <c r="HZ29" s="368"/>
      <c r="IA29" s="368"/>
      <c r="IB29" s="368"/>
      <c r="IC29" s="368"/>
      <c r="ID29" s="368"/>
      <c r="IE29" s="368"/>
      <c r="IF29" s="368"/>
      <c r="IG29" s="368"/>
      <c r="IH29" s="368"/>
      <c r="II29" s="368"/>
      <c r="IJ29" s="368"/>
      <c r="IK29" s="368"/>
      <c r="IL29" s="368"/>
      <c r="IM29" s="368"/>
      <c r="IN29" s="368"/>
      <c r="IO29" s="368"/>
      <c r="IP29" s="368"/>
      <c r="IQ29" s="368"/>
      <c r="IR29" s="368"/>
      <c r="IS29" s="368"/>
      <c r="IT29" s="368"/>
      <c r="IU29" s="368"/>
    </row>
    <row r="30" spans="2:255" ht="15.75" hidden="1" customHeight="1">
      <c r="B30" s="47"/>
      <c r="C30" s="48"/>
      <c r="D30" s="49"/>
      <c r="E30" s="49"/>
      <c r="F30" s="49"/>
      <c r="G30" s="867"/>
      <c r="H30" s="49"/>
      <c r="I30" s="868"/>
      <c r="J30" s="869"/>
      <c r="K30" s="55"/>
      <c r="L30" s="1069"/>
      <c r="M30" s="1070"/>
      <c r="AA30" s="368"/>
      <c r="AB30" s="368"/>
      <c r="AC30" s="368"/>
      <c r="AD30" s="368"/>
      <c r="AE30" s="368"/>
      <c r="AF30" s="368"/>
      <c r="AG30" s="368"/>
      <c r="AH30" s="368"/>
      <c r="AI30" s="368"/>
      <c r="AJ30" s="368"/>
      <c r="AK30" s="368"/>
      <c r="AL30" s="368"/>
      <c r="AM30" s="368"/>
      <c r="AN30" s="368"/>
      <c r="AO30" s="368"/>
      <c r="AP30" s="368"/>
      <c r="AQ30" s="368"/>
      <c r="AR30" s="368"/>
      <c r="AS30" s="368"/>
      <c r="AT30" s="368"/>
      <c r="AU30" s="368"/>
      <c r="AV30" s="368"/>
      <c r="AW30" s="368"/>
      <c r="AX30" s="368"/>
      <c r="AY30" s="368"/>
      <c r="AZ30" s="368"/>
      <c r="BA30" s="368"/>
      <c r="BB30" s="368"/>
      <c r="BC30" s="368"/>
      <c r="BD30" s="368"/>
      <c r="BE30" s="368"/>
      <c r="BF30" s="368"/>
      <c r="BG30" s="368"/>
      <c r="BH30" s="368"/>
      <c r="BI30" s="368"/>
      <c r="BJ30" s="368"/>
      <c r="BK30" s="368"/>
      <c r="BL30" s="368"/>
      <c r="BM30" s="368"/>
      <c r="BN30" s="368"/>
      <c r="BO30" s="368"/>
      <c r="BP30" s="368"/>
      <c r="BQ30" s="368"/>
      <c r="BR30" s="368"/>
      <c r="BS30" s="368"/>
      <c r="BT30" s="368"/>
      <c r="BU30" s="368"/>
      <c r="BV30" s="368"/>
      <c r="BW30" s="368"/>
      <c r="BX30" s="368"/>
      <c r="BY30" s="368"/>
      <c r="BZ30" s="368"/>
      <c r="CA30" s="368"/>
      <c r="CB30" s="368"/>
      <c r="CC30" s="368"/>
      <c r="CD30" s="368"/>
      <c r="CE30" s="368"/>
      <c r="CF30" s="368"/>
      <c r="CG30" s="368"/>
      <c r="CH30" s="368"/>
      <c r="CI30" s="368"/>
      <c r="CJ30" s="368"/>
      <c r="CK30" s="368"/>
      <c r="CL30" s="368"/>
      <c r="CM30" s="368"/>
      <c r="CN30" s="368"/>
      <c r="CO30" s="368"/>
      <c r="CP30" s="368"/>
      <c r="CQ30" s="368"/>
      <c r="CR30" s="368"/>
      <c r="CS30" s="368"/>
      <c r="CT30" s="368"/>
      <c r="CU30" s="368"/>
      <c r="CV30" s="368"/>
      <c r="CW30" s="368"/>
      <c r="CX30" s="368"/>
      <c r="CY30" s="368"/>
      <c r="CZ30" s="368"/>
      <c r="DA30" s="368"/>
      <c r="DB30" s="368"/>
      <c r="DC30" s="368"/>
      <c r="DD30" s="368"/>
      <c r="DE30" s="368"/>
      <c r="DF30" s="368"/>
      <c r="DG30" s="368"/>
      <c r="DH30" s="368"/>
      <c r="DI30" s="368"/>
      <c r="DJ30" s="368"/>
      <c r="DK30" s="368"/>
      <c r="DL30" s="368"/>
      <c r="DM30" s="368"/>
      <c r="DN30" s="368"/>
      <c r="DO30" s="368"/>
      <c r="DP30" s="368"/>
      <c r="DQ30" s="368"/>
      <c r="DR30" s="368"/>
      <c r="DS30" s="368"/>
      <c r="DT30" s="368"/>
      <c r="DU30" s="368"/>
      <c r="DV30" s="368"/>
      <c r="DW30" s="368"/>
      <c r="DX30" s="368"/>
      <c r="DY30" s="368"/>
      <c r="DZ30" s="368"/>
      <c r="EA30" s="368"/>
      <c r="EB30" s="368"/>
      <c r="EC30" s="368"/>
      <c r="ED30" s="368"/>
      <c r="EE30" s="368"/>
      <c r="EF30" s="368"/>
      <c r="EG30" s="368"/>
      <c r="EH30" s="368"/>
      <c r="EI30" s="368"/>
      <c r="EJ30" s="368"/>
      <c r="EK30" s="368"/>
      <c r="EL30" s="368"/>
      <c r="EM30" s="368"/>
      <c r="EN30" s="368"/>
      <c r="EO30" s="368"/>
      <c r="EP30" s="368"/>
      <c r="EQ30" s="368"/>
      <c r="ER30" s="368"/>
      <c r="ES30" s="368"/>
      <c r="ET30" s="368"/>
      <c r="EU30" s="368"/>
      <c r="EV30" s="368"/>
      <c r="EW30" s="368"/>
      <c r="EX30" s="368"/>
      <c r="EY30" s="368"/>
      <c r="EZ30" s="368"/>
      <c r="FA30" s="368"/>
      <c r="FB30" s="368"/>
      <c r="FC30" s="368"/>
      <c r="FD30" s="368"/>
      <c r="FE30" s="368"/>
      <c r="FF30" s="368"/>
      <c r="FG30" s="368"/>
      <c r="FH30" s="368"/>
      <c r="FI30" s="368"/>
      <c r="FJ30" s="368"/>
      <c r="FK30" s="368"/>
      <c r="FL30" s="368"/>
      <c r="FM30" s="368"/>
      <c r="FN30" s="368"/>
      <c r="FO30" s="368"/>
      <c r="FP30" s="368"/>
      <c r="FQ30" s="368"/>
      <c r="FR30" s="368"/>
      <c r="FS30" s="368"/>
      <c r="FT30" s="368"/>
      <c r="FU30" s="368"/>
      <c r="FV30" s="368"/>
      <c r="FW30" s="368"/>
      <c r="FX30" s="368"/>
      <c r="FY30" s="368"/>
      <c r="FZ30" s="368"/>
      <c r="GA30" s="368"/>
      <c r="GB30" s="368"/>
      <c r="GC30" s="368"/>
      <c r="GD30" s="368"/>
      <c r="GE30" s="368"/>
      <c r="GF30" s="368"/>
      <c r="GG30" s="368"/>
      <c r="GH30" s="368"/>
      <c r="GI30" s="368"/>
      <c r="GJ30" s="368"/>
      <c r="GK30" s="368"/>
      <c r="GL30" s="368"/>
      <c r="GM30" s="368"/>
      <c r="GN30" s="368"/>
      <c r="GO30" s="368"/>
      <c r="GP30" s="368"/>
      <c r="GQ30" s="368"/>
      <c r="GR30" s="368"/>
      <c r="GS30" s="368"/>
      <c r="GT30" s="368"/>
      <c r="GU30" s="368"/>
      <c r="GV30" s="368"/>
      <c r="GW30" s="368"/>
      <c r="GX30" s="368"/>
      <c r="GY30" s="368"/>
      <c r="GZ30" s="368"/>
      <c r="HA30" s="368"/>
      <c r="HB30" s="368"/>
      <c r="HC30" s="368"/>
      <c r="HD30" s="368"/>
      <c r="HE30" s="368"/>
      <c r="HF30" s="368"/>
      <c r="HG30" s="368"/>
      <c r="HH30" s="368"/>
      <c r="HI30" s="368"/>
      <c r="HJ30" s="368"/>
      <c r="HK30" s="368"/>
      <c r="HL30" s="368"/>
      <c r="HM30" s="368"/>
      <c r="HN30" s="368"/>
      <c r="HO30" s="368"/>
      <c r="HP30" s="368"/>
      <c r="HQ30" s="368"/>
      <c r="HR30" s="368"/>
      <c r="HS30" s="368"/>
      <c r="HT30" s="368"/>
      <c r="HU30" s="368"/>
      <c r="HV30" s="368"/>
      <c r="HW30" s="368"/>
      <c r="HX30" s="368"/>
      <c r="HY30" s="368"/>
      <c r="HZ30" s="368"/>
      <c r="IA30" s="368"/>
      <c r="IB30" s="368"/>
      <c r="IC30" s="368"/>
      <c r="ID30" s="368"/>
      <c r="IE30" s="368"/>
      <c r="IF30" s="368"/>
      <c r="IG30" s="368"/>
      <c r="IH30" s="368"/>
      <c r="II30" s="368"/>
      <c r="IJ30" s="368"/>
      <c r="IK30" s="368"/>
      <c r="IL30" s="368"/>
      <c r="IM30" s="368"/>
      <c r="IN30" s="368"/>
      <c r="IO30" s="368"/>
      <c r="IP30" s="368"/>
      <c r="IQ30" s="368"/>
      <c r="IR30" s="368"/>
      <c r="IS30" s="368"/>
      <c r="IT30" s="368"/>
      <c r="IU30" s="368"/>
    </row>
    <row r="31" spans="2:255" ht="20.149999999999999" hidden="1" customHeight="1">
      <c r="B31" s="50"/>
      <c r="C31" s="51"/>
      <c r="D31" s="30"/>
      <c r="E31" s="30"/>
      <c r="F31" s="30"/>
      <c r="G31" s="870"/>
      <c r="H31" s="30"/>
      <c r="I31" s="43"/>
      <c r="J31" s="871"/>
      <c r="K31" s="56"/>
      <c r="L31" s="1050"/>
      <c r="M31" s="1051"/>
      <c r="AA31" s="368"/>
      <c r="AB31" s="368"/>
      <c r="AC31" s="368"/>
      <c r="AD31" s="368"/>
      <c r="AE31" s="368"/>
      <c r="AF31" s="368"/>
      <c r="AG31" s="368"/>
      <c r="AH31" s="368"/>
      <c r="AI31" s="368"/>
      <c r="AJ31" s="368"/>
      <c r="AK31" s="368"/>
      <c r="AL31" s="368"/>
      <c r="AM31" s="368"/>
      <c r="AN31" s="368"/>
      <c r="AO31" s="368"/>
      <c r="AP31" s="368"/>
      <c r="AQ31" s="368"/>
      <c r="AR31" s="368"/>
      <c r="AS31" s="368"/>
      <c r="AT31" s="368"/>
      <c r="AU31" s="368"/>
      <c r="AV31" s="368"/>
      <c r="AW31" s="368"/>
      <c r="AX31" s="368"/>
      <c r="AY31" s="368"/>
      <c r="AZ31" s="368"/>
      <c r="BA31" s="368"/>
      <c r="BB31" s="368"/>
      <c r="BC31" s="368"/>
      <c r="BD31" s="368"/>
      <c r="BE31" s="368"/>
      <c r="BF31" s="368"/>
      <c r="BG31" s="368"/>
      <c r="BH31" s="368"/>
      <c r="BI31" s="368"/>
      <c r="BJ31" s="368"/>
      <c r="BK31" s="368"/>
      <c r="BL31" s="368"/>
      <c r="BM31" s="368"/>
      <c r="BN31" s="368"/>
      <c r="BO31" s="368"/>
      <c r="BP31" s="368"/>
      <c r="BQ31" s="368"/>
      <c r="BR31" s="368"/>
      <c r="BS31" s="368"/>
      <c r="BT31" s="368"/>
      <c r="BU31" s="368"/>
      <c r="BV31" s="368"/>
      <c r="BW31" s="368"/>
      <c r="BX31" s="368"/>
      <c r="BY31" s="368"/>
      <c r="BZ31" s="368"/>
      <c r="CA31" s="368"/>
      <c r="CB31" s="368"/>
      <c r="CC31" s="368"/>
      <c r="CD31" s="368"/>
      <c r="CE31" s="368"/>
      <c r="CF31" s="368"/>
      <c r="CG31" s="368"/>
      <c r="CH31" s="368"/>
      <c r="CI31" s="368"/>
      <c r="CJ31" s="368"/>
      <c r="CK31" s="368"/>
      <c r="CL31" s="368"/>
      <c r="CM31" s="368"/>
      <c r="CN31" s="368"/>
      <c r="CO31" s="368"/>
      <c r="CP31" s="368"/>
      <c r="CQ31" s="368"/>
      <c r="CR31" s="368"/>
      <c r="CS31" s="368"/>
      <c r="CT31" s="368"/>
      <c r="CU31" s="368"/>
      <c r="CV31" s="368"/>
      <c r="CW31" s="368"/>
      <c r="CX31" s="368"/>
      <c r="CY31" s="368"/>
      <c r="CZ31" s="368"/>
      <c r="DA31" s="368"/>
      <c r="DB31" s="368"/>
      <c r="DC31" s="368"/>
      <c r="DD31" s="368"/>
      <c r="DE31" s="368"/>
      <c r="DF31" s="368"/>
      <c r="DG31" s="368"/>
      <c r="DH31" s="368"/>
      <c r="DI31" s="368"/>
      <c r="DJ31" s="368"/>
      <c r="DK31" s="368"/>
      <c r="DL31" s="368"/>
      <c r="DM31" s="368"/>
      <c r="DN31" s="368"/>
      <c r="DO31" s="368"/>
      <c r="DP31" s="368"/>
      <c r="DQ31" s="368"/>
      <c r="DR31" s="368"/>
      <c r="DS31" s="368"/>
      <c r="DT31" s="368"/>
      <c r="DU31" s="368"/>
      <c r="DV31" s="368"/>
      <c r="DW31" s="368"/>
      <c r="DX31" s="368"/>
      <c r="DY31" s="368"/>
      <c r="DZ31" s="368"/>
      <c r="EA31" s="368"/>
      <c r="EB31" s="368"/>
      <c r="EC31" s="368"/>
      <c r="ED31" s="368"/>
      <c r="EE31" s="368"/>
      <c r="EF31" s="368"/>
      <c r="EG31" s="368"/>
      <c r="EH31" s="368"/>
      <c r="EI31" s="368"/>
      <c r="EJ31" s="368"/>
      <c r="EK31" s="368"/>
      <c r="EL31" s="368"/>
      <c r="EM31" s="368"/>
      <c r="EN31" s="368"/>
      <c r="EO31" s="368"/>
      <c r="EP31" s="368"/>
      <c r="EQ31" s="368"/>
      <c r="ER31" s="368"/>
      <c r="ES31" s="368"/>
      <c r="ET31" s="368"/>
      <c r="EU31" s="368"/>
      <c r="EV31" s="368"/>
      <c r="EW31" s="368"/>
      <c r="EX31" s="368"/>
      <c r="EY31" s="368"/>
      <c r="EZ31" s="368"/>
      <c r="FA31" s="368"/>
      <c r="FB31" s="368"/>
      <c r="FC31" s="368"/>
      <c r="FD31" s="368"/>
      <c r="FE31" s="368"/>
      <c r="FF31" s="368"/>
      <c r="FG31" s="368"/>
      <c r="FH31" s="368"/>
      <c r="FI31" s="368"/>
      <c r="FJ31" s="368"/>
      <c r="FK31" s="368"/>
      <c r="FL31" s="368"/>
      <c r="FM31" s="368"/>
      <c r="FN31" s="368"/>
      <c r="FO31" s="368"/>
      <c r="FP31" s="368"/>
      <c r="FQ31" s="368"/>
      <c r="FR31" s="368"/>
      <c r="FS31" s="368"/>
      <c r="FT31" s="368"/>
      <c r="FU31" s="368"/>
      <c r="FV31" s="368"/>
      <c r="FW31" s="368"/>
      <c r="FX31" s="368"/>
      <c r="FY31" s="368"/>
      <c r="FZ31" s="368"/>
      <c r="GA31" s="368"/>
      <c r="GB31" s="368"/>
      <c r="GC31" s="368"/>
      <c r="GD31" s="368"/>
      <c r="GE31" s="368"/>
      <c r="GF31" s="368"/>
      <c r="GG31" s="368"/>
      <c r="GH31" s="368"/>
      <c r="GI31" s="368"/>
      <c r="GJ31" s="368"/>
      <c r="GK31" s="368"/>
      <c r="GL31" s="368"/>
      <c r="GM31" s="368"/>
      <c r="GN31" s="368"/>
      <c r="GO31" s="368"/>
      <c r="GP31" s="368"/>
      <c r="GQ31" s="368"/>
      <c r="GR31" s="368"/>
      <c r="GS31" s="368"/>
      <c r="GT31" s="368"/>
      <c r="GU31" s="368"/>
      <c r="GV31" s="368"/>
      <c r="GW31" s="368"/>
      <c r="GX31" s="368"/>
      <c r="GY31" s="368"/>
      <c r="GZ31" s="368"/>
      <c r="HA31" s="368"/>
      <c r="HB31" s="368"/>
      <c r="HC31" s="368"/>
      <c r="HD31" s="368"/>
      <c r="HE31" s="368"/>
      <c r="HF31" s="368"/>
      <c r="HG31" s="368"/>
      <c r="HH31" s="368"/>
      <c r="HI31" s="368"/>
      <c r="HJ31" s="368"/>
      <c r="HK31" s="368"/>
      <c r="HL31" s="368"/>
      <c r="HM31" s="368"/>
      <c r="HN31" s="368"/>
      <c r="HO31" s="368"/>
      <c r="HP31" s="368"/>
      <c r="HQ31" s="368"/>
      <c r="HR31" s="368"/>
      <c r="HS31" s="368"/>
      <c r="HT31" s="368"/>
      <c r="HU31" s="368"/>
      <c r="HV31" s="368"/>
      <c r="HW31" s="368"/>
      <c r="HX31" s="368"/>
      <c r="HY31" s="368"/>
      <c r="HZ31" s="368"/>
      <c r="IA31" s="368"/>
      <c r="IB31" s="368"/>
      <c r="IC31" s="368"/>
      <c r="ID31" s="368"/>
      <c r="IE31" s="368"/>
      <c r="IF31" s="368"/>
      <c r="IG31" s="368"/>
      <c r="IH31" s="368"/>
      <c r="II31" s="368"/>
      <c r="IJ31" s="368"/>
      <c r="IK31" s="368"/>
      <c r="IL31" s="368"/>
      <c r="IM31" s="368"/>
      <c r="IN31" s="368"/>
      <c r="IO31" s="368"/>
      <c r="IP31" s="368"/>
      <c r="IQ31" s="368"/>
      <c r="IR31" s="368"/>
      <c r="IS31" s="368"/>
      <c r="IT31" s="368"/>
      <c r="IU31" s="368"/>
    </row>
    <row r="32" spans="2:255" ht="20.149999999999999" customHeight="1">
      <c r="B32" s="52"/>
      <c r="G32" s="15"/>
      <c r="I32" s="11"/>
      <c r="J32" s="21"/>
      <c r="K32" s="872"/>
      <c r="L32" s="872"/>
      <c r="M32" s="872"/>
      <c r="AT32" s="368"/>
      <c r="AU32" s="368"/>
      <c r="AV32" s="368"/>
      <c r="AW32" s="368"/>
      <c r="AX32" s="368"/>
      <c r="AY32" s="368"/>
      <c r="AZ32" s="368"/>
      <c r="BA32" s="368"/>
      <c r="BB32" s="368"/>
      <c r="BC32" s="368"/>
      <c r="BD32" s="368"/>
      <c r="BE32" s="368"/>
      <c r="BF32" s="368"/>
      <c r="BG32" s="368"/>
      <c r="BH32" s="368"/>
      <c r="BI32" s="368"/>
      <c r="BJ32" s="368"/>
      <c r="BK32" s="368"/>
      <c r="BL32" s="368"/>
      <c r="BM32" s="368"/>
      <c r="BN32" s="368"/>
      <c r="BO32" s="368"/>
      <c r="BP32" s="368"/>
      <c r="BQ32" s="368"/>
      <c r="BR32" s="368"/>
      <c r="BS32" s="368"/>
      <c r="BT32" s="368"/>
      <c r="BU32" s="368"/>
      <c r="BV32" s="368"/>
      <c r="BW32" s="368"/>
      <c r="BX32" s="368"/>
      <c r="BY32" s="368"/>
      <c r="BZ32" s="368"/>
      <c r="CA32" s="368"/>
      <c r="CB32" s="368"/>
      <c r="CC32" s="368"/>
      <c r="CD32" s="368"/>
      <c r="CE32" s="368"/>
      <c r="CF32" s="368"/>
      <c r="CG32" s="368"/>
      <c r="CH32" s="368"/>
      <c r="CI32" s="368"/>
      <c r="CJ32" s="368"/>
      <c r="CK32" s="368"/>
      <c r="CL32" s="368"/>
      <c r="CM32" s="368"/>
      <c r="CN32" s="368"/>
      <c r="CO32" s="368"/>
      <c r="CP32" s="368"/>
      <c r="CQ32" s="368"/>
      <c r="CR32" s="368"/>
      <c r="CS32" s="368"/>
      <c r="CT32" s="368"/>
      <c r="CU32" s="368"/>
      <c r="CV32" s="368"/>
      <c r="CW32" s="368"/>
      <c r="CX32" s="368"/>
      <c r="CY32" s="368"/>
      <c r="CZ32" s="368"/>
      <c r="DA32" s="368"/>
      <c r="DB32" s="368"/>
      <c r="DC32" s="368"/>
      <c r="DD32" s="368"/>
      <c r="DE32" s="368"/>
      <c r="DF32" s="368"/>
      <c r="DG32" s="368"/>
      <c r="DH32" s="368"/>
      <c r="DI32" s="368"/>
      <c r="DJ32" s="368"/>
      <c r="DK32" s="368"/>
      <c r="DL32" s="368"/>
      <c r="DM32" s="368"/>
      <c r="DN32" s="368"/>
      <c r="DO32" s="368"/>
      <c r="DP32" s="368"/>
      <c r="DQ32" s="368"/>
      <c r="DR32" s="368"/>
      <c r="DS32" s="368"/>
      <c r="DT32" s="368"/>
      <c r="DU32" s="368"/>
      <c r="DV32" s="368"/>
      <c r="DW32" s="368"/>
      <c r="DX32" s="368"/>
      <c r="DY32" s="368"/>
      <c r="DZ32" s="368"/>
      <c r="EA32" s="368"/>
      <c r="EB32" s="368"/>
      <c r="EC32" s="368"/>
      <c r="ED32" s="368"/>
      <c r="EE32" s="368"/>
      <c r="EF32" s="368"/>
      <c r="EG32" s="368"/>
      <c r="EH32" s="368"/>
      <c r="EI32" s="368"/>
      <c r="EJ32" s="368"/>
      <c r="EK32" s="368"/>
      <c r="EL32" s="368"/>
      <c r="EM32" s="368"/>
      <c r="EN32" s="368"/>
      <c r="EO32" s="368"/>
      <c r="EP32" s="368"/>
      <c r="EQ32" s="368"/>
      <c r="ER32" s="368"/>
      <c r="ES32" s="368"/>
      <c r="ET32" s="368"/>
      <c r="EU32" s="368"/>
      <c r="EV32" s="368"/>
      <c r="EW32" s="368"/>
      <c r="EX32" s="368"/>
      <c r="EY32" s="368"/>
      <c r="EZ32" s="368"/>
      <c r="FA32" s="368"/>
      <c r="FB32" s="368"/>
      <c r="FC32" s="368"/>
      <c r="FD32" s="368"/>
      <c r="FE32" s="368"/>
      <c r="FF32" s="368"/>
      <c r="FG32" s="368"/>
      <c r="FH32" s="368"/>
      <c r="FI32" s="368"/>
      <c r="FJ32" s="368"/>
      <c r="FK32" s="368"/>
      <c r="FL32" s="368"/>
      <c r="FM32" s="368"/>
      <c r="FN32" s="368"/>
      <c r="FO32" s="368"/>
      <c r="FP32" s="368"/>
      <c r="FQ32" s="368"/>
      <c r="FR32" s="368"/>
      <c r="FS32" s="368"/>
      <c r="FT32" s="368"/>
      <c r="FU32" s="368"/>
      <c r="FV32" s="368"/>
      <c r="FW32" s="368"/>
      <c r="FX32" s="368"/>
      <c r="FY32" s="368"/>
      <c r="FZ32" s="368"/>
      <c r="GA32" s="368"/>
      <c r="GB32" s="368"/>
      <c r="GC32" s="368"/>
      <c r="GD32" s="368"/>
      <c r="GE32" s="368"/>
      <c r="GF32" s="368"/>
      <c r="GG32" s="368"/>
      <c r="GH32" s="368"/>
      <c r="GI32" s="368"/>
      <c r="GJ32" s="368"/>
      <c r="GK32" s="368"/>
      <c r="GL32" s="368"/>
      <c r="GM32" s="368"/>
      <c r="GN32" s="368"/>
      <c r="GO32" s="368"/>
      <c r="GP32" s="368"/>
      <c r="GQ32" s="368"/>
      <c r="GR32" s="368"/>
      <c r="GS32" s="368"/>
      <c r="GT32" s="368"/>
      <c r="GU32" s="368"/>
      <c r="GV32" s="368"/>
      <c r="GW32" s="368"/>
      <c r="GX32" s="368"/>
      <c r="GY32" s="368"/>
      <c r="GZ32" s="368"/>
      <c r="HA32" s="368"/>
      <c r="HB32" s="368"/>
      <c r="HC32" s="368"/>
      <c r="HD32" s="368"/>
      <c r="HE32" s="368"/>
      <c r="HF32" s="368"/>
      <c r="HG32" s="368"/>
      <c r="HH32" s="368"/>
      <c r="HI32" s="368"/>
      <c r="HJ32" s="368"/>
      <c r="HK32" s="368"/>
      <c r="HL32" s="368"/>
      <c r="HM32" s="368"/>
      <c r="HN32" s="368"/>
      <c r="HO32" s="368"/>
      <c r="HP32" s="368"/>
      <c r="HQ32" s="368"/>
      <c r="HR32" s="368"/>
      <c r="HS32" s="368"/>
      <c r="HT32" s="368"/>
      <c r="HU32" s="368"/>
      <c r="HV32" s="368"/>
      <c r="HW32" s="368"/>
      <c r="HX32" s="368"/>
      <c r="HY32" s="368"/>
      <c r="HZ32" s="368"/>
      <c r="IA32" s="368"/>
      <c r="IB32" s="368"/>
      <c r="IC32" s="368"/>
      <c r="ID32" s="368"/>
      <c r="IE32" s="368"/>
      <c r="IF32" s="368"/>
      <c r="IG32" s="368"/>
      <c r="IH32" s="368"/>
      <c r="II32" s="368"/>
      <c r="IJ32" s="368"/>
      <c r="IK32" s="368"/>
      <c r="IL32" s="368"/>
      <c r="IM32" s="368"/>
      <c r="IN32" s="368"/>
      <c r="IO32" s="368"/>
      <c r="IP32" s="368"/>
      <c r="IQ32" s="368"/>
      <c r="IR32" s="368"/>
      <c r="IS32" s="368"/>
      <c r="IT32" s="368"/>
      <c r="IU32" s="368"/>
    </row>
    <row r="33" spans="2:255" ht="20.149999999999999" customHeight="1">
      <c r="B33" s="23" t="str">
        <f>'Lembar Kerja'!B31</f>
        <v>Pengujian Kinerja</v>
      </c>
      <c r="K33" s="17"/>
      <c r="L33" s="17"/>
      <c r="M33" s="17"/>
      <c r="S33" s="18" t="s">
        <v>216</v>
      </c>
      <c r="AT33" s="368"/>
      <c r="AU33" s="368"/>
      <c r="AV33" s="368"/>
      <c r="AW33" s="368"/>
      <c r="AX33" s="368"/>
      <c r="AY33" s="368"/>
      <c r="AZ33" s="368"/>
      <c r="BA33" s="368"/>
      <c r="BB33" s="368"/>
      <c r="BC33" s="368"/>
      <c r="BD33" s="368"/>
      <c r="BE33" s="368"/>
      <c r="BF33" s="368"/>
      <c r="BG33" s="368"/>
      <c r="BH33" s="368"/>
      <c r="BI33" s="368"/>
      <c r="BJ33" s="368"/>
      <c r="BK33" s="368"/>
      <c r="BL33" s="368"/>
      <c r="BM33" s="368"/>
      <c r="BN33" s="368"/>
      <c r="BO33" s="368"/>
      <c r="BP33" s="368"/>
      <c r="BQ33" s="368"/>
      <c r="BR33" s="368"/>
      <c r="BS33" s="368"/>
      <c r="BT33" s="368"/>
      <c r="BU33" s="368"/>
      <c r="BV33" s="368"/>
      <c r="BW33" s="368"/>
      <c r="BX33" s="368"/>
      <c r="BY33" s="368"/>
      <c r="BZ33" s="368"/>
      <c r="CA33" s="368"/>
      <c r="CB33" s="368"/>
      <c r="CC33" s="368"/>
      <c r="CD33" s="368"/>
      <c r="CE33" s="368"/>
      <c r="CF33" s="368"/>
      <c r="CG33" s="368"/>
      <c r="CH33" s="368"/>
      <c r="CI33" s="368"/>
      <c r="CJ33" s="368"/>
      <c r="CK33" s="368"/>
      <c r="CL33" s="368"/>
      <c r="CM33" s="368"/>
      <c r="CN33" s="368"/>
      <c r="CO33" s="368"/>
      <c r="CP33" s="368"/>
      <c r="CQ33" s="368"/>
      <c r="CR33" s="368"/>
      <c r="CS33" s="368"/>
      <c r="CT33" s="368"/>
      <c r="CU33" s="368"/>
      <c r="CV33" s="368"/>
      <c r="CW33" s="368"/>
      <c r="CX33" s="368"/>
      <c r="CY33" s="368"/>
      <c r="CZ33" s="368"/>
      <c r="DA33" s="368"/>
      <c r="DB33" s="368"/>
      <c r="DC33" s="368"/>
      <c r="DD33" s="368"/>
      <c r="DE33" s="368"/>
      <c r="DF33" s="368"/>
      <c r="DG33" s="368"/>
      <c r="DH33" s="368"/>
      <c r="DI33" s="368"/>
      <c r="DJ33" s="368"/>
      <c r="DK33" s="368"/>
      <c r="DL33" s="368"/>
      <c r="DM33" s="368"/>
      <c r="DN33" s="368"/>
      <c r="DO33" s="368"/>
      <c r="DP33" s="368"/>
      <c r="DQ33" s="368"/>
      <c r="DR33" s="368"/>
      <c r="DS33" s="368"/>
      <c r="DT33" s="368"/>
      <c r="DU33" s="368"/>
      <c r="DV33" s="368"/>
      <c r="DW33" s="368"/>
      <c r="DX33" s="368"/>
      <c r="DY33" s="368"/>
      <c r="DZ33" s="368"/>
      <c r="EA33" s="368"/>
      <c r="EB33" s="368"/>
      <c r="EC33" s="368"/>
      <c r="ED33" s="368"/>
      <c r="EE33" s="368"/>
      <c r="EF33" s="368"/>
      <c r="EG33" s="368"/>
      <c r="EH33" s="368"/>
      <c r="EI33" s="368"/>
      <c r="EJ33" s="368"/>
      <c r="EK33" s="368"/>
      <c r="EL33" s="368"/>
      <c r="EM33" s="368"/>
      <c r="EN33" s="368"/>
      <c r="EO33" s="368"/>
      <c r="EP33" s="368"/>
      <c r="EQ33" s="368"/>
      <c r="ER33" s="368"/>
      <c r="ES33" s="368"/>
      <c r="ET33" s="368"/>
      <c r="EU33" s="368"/>
      <c r="EV33" s="368"/>
      <c r="EW33" s="368"/>
      <c r="EX33" s="368"/>
      <c r="EY33" s="368"/>
      <c r="EZ33" s="368"/>
      <c r="FA33" s="368"/>
      <c r="FB33" s="368"/>
      <c r="FC33" s="368"/>
      <c r="FD33" s="368"/>
      <c r="FE33" s="368"/>
      <c r="FF33" s="368"/>
      <c r="FG33" s="368"/>
      <c r="FH33" s="368"/>
      <c r="FI33" s="368"/>
      <c r="FJ33" s="368"/>
      <c r="FK33" s="368"/>
      <c r="FL33" s="368"/>
      <c r="FM33" s="368"/>
      <c r="FN33" s="368"/>
      <c r="FO33" s="368"/>
      <c r="FP33" s="368"/>
      <c r="FQ33" s="368"/>
      <c r="FR33" s="368"/>
      <c r="FS33" s="368"/>
      <c r="FT33" s="368"/>
      <c r="FU33" s="368"/>
      <c r="FV33" s="368"/>
      <c r="FW33" s="368"/>
      <c r="FX33" s="368"/>
      <c r="FY33" s="368"/>
      <c r="FZ33" s="368"/>
      <c r="GA33" s="368"/>
      <c r="GB33" s="368"/>
      <c r="GC33" s="368"/>
      <c r="GD33" s="368"/>
      <c r="GE33" s="368"/>
      <c r="GF33" s="368"/>
      <c r="GG33" s="368"/>
      <c r="GH33" s="368"/>
      <c r="GI33" s="368"/>
      <c r="GJ33" s="368"/>
      <c r="GK33" s="368"/>
      <c r="GL33" s="368"/>
      <c r="GM33" s="368"/>
      <c r="GN33" s="368"/>
      <c r="GO33" s="368"/>
      <c r="GP33" s="368"/>
      <c r="GQ33" s="368"/>
      <c r="GR33" s="368"/>
      <c r="GS33" s="368"/>
      <c r="GT33" s="368"/>
      <c r="GU33" s="368"/>
      <c r="GV33" s="368"/>
      <c r="GW33" s="368"/>
      <c r="GX33" s="368"/>
      <c r="GY33" s="368"/>
      <c r="GZ33" s="368"/>
      <c r="HA33" s="368"/>
      <c r="HB33" s="368"/>
      <c r="HC33" s="368"/>
      <c r="HD33" s="368"/>
      <c r="HE33" s="368"/>
      <c r="HF33" s="368"/>
      <c r="HG33" s="368"/>
      <c r="HH33" s="368"/>
      <c r="HI33" s="368"/>
      <c r="HJ33" s="368"/>
      <c r="HK33" s="368"/>
      <c r="HL33" s="368"/>
      <c r="HM33" s="368"/>
      <c r="HN33" s="368"/>
      <c r="HO33" s="368"/>
      <c r="HP33" s="368"/>
      <c r="HQ33" s="368"/>
      <c r="HR33" s="368"/>
      <c r="HS33" s="368"/>
      <c r="HT33" s="368"/>
      <c r="HU33" s="368"/>
      <c r="HV33" s="368"/>
      <c r="HW33" s="368"/>
      <c r="HX33" s="368"/>
      <c r="HY33" s="368"/>
      <c r="HZ33" s="368"/>
      <c r="IA33" s="368"/>
      <c r="IB33" s="368"/>
      <c r="IC33" s="368"/>
      <c r="ID33" s="368"/>
      <c r="IE33" s="368"/>
      <c r="IF33" s="368"/>
      <c r="IG33" s="368"/>
      <c r="IH33" s="368"/>
      <c r="II33" s="368"/>
      <c r="IJ33" s="368"/>
      <c r="IK33" s="368"/>
      <c r="IL33" s="368"/>
      <c r="IM33" s="368"/>
      <c r="IN33" s="368"/>
      <c r="IO33" s="368"/>
      <c r="IP33" s="368"/>
      <c r="IQ33" s="368"/>
      <c r="IR33" s="368"/>
      <c r="IS33" s="368"/>
      <c r="IT33" s="368"/>
      <c r="IU33" s="368"/>
    </row>
    <row r="34" spans="2:255" ht="20.149999999999999" customHeight="1">
      <c r="B34" s="18" t="s">
        <v>47</v>
      </c>
      <c r="K34" s="17"/>
      <c r="L34" s="17"/>
      <c r="M34" s="17"/>
      <c r="S34" s="18" t="s">
        <v>113</v>
      </c>
      <c r="AO34" s="15"/>
      <c r="AT34" s="368"/>
      <c r="AU34" s="368"/>
      <c r="AV34" s="368"/>
      <c r="AW34" s="368"/>
      <c r="AX34" s="368"/>
      <c r="AY34" s="368"/>
      <c r="AZ34" s="368"/>
      <c r="BA34" s="368"/>
      <c r="BB34" s="368"/>
      <c r="BC34" s="368"/>
      <c r="BD34" s="368"/>
      <c r="BE34" s="368"/>
      <c r="BF34" s="368"/>
      <c r="BG34" s="368"/>
      <c r="BH34" s="368"/>
      <c r="BI34" s="368"/>
      <c r="BJ34" s="368"/>
      <c r="BK34" s="368"/>
      <c r="BL34" s="368"/>
      <c r="BM34" s="368"/>
      <c r="BN34" s="368"/>
      <c r="BO34" s="368"/>
      <c r="BP34" s="368"/>
      <c r="BQ34" s="368"/>
      <c r="BR34" s="368"/>
      <c r="BS34" s="368"/>
      <c r="BT34" s="368"/>
      <c r="BU34" s="368"/>
      <c r="BV34" s="368"/>
      <c r="BW34" s="368"/>
      <c r="BX34" s="368"/>
      <c r="BY34" s="368"/>
      <c r="BZ34" s="368"/>
      <c r="CA34" s="368"/>
      <c r="CB34" s="368"/>
      <c r="CC34" s="368"/>
      <c r="CD34" s="368"/>
      <c r="CE34" s="368"/>
      <c r="CF34" s="368"/>
      <c r="CG34" s="368"/>
      <c r="CH34" s="368"/>
      <c r="CI34" s="368"/>
      <c r="CJ34" s="368"/>
      <c r="CK34" s="368"/>
      <c r="CL34" s="368"/>
      <c r="CM34" s="368"/>
      <c r="CN34" s="368"/>
      <c r="CO34" s="368"/>
      <c r="CP34" s="368"/>
      <c r="CQ34" s="368"/>
      <c r="CR34" s="368"/>
      <c r="CS34" s="368"/>
      <c r="CT34" s="368"/>
      <c r="CU34" s="368"/>
      <c r="CV34" s="368"/>
      <c r="CW34" s="368"/>
      <c r="CX34" s="368"/>
      <c r="CY34" s="368"/>
      <c r="CZ34" s="368"/>
      <c r="DA34" s="368"/>
      <c r="DB34" s="368"/>
      <c r="DC34" s="368"/>
      <c r="DD34" s="368"/>
      <c r="DE34" s="368"/>
      <c r="DF34" s="368"/>
      <c r="DG34" s="368"/>
      <c r="DH34" s="368"/>
      <c r="DI34" s="368"/>
      <c r="DJ34" s="368"/>
      <c r="DK34" s="368"/>
      <c r="DL34" s="368"/>
      <c r="DM34" s="368"/>
      <c r="DN34" s="368"/>
      <c r="DO34" s="368"/>
      <c r="DP34" s="368"/>
      <c r="DQ34" s="368"/>
      <c r="DR34" s="368"/>
      <c r="DS34" s="368"/>
      <c r="DT34" s="368"/>
      <c r="DU34" s="368"/>
      <c r="DV34" s="368"/>
      <c r="DW34" s="368"/>
      <c r="DX34" s="368"/>
      <c r="DY34" s="368"/>
      <c r="DZ34" s="368"/>
      <c r="EA34" s="368"/>
      <c r="EB34" s="368"/>
      <c r="EC34" s="368"/>
      <c r="ED34" s="368"/>
      <c r="EE34" s="368"/>
      <c r="EF34" s="368"/>
      <c r="EG34" s="368"/>
      <c r="EH34" s="368"/>
      <c r="EI34" s="368"/>
      <c r="EJ34" s="368"/>
      <c r="EK34" s="368"/>
      <c r="EL34" s="368"/>
      <c r="EM34" s="368"/>
      <c r="EN34" s="368"/>
      <c r="EO34" s="368"/>
      <c r="EP34" s="368"/>
      <c r="EQ34" s="368"/>
      <c r="ER34" s="368"/>
      <c r="ES34" s="368"/>
      <c r="ET34" s="368"/>
      <c r="EU34" s="368"/>
      <c r="EV34" s="368"/>
      <c r="EW34" s="368"/>
      <c r="EX34" s="368"/>
      <c r="EY34" s="368"/>
      <c r="EZ34" s="368"/>
      <c r="FA34" s="368"/>
      <c r="FB34" s="368"/>
      <c r="FC34" s="368"/>
      <c r="FD34" s="368"/>
      <c r="FE34" s="368"/>
      <c r="FF34" s="368"/>
      <c r="FG34" s="368"/>
      <c r="FH34" s="368"/>
      <c r="FI34" s="368"/>
      <c r="FJ34" s="368"/>
      <c r="FK34" s="368"/>
      <c r="FL34" s="368"/>
      <c r="FM34" s="368"/>
      <c r="FN34" s="368"/>
      <c r="FO34" s="368"/>
      <c r="FP34" s="368"/>
      <c r="FQ34" s="368"/>
      <c r="FR34" s="368"/>
      <c r="FS34" s="368"/>
      <c r="FT34" s="368"/>
      <c r="FU34" s="368"/>
      <c r="FV34" s="368"/>
      <c r="FW34" s="368"/>
      <c r="FX34" s="368"/>
      <c r="FY34" s="368"/>
      <c r="FZ34" s="368"/>
      <c r="GA34" s="368"/>
      <c r="GB34" s="368"/>
      <c r="GC34" s="368"/>
      <c r="GD34" s="368"/>
      <c r="GE34" s="368"/>
      <c r="GF34" s="368"/>
      <c r="GG34" s="368"/>
      <c r="GH34" s="368"/>
      <c r="GI34" s="368"/>
      <c r="GJ34" s="368"/>
      <c r="GK34" s="368"/>
      <c r="GL34" s="368"/>
      <c r="GM34" s="368"/>
      <c r="GN34" s="368"/>
      <c r="GO34" s="368"/>
      <c r="GP34" s="368"/>
      <c r="GQ34" s="368"/>
      <c r="GR34" s="368"/>
      <c r="GS34" s="368"/>
      <c r="GT34" s="368"/>
      <c r="GU34" s="368"/>
      <c r="GV34" s="368"/>
      <c r="GW34" s="368"/>
      <c r="GX34" s="368"/>
      <c r="GY34" s="368"/>
      <c r="GZ34" s="368"/>
      <c r="HA34" s="368"/>
      <c r="HB34" s="368"/>
      <c r="HC34" s="368"/>
      <c r="HD34" s="368"/>
      <c r="HE34" s="368"/>
      <c r="HF34" s="368"/>
      <c r="HG34" s="368"/>
      <c r="HH34" s="368"/>
      <c r="HI34" s="368"/>
      <c r="HJ34" s="368"/>
      <c r="HK34" s="368"/>
      <c r="HL34" s="368"/>
      <c r="HM34" s="368"/>
      <c r="HN34" s="368"/>
      <c r="HO34" s="368"/>
      <c r="HP34" s="368"/>
      <c r="HQ34" s="368"/>
      <c r="HR34" s="368"/>
      <c r="HS34" s="368"/>
      <c r="HT34" s="368"/>
      <c r="HU34" s="368"/>
      <c r="HV34" s="368"/>
      <c r="HW34" s="368"/>
      <c r="HX34" s="368"/>
      <c r="HY34" s="368"/>
      <c r="HZ34" s="368"/>
      <c r="IA34" s="368"/>
      <c r="IB34" s="368"/>
      <c r="IC34" s="368"/>
      <c r="ID34" s="368"/>
      <c r="IE34" s="368"/>
      <c r="IF34" s="368"/>
      <c r="IG34" s="368"/>
      <c r="IH34" s="368"/>
      <c r="II34" s="368"/>
      <c r="IJ34" s="368"/>
      <c r="IK34" s="368"/>
      <c r="IL34" s="368"/>
      <c r="IM34" s="368"/>
      <c r="IN34" s="368"/>
      <c r="IO34" s="368"/>
      <c r="IP34" s="368"/>
      <c r="IQ34" s="368"/>
      <c r="IR34" s="368"/>
      <c r="IS34" s="368"/>
      <c r="IT34" s="368"/>
      <c r="IU34" s="368"/>
    </row>
    <row r="35" spans="2:255" ht="38.25" customHeight="1" thickBot="1">
      <c r="B35" s="873" t="s">
        <v>48</v>
      </c>
      <c r="C35" s="873" t="s">
        <v>217</v>
      </c>
      <c r="D35" s="873" t="s">
        <v>218</v>
      </c>
      <c r="E35" s="873" t="s">
        <v>51</v>
      </c>
      <c r="F35" s="16"/>
      <c r="G35" s="15"/>
      <c r="H35" s="15" t="s">
        <v>219</v>
      </c>
      <c r="K35" s="17"/>
      <c r="L35" s="17"/>
      <c r="M35" s="17"/>
      <c r="N35" s="10"/>
      <c r="P35" s="14"/>
      <c r="AO35" s="10"/>
      <c r="AT35" s="368"/>
      <c r="AU35" s="368"/>
      <c r="AV35" s="368"/>
      <c r="AW35" s="368"/>
      <c r="AX35" s="368"/>
      <c r="AY35" s="368"/>
      <c r="AZ35" s="368"/>
      <c r="BA35" s="368"/>
      <c r="BB35" s="368"/>
      <c r="BC35" s="368"/>
      <c r="BD35" s="368"/>
      <c r="BE35" s="368"/>
      <c r="BF35" s="368"/>
      <c r="BG35" s="368"/>
      <c r="BH35" s="368"/>
      <c r="BI35" s="368"/>
      <c r="BJ35" s="368"/>
      <c r="BK35" s="368"/>
      <c r="BL35" s="368"/>
      <c r="BM35" s="368"/>
      <c r="BN35" s="368"/>
      <c r="BO35" s="368"/>
      <c r="BP35" s="368"/>
      <c r="BQ35" s="368"/>
      <c r="BR35" s="368"/>
      <c r="BS35" s="368"/>
      <c r="BT35" s="368"/>
      <c r="BU35" s="368"/>
      <c r="BV35" s="368"/>
      <c r="BW35" s="368"/>
      <c r="BX35" s="368"/>
      <c r="BY35" s="368"/>
      <c r="BZ35" s="368"/>
      <c r="CA35" s="368"/>
      <c r="CB35" s="368"/>
      <c r="CC35" s="368"/>
      <c r="CD35" s="368"/>
      <c r="CE35" s="368"/>
      <c r="CF35" s="368"/>
      <c r="CG35" s="368"/>
      <c r="CH35" s="368"/>
      <c r="CI35" s="368"/>
      <c r="CJ35" s="368"/>
      <c r="CK35" s="368"/>
      <c r="CL35" s="368"/>
      <c r="CM35" s="368"/>
      <c r="CN35" s="368"/>
      <c r="CO35" s="368"/>
      <c r="CP35" s="368"/>
      <c r="CQ35" s="368"/>
      <c r="CR35" s="368"/>
      <c r="CS35" s="368"/>
      <c r="CT35" s="368"/>
      <c r="CU35" s="368"/>
      <c r="CV35" s="368"/>
      <c r="CW35" s="368"/>
      <c r="CX35" s="368"/>
      <c r="CY35" s="368"/>
      <c r="CZ35" s="368"/>
      <c r="DA35" s="368"/>
      <c r="DB35" s="368"/>
      <c r="DC35" s="368"/>
      <c r="DD35" s="368"/>
      <c r="DE35" s="368"/>
      <c r="DF35" s="368"/>
      <c r="DG35" s="368"/>
      <c r="DH35" s="368"/>
      <c r="DI35" s="368"/>
      <c r="DJ35" s="368"/>
      <c r="DK35" s="368"/>
      <c r="DL35" s="368"/>
      <c r="DM35" s="368"/>
      <c r="DN35" s="368"/>
      <c r="DO35" s="368"/>
      <c r="DP35" s="368"/>
      <c r="DQ35" s="368"/>
      <c r="DR35" s="368"/>
      <c r="DS35" s="368"/>
      <c r="DT35" s="368"/>
      <c r="DU35" s="368"/>
      <c r="DV35" s="368"/>
      <c r="DW35" s="368"/>
      <c r="DX35" s="368"/>
      <c r="DY35" s="368"/>
      <c r="DZ35" s="368"/>
      <c r="EA35" s="368"/>
      <c r="EB35" s="368"/>
      <c r="EC35" s="368"/>
      <c r="ED35" s="368"/>
      <c r="EE35" s="368"/>
      <c r="EF35" s="368"/>
      <c r="EG35" s="368"/>
      <c r="EH35" s="368"/>
      <c r="EI35" s="368"/>
      <c r="EJ35" s="368"/>
      <c r="EK35" s="368"/>
      <c r="EL35" s="368"/>
      <c r="EM35" s="368"/>
      <c r="EN35" s="368"/>
      <c r="EO35" s="368"/>
      <c r="EP35" s="368"/>
      <c r="EQ35" s="368"/>
      <c r="ER35" s="368"/>
      <c r="ES35" s="368"/>
      <c r="ET35" s="368"/>
      <c r="EU35" s="368"/>
      <c r="EV35" s="368"/>
      <c r="EW35" s="368"/>
      <c r="EX35" s="368"/>
      <c r="EY35" s="368"/>
      <c r="EZ35" s="368"/>
      <c r="FA35" s="368"/>
      <c r="FB35" s="368"/>
      <c r="FC35" s="368"/>
      <c r="FD35" s="368"/>
      <c r="FE35" s="368"/>
      <c r="FF35" s="368"/>
      <c r="FG35" s="368"/>
      <c r="FH35" s="368"/>
      <c r="FI35" s="368"/>
      <c r="FJ35" s="368"/>
      <c r="FK35" s="368"/>
      <c r="FL35" s="368"/>
      <c r="FM35" s="368"/>
      <c r="FN35" s="368"/>
      <c r="FO35" s="368"/>
      <c r="FP35" s="368"/>
      <c r="FQ35" s="368"/>
      <c r="FR35" s="368"/>
      <c r="FS35" s="368"/>
      <c r="FT35" s="368"/>
      <c r="FU35" s="368"/>
      <c r="FV35" s="368"/>
      <c r="FW35" s="368"/>
      <c r="FX35" s="368"/>
      <c r="FY35" s="368"/>
      <c r="FZ35" s="368"/>
      <c r="GA35" s="368"/>
      <c r="GB35" s="368"/>
      <c r="GC35" s="368"/>
      <c r="GD35" s="368"/>
      <c r="GE35" s="368"/>
      <c r="GF35" s="368"/>
      <c r="GG35" s="368"/>
      <c r="GH35" s="368"/>
      <c r="GI35" s="368"/>
      <c r="GJ35" s="368"/>
      <c r="GK35" s="368"/>
      <c r="GL35" s="368"/>
      <c r="GM35" s="368"/>
      <c r="GN35" s="368"/>
      <c r="GO35" s="368"/>
      <c r="GP35" s="368"/>
      <c r="GQ35" s="368"/>
      <c r="GR35" s="368"/>
      <c r="GS35" s="368"/>
      <c r="GT35" s="368"/>
      <c r="GU35" s="368"/>
      <c r="GV35" s="368"/>
      <c r="GW35" s="368"/>
      <c r="GX35" s="368"/>
      <c r="GY35" s="368"/>
      <c r="GZ35" s="368"/>
      <c r="HA35" s="368"/>
      <c r="HB35" s="368"/>
      <c r="HC35" s="368"/>
      <c r="HD35" s="368"/>
      <c r="HE35" s="368"/>
      <c r="HF35" s="368"/>
      <c r="HG35" s="368"/>
      <c r="HH35" s="368"/>
      <c r="HI35" s="368"/>
      <c r="HJ35" s="368"/>
      <c r="HK35" s="368"/>
      <c r="HL35" s="368"/>
      <c r="HM35" s="368"/>
      <c r="HN35" s="368"/>
      <c r="HO35" s="368"/>
      <c r="HP35" s="368"/>
      <c r="HQ35" s="368"/>
      <c r="HR35" s="368"/>
      <c r="HS35" s="368"/>
      <c r="HT35" s="368"/>
      <c r="HU35" s="368"/>
      <c r="HV35" s="368"/>
      <c r="HW35" s="368"/>
      <c r="HX35" s="368"/>
      <c r="HY35" s="368"/>
      <c r="HZ35" s="368"/>
      <c r="IA35" s="368"/>
      <c r="IB35" s="368"/>
      <c r="IC35" s="368"/>
      <c r="ID35" s="368"/>
      <c r="IE35" s="368"/>
      <c r="IF35" s="368"/>
      <c r="IG35" s="368"/>
      <c r="IH35" s="368"/>
      <c r="II35" s="368"/>
      <c r="IJ35" s="368"/>
      <c r="IK35" s="368"/>
      <c r="IL35" s="368"/>
      <c r="IM35" s="368"/>
      <c r="IN35" s="368"/>
      <c r="IO35" s="368"/>
      <c r="IP35" s="368"/>
      <c r="IQ35" s="368"/>
      <c r="IR35" s="368"/>
      <c r="IS35" s="368"/>
      <c r="IT35" s="368"/>
      <c r="IU35" s="368"/>
    </row>
    <row r="36" spans="2:255" ht="30" customHeight="1" thickBot="1">
      <c r="B36" s="903">
        <v>0.4</v>
      </c>
      <c r="C36" s="904">
        <v>0.33</v>
      </c>
      <c r="D36" s="904">
        <v>0.4</v>
      </c>
      <c r="E36" s="31">
        <f>D36*C36*B36</f>
        <v>5.2800000000000007E-2</v>
      </c>
      <c r="G36" s="42"/>
      <c r="H36" s="15">
        <f>0.4*0.33*0.4</f>
        <v>5.2800000000000007E-2</v>
      </c>
      <c r="K36" s="17"/>
      <c r="L36" s="17"/>
      <c r="M36" s="17"/>
      <c r="S36" s="10"/>
      <c r="T36" s="1044" t="s">
        <v>220</v>
      </c>
      <c r="U36" s="1045"/>
      <c r="V36" s="1045"/>
      <c r="W36" s="1045"/>
      <c r="X36" s="1045"/>
      <c r="Y36" s="1046"/>
      <c r="AO36" s="10"/>
      <c r="AT36" s="368"/>
      <c r="AU36" s="368"/>
      <c r="AV36" s="368"/>
      <c r="AW36" s="368"/>
      <c r="AX36" s="368"/>
      <c r="AY36" s="368"/>
      <c r="AZ36" s="368"/>
      <c r="BA36" s="368"/>
      <c r="BB36" s="368"/>
      <c r="BC36" s="368"/>
      <c r="BD36" s="368"/>
      <c r="BE36" s="368"/>
      <c r="BF36" s="368"/>
      <c r="BG36" s="368"/>
      <c r="BH36" s="368"/>
      <c r="BI36" s="368"/>
      <c r="BJ36" s="368"/>
      <c r="BK36" s="368"/>
      <c r="BL36" s="368"/>
      <c r="BM36" s="368"/>
      <c r="BN36" s="368"/>
      <c r="BO36" s="368"/>
      <c r="BP36" s="368"/>
      <c r="BQ36" s="368"/>
      <c r="BR36" s="368"/>
      <c r="BS36" s="368"/>
      <c r="BT36" s="368"/>
      <c r="BU36" s="368"/>
      <c r="BV36" s="368"/>
      <c r="BW36" s="368"/>
      <c r="BX36" s="368"/>
      <c r="BY36" s="368"/>
      <c r="BZ36" s="368"/>
      <c r="CA36" s="368"/>
      <c r="CB36" s="368"/>
      <c r="CC36" s="368"/>
      <c r="CD36" s="368"/>
      <c r="CE36" s="368"/>
      <c r="CF36" s="368"/>
      <c r="CG36" s="368"/>
      <c r="CH36" s="368"/>
      <c r="CI36" s="368"/>
      <c r="CJ36" s="368"/>
      <c r="CK36" s="368"/>
      <c r="CL36" s="368"/>
      <c r="CM36" s="368"/>
      <c r="CN36" s="368"/>
      <c r="CO36" s="368"/>
      <c r="CP36" s="368"/>
      <c r="CQ36" s="368"/>
      <c r="CR36" s="368"/>
      <c r="CS36" s="368"/>
      <c r="CT36" s="368"/>
      <c r="CU36" s="368"/>
      <c r="CV36" s="368"/>
      <c r="CW36" s="368"/>
      <c r="CX36" s="368"/>
      <c r="CY36" s="368"/>
      <c r="CZ36" s="368"/>
      <c r="DA36" s="368"/>
      <c r="DB36" s="368"/>
      <c r="DC36" s="368"/>
      <c r="DD36" s="368"/>
      <c r="DE36" s="368"/>
      <c r="DF36" s="368"/>
      <c r="DG36" s="368"/>
      <c r="DH36" s="368"/>
      <c r="DI36" s="368"/>
      <c r="DJ36" s="368"/>
      <c r="DK36" s="368"/>
      <c r="DL36" s="368"/>
      <c r="DM36" s="368"/>
      <c r="DN36" s="368"/>
      <c r="DO36" s="368"/>
      <c r="DP36" s="368"/>
      <c r="DQ36" s="368"/>
      <c r="DR36" s="368"/>
      <c r="DS36" s="368"/>
      <c r="DT36" s="368"/>
      <c r="DU36" s="368"/>
      <c r="DV36" s="368"/>
      <c r="DW36" s="368"/>
      <c r="DX36" s="368"/>
      <c r="DY36" s="368"/>
      <c r="DZ36" s="368"/>
      <c r="EA36" s="368"/>
      <c r="EB36" s="368"/>
      <c r="EC36" s="368"/>
      <c r="ED36" s="368"/>
      <c r="EE36" s="368"/>
      <c r="EF36" s="368"/>
      <c r="EG36" s="368"/>
      <c r="EH36" s="368"/>
      <c r="EI36" s="368"/>
      <c r="EJ36" s="368"/>
      <c r="EK36" s="368"/>
      <c r="EL36" s="368"/>
      <c r="EM36" s="368"/>
      <c r="EN36" s="368"/>
      <c r="EO36" s="368"/>
      <c r="EP36" s="368"/>
      <c r="EQ36" s="368"/>
      <c r="ER36" s="368"/>
      <c r="ES36" s="368"/>
      <c r="ET36" s="368"/>
      <c r="EU36" s="368"/>
      <c r="EV36" s="368"/>
      <c r="EW36" s="368"/>
      <c r="EX36" s="368"/>
      <c r="EY36" s="368"/>
      <c r="EZ36" s="368"/>
      <c r="FA36" s="368"/>
      <c r="FB36" s="368"/>
      <c r="FC36" s="368"/>
      <c r="FD36" s="368"/>
      <c r="FE36" s="368"/>
      <c r="FF36" s="368"/>
      <c r="FG36" s="368"/>
      <c r="FH36" s="368"/>
      <c r="FI36" s="368"/>
      <c r="FJ36" s="368"/>
      <c r="FK36" s="368"/>
      <c r="FL36" s="368"/>
      <c r="FM36" s="368"/>
      <c r="FN36" s="368"/>
      <c r="FO36" s="368"/>
      <c r="FP36" s="368"/>
      <c r="FQ36" s="368"/>
      <c r="FR36" s="368"/>
      <c r="FS36" s="368"/>
      <c r="FT36" s="368"/>
      <c r="FU36" s="368"/>
      <c r="FV36" s="368"/>
      <c r="FW36" s="368"/>
      <c r="FX36" s="368"/>
      <c r="FY36" s="368"/>
      <c r="FZ36" s="368"/>
      <c r="GA36" s="368"/>
      <c r="GB36" s="368"/>
      <c r="GC36" s="368"/>
      <c r="GD36" s="368"/>
      <c r="GE36" s="368"/>
      <c r="GF36" s="368"/>
      <c r="GG36" s="368"/>
      <c r="GH36" s="368"/>
      <c r="GI36" s="368"/>
      <c r="GJ36" s="368"/>
      <c r="GK36" s="368"/>
      <c r="GL36" s="368"/>
      <c r="GM36" s="368"/>
      <c r="GN36" s="368"/>
      <c r="GO36" s="368"/>
      <c r="GP36" s="368"/>
      <c r="GQ36" s="368"/>
      <c r="GR36" s="368"/>
      <c r="GS36" s="368"/>
      <c r="GT36" s="368"/>
      <c r="GU36" s="368"/>
      <c r="GV36" s="368"/>
      <c r="GW36" s="368"/>
      <c r="GX36" s="368"/>
      <c r="GY36" s="368"/>
      <c r="GZ36" s="368"/>
      <c r="HA36" s="368"/>
      <c r="HB36" s="368"/>
      <c r="HC36" s="368"/>
      <c r="HD36" s="368"/>
      <c r="HE36" s="368"/>
      <c r="HF36" s="368"/>
      <c r="HG36" s="368"/>
      <c r="HH36" s="368"/>
      <c r="HI36" s="368"/>
      <c r="HJ36" s="368"/>
      <c r="HK36" s="368"/>
      <c r="HL36" s="368"/>
      <c r="HM36" s="368"/>
      <c r="HN36" s="368"/>
      <c r="HO36" s="368"/>
      <c r="HP36" s="368"/>
      <c r="HQ36" s="368"/>
      <c r="HR36" s="368"/>
      <c r="HS36" s="368"/>
      <c r="HT36" s="368"/>
      <c r="HU36" s="368"/>
      <c r="HV36" s="368"/>
      <c r="HW36" s="368"/>
      <c r="HX36" s="368"/>
      <c r="HY36" s="368"/>
      <c r="HZ36" s="368"/>
      <c r="IA36" s="368"/>
      <c r="IB36" s="368"/>
      <c r="IC36" s="368"/>
      <c r="ID36" s="368"/>
      <c r="IE36" s="368"/>
      <c r="IF36" s="368"/>
      <c r="IG36" s="368"/>
      <c r="IH36" s="368"/>
      <c r="II36" s="368"/>
      <c r="IJ36" s="368"/>
      <c r="IK36" s="368"/>
      <c r="IL36" s="368"/>
      <c r="IM36" s="368"/>
      <c r="IN36" s="368"/>
      <c r="IO36" s="368"/>
      <c r="IP36" s="368"/>
      <c r="IQ36" s="368"/>
      <c r="IR36" s="368"/>
      <c r="IS36" s="368"/>
      <c r="IT36" s="368"/>
      <c r="IU36" s="368"/>
    </row>
    <row r="37" spans="2:255" ht="20.149999999999999" customHeight="1" thickBot="1">
      <c r="B37" s="18" t="s">
        <v>52</v>
      </c>
      <c r="K37" s="17"/>
      <c r="L37" s="17"/>
      <c r="M37" s="17"/>
      <c r="S37" s="875"/>
      <c r="T37" s="876" t="s">
        <v>205</v>
      </c>
      <c r="U37" s="877" t="s">
        <v>221</v>
      </c>
      <c r="V37" s="878" t="s">
        <v>222</v>
      </c>
      <c r="W37" s="878" t="s">
        <v>223</v>
      </c>
      <c r="X37" s="57" t="s">
        <v>224</v>
      </c>
      <c r="Y37" s="58" t="s">
        <v>225</v>
      </c>
      <c r="AT37" s="368"/>
      <c r="AU37" s="368"/>
      <c r="AV37" s="368"/>
      <c r="AW37" s="368"/>
      <c r="AX37" s="368"/>
      <c r="AY37" s="368"/>
      <c r="AZ37" s="368"/>
      <c r="BA37" s="368"/>
      <c r="BB37" s="368"/>
      <c r="BC37" s="368"/>
      <c r="BD37" s="368"/>
      <c r="BE37" s="368"/>
      <c r="BF37" s="368"/>
      <c r="BG37" s="368"/>
      <c r="BH37" s="368"/>
      <c r="BI37" s="368"/>
      <c r="BJ37" s="368"/>
      <c r="BK37" s="368"/>
      <c r="BL37" s="368"/>
      <c r="BM37" s="368"/>
      <c r="BN37" s="368"/>
      <c r="BO37" s="368"/>
      <c r="BP37" s="368"/>
      <c r="BQ37" s="368"/>
      <c r="BR37" s="368"/>
      <c r="BS37" s="368"/>
      <c r="BT37" s="368"/>
      <c r="BU37" s="368"/>
      <c r="BV37" s="368"/>
      <c r="BW37" s="368"/>
      <c r="BX37" s="368"/>
      <c r="BY37" s="368"/>
      <c r="BZ37" s="368"/>
      <c r="CA37" s="368"/>
      <c r="CB37" s="368"/>
      <c r="CC37" s="368"/>
      <c r="CD37" s="368"/>
      <c r="CE37" s="368"/>
      <c r="CF37" s="368"/>
      <c r="CG37" s="368"/>
      <c r="CH37" s="368"/>
      <c r="CI37" s="368"/>
      <c r="CJ37" s="368"/>
      <c r="CK37" s="368"/>
      <c r="CL37" s="368"/>
      <c r="CM37" s="368"/>
      <c r="CN37" s="368"/>
      <c r="CO37" s="368"/>
      <c r="CP37" s="368"/>
      <c r="CQ37" s="368"/>
      <c r="CR37" s="368"/>
      <c r="CS37" s="368"/>
      <c r="CT37" s="368"/>
      <c r="CU37" s="368"/>
      <c r="CV37" s="368"/>
      <c r="CW37" s="368"/>
      <c r="CX37" s="368"/>
      <c r="CY37" s="368"/>
      <c r="CZ37" s="368"/>
      <c r="DA37" s="368"/>
      <c r="DB37" s="368"/>
      <c r="DC37" s="368"/>
      <c r="DD37" s="368"/>
      <c r="DE37" s="368"/>
      <c r="DF37" s="368"/>
      <c r="DG37" s="368"/>
      <c r="DH37" s="368"/>
      <c r="DI37" s="368"/>
      <c r="DJ37" s="368"/>
      <c r="DK37" s="368"/>
      <c r="DL37" s="368"/>
      <c r="DM37" s="368"/>
      <c r="DN37" s="368"/>
      <c r="DO37" s="368"/>
      <c r="DP37" s="368"/>
      <c r="DQ37" s="368"/>
      <c r="DR37" s="368"/>
      <c r="DS37" s="368"/>
      <c r="DT37" s="368"/>
      <c r="DU37" s="368"/>
      <c r="DV37" s="368"/>
      <c r="DW37" s="368"/>
      <c r="DX37" s="368"/>
      <c r="DY37" s="368"/>
      <c r="DZ37" s="368"/>
      <c r="EA37" s="368"/>
      <c r="EB37" s="368"/>
      <c r="EC37" s="368"/>
      <c r="ED37" s="368"/>
      <c r="EE37" s="368"/>
      <c r="EF37" s="368"/>
      <c r="EG37" s="368"/>
      <c r="EH37" s="368"/>
      <c r="EI37" s="368"/>
      <c r="EJ37" s="368"/>
      <c r="EK37" s="368"/>
      <c r="EL37" s="368"/>
      <c r="EM37" s="368"/>
      <c r="EN37" s="368"/>
      <c r="EO37" s="368"/>
      <c r="EP37" s="368"/>
      <c r="EQ37" s="368"/>
      <c r="ER37" s="368"/>
      <c r="ES37" s="368"/>
      <c r="ET37" s="368"/>
      <c r="EU37" s="368"/>
      <c r="EV37" s="368"/>
      <c r="EW37" s="368"/>
      <c r="EX37" s="368"/>
      <c r="EY37" s="368"/>
      <c r="EZ37" s="368"/>
      <c r="FA37" s="368"/>
      <c r="FB37" s="368"/>
      <c r="FC37" s="368"/>
      <c r="FD37" s="368"/>
      <c r="FE37" s="368"/>
      <c r="FF37" s="368"/>
      <c r="FG37" s="368"/>
      <c r="FH37" s="368"/>
      <c r="FI37" s="368"/>
      <c r="FJ37" s="368"/>
      <c r="FK37" s="368"/>
      <c r="FL37" s="368"/>
      <c r="FM37" s="368"/>
      <c r="FN37" s="368"/>
      <c r="FO37" s="368"/>
      <c r="FP37" s="368"/>
      <c r="FQ37" s="368"/>
      <c r="FR37" s="368"/>
      <c r="FS37" s="368"/>
      <c r="FT37" s="368"/>
      <c r="FU37" s="368"/>
      <c r="FV37" s="368"/>
      <c r="FW37" s="368"/>
      <c r="FX37" s="368"/>
      <c r="FY37" s="368"/>
      <c r="FZ37" s="368"/>
      <c r="GA37" s="368"/>
      <c r="GB37" s="368"/>
      <c r="GC37" s="368"/>
      <c r="GD37" s="368"/>
      <c r="GE37" s="368"/>
      <c r="GF37" s="368"/>
      <c r="GG37" s="368"/>
      <c r="GH37" s="368"/>
      <c r="GI37" s="368"/>
      <c r="GJ37" s="368"/>
      <c r="GK37" s="368"/>
      <c r="GL37" s="368"/>
      <c r="GM37" s="368"/>
      <c r="GN37" s="368"/>
      <c r="GO37" s="368"/>
      <c r="GP37" s="368"/>
      <c r="GQ37" s="368"/>
      <c r="GR37" s="368"/>
      <c r="GS37" s="368"/>
      <c r="GT37" s="368"/>
      <c r="GU37" s="368"/>
      <c r="GV37" s="368"/>
      <c r="GW37" s="368"/>
      <c r="GX37" s="368"/>
      <c r="GY37" s="368"/>
      <c r="GZ37" s="368"/>
      <c r="HA37" s="368"/>
      <c r="HB37" s="368"/>
      <c r="HC37" s="368"/>
      <c r="HD37" s="368"/>
      <c r="HE37" s="368"/>
      <c r="HF37" s="368"/>
      <c r="HG37" s="368"/>
      <c r="HH37" s="368"/>
      <c r="HI37" s="368"/>
      <c r="HJ37" s="368"/>
      <c r="HK37" s="368"/>
      <c r="HL37" s="368"/>
      <c r="HM37" s="368"/>
      <c r="HN37" s="368"/>
      <c r="HO37" s="368"/>
      <c r="HP37" s="368"/>
      <c r="HQ37" s="368"/>
      <c r="HR37" s="368"/>
      <c r="HS37" s="368"/>
      <c r="HT37" s="368"/>
      <c r="HU37" s="368"/>
      <c r="HV37" s="368"/>
      <c r="HW37" s="368"/>
      <c r="HX37" s="368"/>
      <c r="HY37" s="368"/>
      <c r="HZ37" s="368"/>
      <c r="IA37" s="368"/>
      <c r="IB37" s="368"/>
      <c r="IC37" s="368"/>
      <c r="ID37" s="368"/>
      <c r="IE37" s="368"/>
      <c r="IF37" s="368"/>
      <c r="IG37" s="368"/>
      <c r="IH37" s="368"/>
      <c r="II37" s="368"/>
      <c r="IJ37" s="368"/>
      <c r="IK37" s="368"/>
      <c r="IL37" s="368"/>
      <c r="IM37" s="368"/>
      <c r="IN37" s="368"/>
      <c r="IO37" s="368"/>
      <c r="IP37" s="368"/>
      <c r="IQ37" s="368"/>
      <c r="IR37" s="368"/>
      <c r="IS37" s="368"/>
      <c r="IT37" s="368"/>
      <c r="IU37" s="368"/>
    </row>
    <row r="38" spans="2:255" ht="36.75" customHeight="1">
      <c r="B38" s="873" t="s">
        <v>226</v>
      </c>
      <c r="C38" s="873" t="s">
        <v>54</v>
      </c>
      <c r="D38" s="1025" t="s">
        <v>55</v>
      </c>
      <c r="E38" s="1025"/>
      <c r="F38" s="1019" t="s">
        <v>56</v>
      </c>
      <c r="G38" s="1019"/>
      <c r="H38" s="29" t="s">
        <v>205</v>
      </c>
      <c r="I38" s="1025" t="s">
        <v>57</v>
      </c>
      <c r="J38" s="1025"/>
      <c r="K38" s="1025"/>
      <c r="L38" s="1056"/>
      <c r="M38" s="1057"/>
      <c r="N38" s="1057"/>
      <c r="O38" s="1057"/>
      <c r="P38" s="1057"/>
      <c r="Q38" s="879"/>
      <c r="R38" s="879"/>
      <c r="S38" s="875"/>
      <c r="T38" s="797">
        <v>1</v>
      </c>
      <c r="U38" s="880">
        <v>11.3</v>
      </c>
      <c r="V38" s="881">
        <v>15</v>
      </c>
      <c r="W38" s="882">
        <v>23</v>
      </c>
      <c r="X38" s="883">
        <v>45</v>
      </c>
      <c r="Y38" s="884">
        <v>120</v>
      </c>
      <c r="AT38" s="368"/>
      <c r="AU38" s="368"/>
      <c r="AV38" s="368"/>
      <c r="AW38" s="368"/>
      <c r="AX38" s="368"/>
      <c r="AY38" s="368"/>
      <c r="AZ38" s="368"/>
      <c r="BA38" s="368"/>
      <c r="BB38" s="368"/>
      <c r="BC38" s="368"/>
      <c r="BD38" s="368"/>
      <c r="BE38" s="368"/>
      <c r="BF38" s="368"/>
      <c r="BG38" s="368"/>
      <c r="BH38" s="368"/>
      <c r="BI38" s="368"/>
      <c r="BJ38" s="368"/>
      <c r="BK38" s="368"/>
      <c r="BL38" s="368"/>
      <c r="BM38" s="368"/>
      <c r="BN38" s="368"/>
      <c r="BO38" s="368"/>
      <c r="BP38" s="368"/>
      <c r="BQ38" s="368"/>
      <c r="BR38" s="368"/>
      <c r="BS38" s="368"/>
      <c r="BT38" s="368"/>
      <c r="BU38" s="368"/>
      <c r="BV38" s="368"/>
      <c r="BW38" s="368"/>
      <c r="BX38" s="368"/>
      <c r="BY38" s="368"/>
      <c r="BZ38" s="368"/>
      <c r="CA38" s="368"/>
      <c r="CB38" s="368"/>
      <c r="CC38" s="368"/>
      <c r="CD38" s="368"/>
      <c r="CE38" s="368"/>
      <c r="CF38" s="368"/>
      <c r="CG38" s="368"/>
      <c r="CH38" s="368"/>
      <c r="CI38" s="368"/>
      <c r="CJ38" s="368"/>
      <c r="CK38" s="368"/>
      <c r="CL38" s="368"/>
      <c r="CM38" s="368"/>
      <c r="CN38" s="368"/>
      <c r="CO38" s="368"/>
      <c r="CP38" s="368"/>
      <c r="CQ38" s="368"/>
      <c r="CR38" s="368"/>
      <c r="CS38" s="368"/>
      <c r="CT38" s="368"/>
      <c r="CU38" s="368"/>
      <c r="CV38" s="368"/>
      <c r="CW38" s="368"/>
      <c r="CX38" s="368"/>
      <c r="CY38" s="368"/>
      <c r="CZ38" s="368"/>
      <c r="DA38" s="368"/>
      <c r="DB38" s="368"/>
      <c r="DC38" s="368"/>
      <c r="DD38" s="368"/>
      <c r="DE38" s="368"/>
      <c r="DF38" s="368"/>
      <c r="DG38" s="368"/>
      <c r="DH38" s="368"/>
      <c r="DI38" s="368"/>
      <c r="DJ38" s="368"/>
      <c r="DK38" s="368"/>
      <c r="DL38" s="368"/>
      <c r="DM38" s="368"/>
      <c r="DN38" s="368"/>
      <c r="DO38" s="368"/>
      <c r="DP38" s="368"/>
      <c r="DQ38" s="368"/>
      <c r="DR38" s="368"/>
      <c r="DS38" s="368"/>
      <c r="DT38" s="368"/>
      <c r="DU38" s="368"/>
      <c r="DV38" s="368"/>
      <c r="DW38" s="368"/>
      <c r="DX38" s="368"/>
      <c r="DY38" s="368"/>
      <c r="DZ38" s="368"/>
      <c r="EA38" s="368"/>
      <c r="EB38" s="368"/>
      <c r="EC38" s="368"/>
      <c r="ED38" s="368"/>
      <c r="EE38" s="368"/>
      <c r="EF38" s="368"/>
      <c r="EG38" s="368"/>
      <c r="EH38" s="368"/>
      <c r="EI38" s="368"/>
      <c r="EJ38" s="368"/>
      <c r="EK38" s="368"/>
      <c r="EL38" s="368"/>
      <c r="EM38" s="368"/>
      <c r="EN38" s="368"/>
      <c r="EO38" s="368"/>
      <c r="EP38" s="368"/>
      <c r="EQ38" s="368"/>
      <c r="ER38" s="368"/>
      <c r="ES38" s="368"/>
      <c r="ET38" s="368"/>
      <c r="EU38" s="368"/>
      <c r="EV38" s="368"/>
      <c r="EW38" s="368"/>
      <c r="EX38" s="368"/>
      <c r="EY38" s="368"/>
      <c r="EZ38" s="368"/>
      <c r="FA38" s="368"/>
      <c r="FB38" s="368"/>
      <c r="FC38" s="368"/>
      <c r="FD38" s="368"/>
      <c r="FE38" s="368"/>
      <c r="FF38" s="368"/>
      <c r="FG38" s="368"/>
      <c r="FH38" s="368"/>
      <c r="FI38" s="368"/>
      <c r="FJ38" s="368"/>
      <c r="FK38" s="368"/>
      <c r="FL38" s="368"/>
      <c r="FM38" s="368"/>
      <c r="FN38" s="368"/>
      <c r="FO38" s="368"/>
      <c r="FP38" s="368"/>
      <c r="FQ38" s="368"/>
      <c r="FR38" s="368"/>
      <c r="FS38" s="368"/>
      <c r="FT38" s="368"/>
      <c r="FU38" s="368"/>
      <c r="FV38" s="368"/>
      <c r="FW38" s="368"/>
      <c r="FX38" s="368"/>
      <c r="FY38" s="368"/>
      <c r="FZ38" s="368"/>
      <c r="GA38" s="368"/>
      <c r="GB38" s="368"/>
      <c r="GC38" s="368"/>
      <c r="GD38" s="368"/>
      <c r="GE38" s="368"/>
      <c r="GF38" s="368"/>
      <c r="GG38" s="368"/>
      <c r="GH38" s="368"/>
      <c r="GI38" s="368"/>
      <c r="GJ38" s="368"/>
      <c r="GK38" s="368"/>
      <c r="GL38" s="368"/>
      <c r="GM38" s="368"/>
      <c r="GN38" s="368"/>
      <c r="GO38" s="368"/>
      <c r="GP38" s="368"/>
      <c r="GQ38" s="368"/>
      <c r="GR38" s="368"/>
      <c r="GS38" s="368"/>
      <c r="GT38" s="368"/>
      <c r="GU38" s="368"/>
      <c r="GV38" s="368"/>
      <c r="GW38" s="368"/>
      <c r="GX38" s="368"/>
      <c r="GY38" s="368"/>
      <c r="GZ38" s="368"/>
      <c r="HA38" s="368"/>
      <c r="HB38" s="368"/>
      <c r="HC38" s="368"/>
      <c r="HD38" s="368"/>
      <c r="HE38" s="368"/>
      <c r="HF38" s="368"/>
      <c r="HG38" s="368"/>
      <c r="HH38" s="368"/>
      <c r="HI38" s="368"/>
      <c r="HJ38" s="368"/>
      <c r="HK38" s="368"/>
      <c r="HL38" s="368"/>
      <c r="HM38" s="368"/>
      <c r="HN38" s="368"/>
      <c r="HO38" s="368"/>
      <c r="HP38" s="368"/>
      <c r="HQ38" s="368"/>
      <c r="HR38" s="368"/>
      <c r="HS38" s="368"/>
      <c r="HT38" s="368"/>
      <c r="HU38" s="368"/>
      <c r="HV38" s="368"/>
      <c r="HW38" s="368"/>
      <c r="HX38" s="368"/>
      <c r="HY38" s="368"/>
      <c r="HZ38" s="368"/>
      <c r="IA38" s="368"/>
      <c r="IB38" s="368"/>
      <c r="IC38" s="368"/>
      <c r="ID38" s="368"/>
      <c r="IE38" s="368"/>
      <c r="IF38" s="368"/>
      <c r="IG38" s="368"/>
      <c r="IH38" s="368"/>
      <c r="II38" s="368"/>
      <c r="IJ38" s="368"/>
      <c r="IK38" s="368"/>
      <c r="IL38" s="368"/>
      <c r="IM38" s="368"/>
      <c r="IN38" s="368"/>
      <c r="IO38" s="368"/>
      <c r="IP38" s="368"/>
      <c r="IQ38" s="368"/>
      <c r="IR38" s="368"/>
      <c r="IS38" s="368"/>
      <c r="IT38" s="368"/>
      <c r="IU38" s="368"/>
    </row>
    <row r="39" spans="2:255" ht="23.25" customHeight="1">
      <c r="B39" s="861">
        <v>1.5</v>
      </c>
      <c r="C39" s="29">
        <f>2*B39</f>
        <v>3</v>
      </c>
      <c r="D39" s="1036">
        <f>B72-D17</f>
        <v>12</v>
      </c>
      <c r="E39" s="1036"/>
      <c r="F39" s="1058">
        <f>(100*C39)/(100+D39)</f>
        <v>2.6785714285714284</v>
      </c>
      <c r="G39" s="1058"/>
      <c r="H39" s="29" t="str">
        <f>IF(F39&lt;=0.151,"14",IF(F39&lt;=0.125,"13",IF(F39&lt;=0.2135,"13",IF(F39&lt;=0.177,"12",IF(F39&lt;=0.302,"12",IF(F39&lt;=0.25,"11",IF(F39&lt;=0.427,"11",IF(F39&lt;=0.354,"10",IF(F39&lt;=0.6035,"10",IF(F39&lt;=0.5,"9",IF(F39&lt;=0.8535,"9",IF(F39&lt;=0.707,"8",IF(F39&lt;=1.205,"8",IF(F39&lt;=1,"7",IF(F39&lt;=1.705,"7",IF(F39&lt;=1.4,"6",IF(F39&lt;=2.41,"6",IF(F39&lt;=2,"5",IF(F39&lt;=3.415,"5",IF(F39&lt;=2.83,"4",IF(F39&lt;=4.83,"4",IF(F39&lt;=4,"3",IF(F39&lt;=6.83,"3",IF(F39&lt;=5.66,"2",IF(F39&lt;=9.65,"2",IF(F39&lt;=8,"1",IF(F39&lt;=11.3,"1","0")))))))))))))))))))))))))))</f>
        <v>5</v>
      </c>
      <c r="I39" s="1055">
        <f>ABS(3+(3*(H39^0.6)*(E36^0.2)))</f>
        <v>7.3755237130026572</v>
      </c>
      <c r="J39" s="1055"/>
      <c r="K39" s="1055"/>
      <c r="L39" s="15"/>
      <c r="M39" s="1022"/>
      <c r="N39" s="1022"/>
      <c r="O39" s="1059"/>
      <c r="P39" s="1059"/>
      <c r="Q39" s="1038"/>
      <c r="R39" s="1038"/>
      <c r="S39" s="875">
        <f>(U38+U39)/2</f>
        <v>9.65</v>
      </c>
      <c r="T39" s="798">
        <v>2</v>
      </c>
      <c r="U39" s="885">
        <v>8</v>
      </c>
      <c r="V39" s="801">
        <v>10</v>
      </c>
      <c r="W39" s="29">
        <v>16</v>
      </c>
      <c r="X39" s="802">
        <v>32</v>
      </c>
      <c r="Y39" s="886">
        <v>88</v>
      </c>
      <c r="AT39" s="368"/>
      <c r="AU39" s="368"/>
      <c r="AV39" s="368"/>
      <c r="AW39" s="368"/>
      <c r="AX39" s="368"/>
      <c r="AY39" s="368"/>
      <c r="AZ39" s="368"/>
      <c r="BA39" s="368"/>
      <c r="BB39" s="368"/>
      <c r="BC39" s="368"/>
      <c r="BD39" s="368"/>
      <c r="BE39" s="368"/>
      <c r="BF39" s="368"/>
      <c r="BG39" s="368"/>
      <c r="BH39" s="368"/>
      <c r="BI39" s="368"/>
      <c r="BJ39" s="368"/>
      <c r="BK39" s="368"/>
      <c r="BL39" s="368"/>
      <c r="BM39" s="368"/>
      <c r="BN39" s="368"/>
      <c r="BO39" s="368"/>
      <c r="BP39" s="368"/>
      <c r="BQ39" s="368"/>
      <c r="BR39" s="368"/>
      <c r="BS39" s="368"/>
      <c r="BT39" s="368"/>
      <c r="BU39" s="368"/>
      <c r="BV39" s="368"/>
      <c r="BW39" s="368"/>
      <c r="BX39" s="368"/>
      <c r="BY39" s="368"/>
      <c r="BZ39" s="368"/>
      <c r="CA39" s="368"/>
      <c r="CB39" s="368"/>
      <c r="CC39" s="368"/>
      <c r="CD39" s="368"/>
      <c r="CE39" s="368"/>
      <c r="CF39" s="368"/>
      <c r="CG39" s="368"/>
      <c r="CH39" s="368"/>
      <c r="CI39" s="368"/>
      <c r="CJ39" s="368"/>
      <c r="CK39" s="368"/>
      <c r="CL39" s="368"/>
      <c r="CM39" s="368"/>
      <c r="CN39" s="368"/>
      <c r="CO39" s="368"/>
      <c r="CP39" s="368"/>
      <c r="CQ39" s="368"/>
      <c r="CR39" s="368"/>
      <c r="CS39" s="368"/>
      <c r="CT39" s="368"/>
      <c r="CU39" s="368"/>
      <c r="CV39" s="368"/>
      <c r="CW39" s="368"/>
      <c r="CX39" s="368"/>
      <c r="CY39" s="368"/>
      <c r="CZ39" s="368"/>
      <c r="DA39" s="368"/>
      <c r="DB39" s="368"/>
      <c r="DC39" s="368"/>
      <c r="DD39" s="368"/>
      <c r="DE39" s="368"/>
      <c r="DF39" s="368"/>
      <c r="DG39" s="368"/>
      <c r="DH39" s="368"/>
      <c r="DI39" s="368"/>
      <c r="DJ39" s="368"/>
      <c r="DK39" s="368"/>
      <c r="DL39" s="368"/>
      <c r="DM39" s="368"/>
      <c r="DN39" s="368"/>
      <c r="DO39" s="368"/>
      <c r="DP39" s="368"/>
      <c r="DQ39" s="368"/>
      <c r="DR39" s="368"/>
      <c r="DS39" s="368"/>
      <c r="DT39" s="368"/>
      <c r="DU39" s="368"/>
      <c r="DV39" s="368"/>
      <c r="DW39" s="368"/>
      <c r="DX39" s="368"/>
      <c r="DY39" s="368"/>
      <c r="DZ39" s="368"/>
      <c r="EA39" s="368"/>
      <c r="EB39" s="368"/>
      <c r="EC39" s="368"/>
      <c r="ED39" s="368"/>
      <c r="EE39" s="368"/>
      <c r="EF39" s="368"/>
      <c r="EG39" s="368"/>
      <c r="EH39" s="368"/>
      <c r="EI39" s="368"/>
      <c r="EJ39" s="368"/>
      <c r="EK39" s="368"/>
      <c r="EL39" s="368"/>
      <c r="EM39" s="368"/>
      <c r="EN39" s="368"/>
      <c r="EO39" s="368"/>
      <c r="EP39" s="368"/>
      <c r="EQ39" s="368"/>
      <c r="ER39" s="368"/>
      <c r="ES39" s="368"/>
      <c r="ET39" s="368"/>
      <c r="EU39" s="368"/>
      <c r="EV39" s="368"/>
      <c r="EW39" s="368"/>
      <c r="EX39" s="368"/>
      <c r="EY39" s="368"/>
      <c r="EZ39" s="368"/>
      <c r="FA39" s="368"/>
      <c r="FB39" s="368"/>
      <c r="FC39" s="368"/>
      <c r="FD39" s="368"/>
      <c r="FE39" s="368"/>
      <c r="FF39" s="368"/>
      <c r="FG39" s="368"/>
      <c r="FH39" s="368"/>
      <c r="FI39" s="368"/>
      <c r="FJ39" s="368"/>
      <c r="FK39" s="368"/>
      <c r="FL39" s="368"/>
      <c r="FM39" s="368"/>
      <c r="FN39" s="368"/>
      <c r="FO39" s="368"/>
      <c r="FP39" s="368"/>
      <c r="FQ39" s="368"/>
      <c r="FR39" s="368"/>
      <c r="FS39" s="368"/>
      <c r="FT39" s="368"/>
      <c r="FU39" s="368"/>
      <c r="FV39" s="368"/>
      <c r="FW39" s="368"/>
      <c r="FX39" s="368"/>
      <c r="FY39" s="368"/>
      <c r="FZ39" s="368"/>
      <c r="GA39" s="368"/>
      <c r="GB39" s="368"/>
      <c r="GC39" s="368"/>
      <c r="GD39" s="368"/>
      <c r="GE39" s="368"/>
      <c r="GF39" s="368"/>
      <c r="GG39" s="368"/>
      <c r="GH39" s="368"/>
      <c r="GI39" s="368"/>
      <c r="GJ39" s="368"/>
      <c r="GK39" s="368"/>
      <c r="GL39" s="368"/>
      <c r="GM39" s="368"/>
      <c r="GN39" s="368"/>
      <c r="GO39" s="368"/>
      <c r="GP39" s="368"/>
      <c r="GQ39" s="368"/>
      <c r="GR39" s="368"/>
      <c r="GS39" s="368"/>
      <c r="GT39" s="368"/>
      <c r="GU39" s="368"/>
      <c r="GV39" s="368"/>
      <c r="GW39" s="368"/>
      <c r="GX39" s="368"/>
      <c r="GY39" s="368"/>
      <c r="GZ39" s="368"/>
      <c r="HA39" s="368"/>
      <c r="HB39" s="368"/>
      <c r="HC39" s="368"/>
      <c r="HD39" s="368"/>
      <c r="HE39" s="368"/>
      <c r="HF39" s="368"/>
      <c r="HG39" s="368"/>
      <c r="HH39" s="368"/>
      <c r="HI39" s="368"/>
      <c r="HJ39" s="368"/>
      <c r="HK39" s="368"/>
      <c r="HL39" s="368"/>
      <c r="HM39" s="368"/>
      <c r="HN39" s="368"/>
      <c r="HO39" s="368"/>
      <c r="HP39" s="368"/>
      <c r="HQ39" s="368"/>
      <c r="HR39" s="368"/>
      <c r="HS39" s="368"/>
      <c r="HT39" s="368"/>
      <c r="HU39" s="368"/>
      <c r="HV39" s="368"/>
      <c r="HW39" s="368"/>
      <c r="HX39" s="368"/>
      <c r="HY39" s="368"/>
      <c r="HZ39" s="368"/>
      <c r="IA39" s="368"/>
      <c r="IB39" s="368"/>
      <c r="IC39" s="368"/>
      <c r="ID39" s="368"/>
      <c r="IE39" s="368"/>
      <c r="IF39" s="368"/>
      <c r="IG39" s="368"/>
      <c r="IH39" s="368"/>
      <c r="II39" s="368"/>
      <c r="IJ39" s="368"/>
      <c r="IK39" s="368"/>
      <c r="IL39" s="368"/>
      <c r="IM39" s="368"/>
      <c r="IN39" s="368"/>
      <c r="IO39" s="368"/>
      <c r="IP39" s="368"/>
      <c r="IQ39" s="368"/>
      <c r="IR39" s="368"/>
      <c r="IS39" s="368"/>
      <c r="IT39" s="368"/>
      <c r="IU39" s="368"/>
    </row>
    <row r="40" spans="2:255" ht="20.149999999999999" customHeight="1">
      <c r="B40" s="15">
        <v>1.5</v>
      </c>
      <c r="C40" s="15">
        <f>2*1.5</f>
        <v>3</v>
      </c>
      <c r="D40" s="1022">
        <f>37-25</f>
        <v>12</v>
      </c>
      <c r="E40" s="1022"/>
      <c r="F40" s="1064">
        <f>(100*3)/(100+12)</f>
        <v>2.6785714285714284</v>
      </c>
      <c r="G40" s="1064"/>
      <c r="H40" s="15">
        <v>5</v>
      </c>
      <c r="I40" s="1065">
        <f>3+3*5^0.6*0.05^0.2</f>
        <v>7.3280997177216403</v>
      </c>
      <c r="J40" s="1065"/>
      <c r="K40" s="1065"/>
      <c r="S40" s="875">
        <f t="shared" ref="S40:S51" si="0">(U39+U40)/2</f>
        <v>6.83</v>
      </c>
      <c r="T40" s="798">
        <v>3</v>
      </c>
      <c r="U40" s="796">
        <v>5.66</v>
      </c>
      <c r="V40" s="29">
        <v>7.4</v>
      </c>
      <c r="W40" s="29">
        <v>11</v>
      </c>
      <c r="X40" s="802">
        <v>23</v>
      </c>
      <c r="Y40" s="886">
        <v>62</v>
      </c>
      <c r="AT40" s="368"/>
      <c r="AU40" s="368"/>
      <c r="AV40" s="368"/>
      <c r="AW40" s="368"/>
      <c r="AX40" s="368"/>
      <c r="AY40" s="368"/>
      <c r="AZ40" s="368"/>
      <c r="BA40" s="368"/>
      <c r="BB40" s="368"/>
      <c r="BC40" s="368"/>
      <c r="BD40" s="368"/>
      <c r="BE40" s="368"/>
      <c r="BF40" s="368"/>
      <c r="BG40" s="368"/>
      <c r="BH40" s="368"/>
      <c r="BI40" s="368"/>
      <c r="BJ40" s="368"/>
      <c r="BK40" s="368"/>
      <c r="BL40" s="368"/>
      <c r="BM40" s="368"/>
      <c r="BN40" s="368"/>
      <c r="BO40" s="368"/>
      <c r="BP40" s="368"/>
      <c r="BQ40" s="368"/>
      <c r="BR40" s="368"/>
      <c r="BS40" s="368"/>
      <c r="BT40" s="368"/>
      <c r="BU40" s="368"/>
      <c r="BV40" s="368"/>
      <c r="BW40" s="368"/>
      <c r="BX40" s="368"/>
      <c r="BY40" s="368"/>
      <c r="BZ40" s="368"/>
      <c r="CA40" s="368"/>
      <c r="CB40" s="368"/>
      <c r="CC40" s="368"/>
      <c r="CD40" s="368"/>
      <c r="CE40" s="368"/>
      <c r="CF40" s="368"/>
      <c r="CG40" s="368"/>
      <c r="CH40" s="368"/>
      <c r="CI40" s="368"/>
      <c r="CJ40" s="368"/>
      <c r="CK40" s="368"/>
      <c r="CL40" s="368"/>
      <c r="CM40" s="368"/>
      <c r="CN40" s="368"/>
      <c r="CO40" s="368"/>
      <c r="CP40" s="368"/>
      <c r="CQ40" s="368"/>
      <c r="CR40" s="368"/>
      <c r="CS40" s="368"/>
      <c r="CT40" s="368"/>
      <c r="CU40" s="368"/>
      <c r="CV40" s="368"/>
      <c r="CW40" s="368"/>
      <c r="CX40" s="368"/>
      <c r="CY40" s="368"/>
      <c r="CZ40" s="368"/>
      <c r="DA40" s="368"/>
      <c r="DB40" s="368"/>
      <c r="DC40" s="368"/>
      <c r="DD40" s="368"/>
      <c r="DE40" s="368"/>
      <c r="DF40" s="368"/>
      <c r="DG40" s="368"/>
      <c r="DH40" s="368"/>
      <c r="DI40" s="368"/>
      <c r="DJ40" s="368"/>
      <c r="DK40" s="368"/>
      <c r="DL40" s="368"/>
      <c r="DM40" s="368"/>
      <c r="DN40" s="368"/>
      <c r="DO40" s="368"/>
      <c r="DP40" s="368"/>
      <c r="DQ40" s="368"/>
      <c r="DR40" s="368"/>
      <c r="DS40" s="368"/>
      <c r="DT40" s="368"/>
      <c r="DU40" s="368"/>
      <c r="DV40" s="368"/>
      <c r="DW40" s="368"/>
      <c r="DX40" s="368"/>
      <c r="DY40" s="368"/>
      <c r="DZ40" s="368"/>
      <c r="EA40" s="368"/>
      <c r="EB40" s="368"/>
      <c r="EC40" s="368"/>
      <c r="ED40" s="368"/>
      <c r="EE40" s="368"/>
      <c r="EF40" s="368"/>
      <c r="EG40" s="368"/>
      <c r="EH40" s="368"/>
      <c r="EI40" s="368"/>
      <c r="EJ40" s="368"/>
      <c r="EK40" s="368"/>
      <c r="EL40" s="368"/>
      <c r="EM40" s="368"/>
      <c r="EN40" s="368"/>
      <c r="EO40" s="368"/>
      <c r="EP40" s="368"/>
      <c r="EQ40" s="368"/>
      <c r="ER40" s="368"/>
      <c r="ES40" s="368"/>
      <c r="ET40" s="368"/>
      <c r="EU40" s="368"/>
      <c r="EV40" s="368"/>
      <c r="EW40" s="368"/>
      <c r="EX40" s="368"/>
      <c r="EY40" s="368"/>
      <c r="EZ40" s="368"/>
      <c r="FA40" s="368"/>
      <c r="FB40" s="368"/>
      <c r="FC40" s="368"/>
      <c r="FD40" s="368"/>
      <c r="FE40" s="368"/>
      <c r="FF40" s="368"/>
      <c r="FG40" s="368"/>
      <c r="FH40" s="368"/>
      <c r="FI40" s="368"/>
      <c r="FJ40" s="368"/>
      <c r="FK40" s="368"/>
      <c r="FL40" s="368"/>
      <c r="FM40" s="368"/>
      <c r="FN40" s="368"/>
      <c r="FO40" s="368"/>
      <c r="FP40" s="368"/>
      <c r="FQ40" s="368"/>
      <c r="FR40" s="368"/>
      <c r="FS40" s="368"/>
      <c r="FT40" s="368"/>
      <c r="FU40" s="368"/>
      <c r="FV40" s="368"/>
      <c r="FW40" s="368"/>
      <c r="FX40" s="368"/>
      <c r="FY40" s="368"/>
      <c r="FZ40" s="368"/>
      <c r="GA40" s="368"/>
      <c r="GB40" s="368"/>
      <c r="GC40" s="368"/>
      <c r="GD40" s="368"/>
      <c r="GE40" s="368"/>
      <c r="GF40" s="368"/>
      <c r="GG40" s="368"/>
      <c r="GH40" s="368"/>
      <c r="GI40" s="368"/>
      <c r="GJ40" s="368"/>
      <c r="GK40" s="368"/>
      <c r="GL40" s="368"/>
      <c r="GM40" s="368"/>
      <c r="GN40" s="368"/>
      <c r="GO40" s="368"/>
      <c r="GP40" s="368"/>
      <c r="GQ40" s="368"/>
      <c r="GR40" s="368"/>
      <c r="GS40" s="368"/>
      <c r="GT40" s="368"/>
      <c r="GU40" s="368"/>
      <c r="GV40" s="368"/>
      <c r="GW40" s="368"/>
      <c r="GX40" s="368"/>
      <c r="GY40" s="368"/>
      <c r="GZ40" s="368"/>
      <c r="HA40" s="368"/>
      <c r="HB40" s="368"/>
      <c r="HC40" s="368"/>
      <c r="HD40" s="368"/>
      <c r="HE40" s="368"/>
      <c r="HF40" s="368"/>
      <c r="HG40" s="368"/>
      <c r="HH40" s="368"/>
      <c r="HI40" s="368"/>
      <c r="HJ40" s="368"/>
      <c r="HK40" s="368"/>
      <c r="HL40" s="368"/>
      <c r="HM40" s="368"/>
      <c r="HN40" s="368"/>
      <c r="HO40" s="368"/>
      <c r="HP40" s="368"/>
      <c r="HQ40" s="368"/>
      <c r="HR40" s="368"/>
      <c r="HS40" s="368"/>
      <c r="HT40" s="368"/>
      <c r="HU40" s="368"/>
      <c r="HV40" s="368"/>
      <c r="HW40" s="368"/>
      <c r="HX40" s="368"/>
      <c r="HY40" s="368"/>
      <c r="HZ40" s="368"/>
      <c r="IA40" s="368"/>
      <c r="IB40" s="368"/>
      <c r="IC40" s="368"/>
      <c r="ID40" s="368"/>
      <c r="IE40" s="368"/>
      <c r="IF40" s="368"/>
      <c r="IG40" s="368"/>
      <c r="IH40" s="368"/>
      <c r="II40" s="368"/>
      <c r="IJ40" s="368"/>
      <c r="IK40" s="368"/>
      <c r="IL40" s="368"/>
      <c r="IM40" s="368"/>
      <c r="IN40" s="368"/>
      <c r="IO40" s="368"/>
      <c r="IP40" s="368"/>
      <c r="IQ40" s="368"/>
      <c r="IR40" s="368"/>
      <c r="IS40" s="368"/>
      <c r="IT40" s="368"/>
      <c r="IU40" s="368"/>
    </row>
    <row r="41" spans="2:255" ht="20.149999999999999" customHeight="1">
      <c r="B41" s="18" t="s">
        <v>58</v>
      </c>
      <c r="K41" s="38"/>
      <c r="L41" s="38"/>
      <c r="S41" s="875">
        <f t="shared" si="0"/>
        <v>4.83</v>
      </c>
      <c r="T41" s="798">
        <v>4</v>
      </c>
      <c r="U41" s="796">
        <v>4</v>
      </c>
      <c r="V41" s="29">
        <v>5.2</v>
      </c>
      <c r="W41" s="29">
        <v>8</v>
      </c>
      <c r="X41" s="802">
        <v>16</v>
      </c>
      <c r="Y41" s="886">
        <v>44</v>
      </c>
      <c r="AT41" s="368"/>
      <c r="AU41" s="368"/>
      <c r="AV41" s="368"/>
      <c r="AW41" s="368"/>
      <c r="AX41" s="368"/>
      <c r="AY41" s="368"/>
      <c r="AZ41" s="368"/>
      <c r="BA41" s="368"/>
      <c r="BB41" s="368"/>
      <c r="BC41" s="368"/>
      <c r="BD41" s="368"/>
      <c r="BE41" s="368"/>
      <c r="BF41" s="368"/>
      <c r="BG41" s="368"/>
      <c r="BH41" s="368"/>
      <c r="BI41" s="368"/>
      <c r="BJ41" s="368"/>
      <c r="BK41" s="368"/>
      <c r="BL41" s="368"/>
      <c r="BM41" s="368"/>
      <c r="BN41" s="368"/>
      <c r="BO41" s="368"/>
      <c r="BP41" s="368"/>
      <c r="BQ41" s="368"/>
      <c r="BR41" s="368"/>
      <c r="BS41" s="368"/>
      <c r="BT41" s="368"/>
      <c r="BU41" s="368"/>
      <c r="BV41" s="368"/>
      <c r="BW41" s="368"/>
      <c r="BX41" s="368"/>
      <c r="BY41" s="368"/>
      <c r="BZ41" s="368"/>
      <c r="CA41" s="368"/>
      <c r="CB41" s="368"/>
      <c r="CC41" s="368"/>
      <c r="CD41" s="368"/>
      <c r="CE41" s="368"/>
      <c r="CF41" s="368"/>
      <c r="CG41" s="368"/>
      <c r="CH41" s="368"/>
      <c r="CI41" s="368"/>
      <c r="CJ41" s="368"/>
      <c r="CK41" s="368"/>
      <c r="CL41" s="368"/>
      <c r="CM41" s="368"/>
      <c r="CN41" s="368"/>
      <c r="CO41" s="368"/>
      <c r="CP41" s="368"/>
      <c r="CQ41" s="368"/>
      <c r="CR41" s="368"/>
      <c r="CS41" s="368"/>
      <c r="CT41" s="368"/>
      <c r="CU41" s="368"/>
      <c r="CV41" s="368"/>
      <c r="CW41" s="368"/>
      <c r="CX41" s="368"/>
      <c r="CY41" s="368"/>
      <c r="CZ41" s="368"/>
      <c r="DA41" s="368"/>
      <c r="DB41" s="368"/>
      <c r="DC41" s="368"/>
      <c r="DD41" s="368"/>
      <c r="DE41" s="368"/>
      <c r="DF41" s="368"/>
      <c r="DG41" s="368"/>
      <c r="DH41" s="368"/>
      <c r="DI41" s="368"/>
      <c r="DJ41" s="368"/>
      <c r="DK41" s="368"/>
      <c r="DL41" s="368"/>
      <c r="DM41" s="368"/>
      <c r="DN41" s="368"/>
      <c r="DO41" s="368"/>
      <c r="DP41" s="368"/>
      <c r="DQ41" s="368"/>
      <c r="DR41" s="368"/>
      <c r="DS41" s="368"/>
      <c r="DT41" s="368"/>
      <c r="DU41" s="368"/>
      <c r="DV41" s="368"/>
      <c r="DW41" s="368"/>
      <c r="DX41" s="368"/>
      <c r="DY41" s="368"/>
      <c r="DZ41" s="368"/>
      <c r="EA41" s="368"/>
      <c r="EB41" s="368"/>
      <c r="EC41" s="368"/>
      <c r="ED41" s="368"/>
      <c r="EE41" s="368"/>
      <c r="EF41" s="368"/>
      <c r="EG41" s="368"/>
      <c r="EH41" s="368"/>
      <c r="EI41" s="368"/>
      <c r="EJ41" s="368"/>
      <c r="EK41" s="368"/>
      <c r="EL41" s="368"/>
      <c r="EM41" s="368"/>
      <c r="EN41" s="368"/>
      <c r="EO41" s="368"/>
      <c r="EP41" s="368"/>
      <c r="EQ41" s="368"/>
      <c r="ER41" s="368"/>
      <c r="ES41" s="368"/>
      <c r="ET41" s="368"/>
      <c r="EU41" s="368"/>
      <c r="EV41" s="368"/>
      <c r="EW41" s="368"/>
      <c r="EX41" s="368"/>
      <c r="EY41" s="368"/>
      <c r="EZ41" s="368"/>
      <c r="FA41" s="368"/>
      <c r="FB41" s="368"/>
      <c r="FC41" s="368"/>
      <c r="FD41" s="368"/>
      <c r="FE41" s="368"/>
      <c r="FF41" s="368"/>
      <c r="FG41" s="368"/>
      <c r="FH41" s="368"/>
      <c r="FI41" s="368"/>
      <c r="FJ41" s="368"/>
      <c r="FK41" s="368"/>
      <c r="FL41" s="368"/>
      <c r="FM41" s="368"/>
      <c r="FN41" s="368"/>
      <c r="FO41" s="368"/>
      <c r="FP41" s="368"/>
      <c r="FQ41" s="368"/>
      <c r="FR41" s="368"/>
      <c r="FS41" s="368"/>
      <c r="FT41" s="368"/>
      <c r="FU41" s="368"/>
      <c r="FV41" s="368"/>
      <c r="FW41" s="368"/>
      <c r="FX41" s="368"/>
      <c r="FY41" s="368"/>
      <c r="FZ41" s="368"/>
      <c r="GA41" s="368"/>
      <c r="GB41" s="368"/>
      <c r="GC41" s="368"/>
      <c r="GD41" s="368"/>
      <c r="GE41" s="368"/>
      <c r="GF41" s="368"/>
      <c r="GG41" s="368"/>
      <c r="GH41" s="368"/>
      <c r="GI41" s="368"/>
      <c r="GJ41" s="368"/>
      <c r="GK41" s="368"/>
      <c r="GL41" s="368"/>
      <c r="GM41" s="368"/>
      <c r="GN41" s="368"/>
      <c r="GO41" s="368"/>
      <c r="GP41" s="368"/>
      <c r="GQ41" s="368"/>
      <c r="GR41" s="368"/>
      <c r="GS41" s="368"/>
      <c r="GT41" s="368"/>
      <c r="GU41" s="368"/>
      <c r="GV41" s="368"/>
      <c r="GW41" s="368"/>
      <c r="GX41" s="368"/>
      <c r="GY41" s="368"/>
      <c r="GZ41" s="368"/>
      <c r="HA41" s="368"/>
      <c r="HB41" s="368"/>
      <c r="HC41" s="368"/>
      <c r="HD41" s="368"/>
      <c r="HE41" s="368"/>
      <c r="HF41" s="368"/>
      <c r="HG41" s="368"/>
      <c r="HH41" s="368"/>
      <c r="HI41" s="368"/>
      <c r="HJ41" s="368"/>
      <c r="HK41" s="368"/>
      <c r="HL41" s="368"/>
      <c r="HM41" s="368"/>
      <c r="HN41" s="368"/>
      <c r="HO41" s="368"/>
      <c r="HP41" s="368"/>
      <c r="HQ41" s="368"/>
      <c r="HR41" s="368"/>
      <c r="HS41" s="368"/>
      <c r="HT41" s="368"/>
      <c r="HU41" s="368"/>
      <c r="HV41" s="368"/>
      <c r="HW41" s="368"/>
      <c r="HX41" s="368"/>
      <c r="HY41" s="368"/>
      <c r="HZ41" s="368"/>
      <c r="IA41" s="368"/>
      <c r="IB41" s="368"/>
      <c r="IC41" s="368"/>
      <c r="ID41" s="368"/>
      <c r="IE41" s="368"/>
      <c r="IF41" s="368"/>
      <c r="IG41" s="368"/>
      <c r="IH41" s="368"/>
      <c r="II41" s="368"/>
      <c r="IJ41" s="368"/>
      <c r="IK41" s="368"/>
      <c r="IL41" s="368"/>
      <c r="IM41" s="368"/>
      <c r="IN41" s="368"/>
      <c r="IO41" s="368"/>
      <c r="IP41" s="368"/>
      <c r="IQ41" s="368"/>
      <c r="IR41" s="368"/>
      <c r="IS41" s="368"/>
      <c r="IT41" s="368"/>
      <c r="IU41" s="368"/>
    </row>
    <row r="42" spans="2:255" ht="20.149999999999999" customHeight="1">
      <c r="K42" s="38"/>
      <c r="L42" s="38"/>
      <c r="M42" s="17"/>
      <c r="S42" s="875">
        <f t="shared" si="0"/>
        <v>3.415</v>
      </c>
      <c r="T42" s="798">
        <v>5</v>
      </c>
      <c r="U42" s="796">
        <v>2.83</v>
      </c>
      <c r="V42" s="29">
        <v>3.7</v>
      </c>
      <c r="W42" s="29">
        <v>5.7</v>
      </c>
      <c r="X42" s="802">
        <v>11</v>
      </c>
      <c r="Y42" s="886">
        <v>31</v>
      </c>
      <c r="AT42" s="368"/>
      <c r="AU42" s="368"/>
      <c r="AV42" s="368"/>
      <c r="AW42" s="368"/>
      <c r="AX42" s="368"/>
      <c r="AY42" s="368"/>
      <c r="AZ42" s="368"/>
      <c r="BA42" s="368"/>
      <c r="BB42" s="368"/>
      <c r="BC42" s="368"/>
      <c r="BD42" s="368"/>
      <c r="BE42" s="368"/>
      <c r="BF42" s="368"/>
      <c r="BG42" s="368"/>
      <c r="BH42" s="368"/>
      <c r="BI42" s="368"/>
      <c r="BJ42" s="368"/>
      <c r="BK42" s="368"/>
      <c r="BL42" s="368"/>
      <c r="BM42" s="368"/>
      <c r="BN42" s="368"/>
      <c r="BO42" s="368"/>
      <c r="BP42" s="368"/>
      <c r="BQ42" s="368"/>
      <c r="BR42" s="368"/>
      <c r="BS42" s="368"/>
      <c r="BT42" s="368"/>
      <c r="BU42" s="368"/>
      <c r="BV42" s="368"/>
      <c r="BW42" s="368"/>
      <c r="BX42" s="368"/>
      <c r="BY42" s="368"/>
      <c r="BZ42" s="368"/>
      <c r="CA42" s="368"/>
      <c r="CB42" s="368"/>
      <c r="CC42" s="368"/>
      <c r="CD42" s="368"/>
      <c r="CE42" s="368"/>
      <c r="CF42" s="368"/>
      <c r="CG42" s="368"/>
      <c r="CH42" s="368"/>
      <c r="CI42" s="368"/>
      <c r="CJ42" s="368"/>
      <c r="CK42" s="368"/>
      <c r="CL42" s="368"/>
      <c r="CM42" s="368"/>
      <c r="CN42" s="368"/>
      <c r="CO42" s="368"/>
      <c r="CP42" s="368"/>
      <c r="CQ42" s="368"/>
      <c r="CR42" s="368"/>
      <c r="CS42" s="368"/>
      <c r="CT42" s="368"/>
      <c r="CU42" s="368"/>
      <c r="CV42" s="368"/>
      <c r="CW42" s="368"/>
      <c r="CX42" s="368"/>
      <c r="CY42" s="368"/>
      <c r="CZ42" s="368"/>
      <c r="DA42" s="368"/>
      <c r="DB42" s="368"/>
      <c r="DC42" s="368"/>
      <c r="DD42" s="368"/>
      <c r="DE42" s="368"/>
      <c r="DF42" s="368"/>
      <c r="DG42" s="368"/>
      <c r="DH42" s="368"/>
      <c r="DI42" s="368"/>
      <c r="DJ42" s="368"/>
      <c r="DK42" s="368"/>
      <c r="DL42" s="368"/>
      <c r="DM42" s="368"/>
      <c r="DN42" s="368"/>
      <c r="DO42" s="368"/>
      <c r="DP42" s="368"/>
      <c r="DQ42" s="368"/>
      <c r="DR42" s="368"/>
      <c r="DS42" s="368"/>
      <c r="DT42" s="368"/>
      <c r="DU42" s="368"/>
      <c r="DV42" s="368"/>
      <c r="DW42" s="368"/>
      <c r="DX42" s="368"/>
      <c r="DY42" s="368"/>
      <c r="DZ42" s="368"/>
      <c r="EA42" s="368"/>
      <c r="EB42" s="368"/>
      <c r="EC42" s="368"/>
      <c r="ED42" s="368"/>
      <c r="EE42" s="368"/>
      <c r="EF42" s="368"/>
      <c r="EG42" s="368"/>
      <c r="EH42" s="368"/>
      <c r="EI42" s="368"/>
      <c r="EJ42" s="368"/>
      <c r="EK42" s="368"/>
      <c r="EL42" s="368"/>
      <c r="EM42" s="368"/>
      <c r="EN42" s="368"/>
      <c r="EO42" s="368"/>
      <c r="EP42" s="368"/>
      <c r="EQ42" s="368"/>
      <c r="ER42" s="368"/>
      <c r="ES42" s="368"/>
      <c r="ET42" s="368"/>
      <c r="EU42" s="368"/>
      <c r="EV42" s="368"/>
      <c r="EW42" s="368"/>
      <c r="EX42" s="368"/>
      <c r="EY42" s="368"/>
      <c r="EZ42" s="368"/>
      <c r="FA42" s="368"/>
      <c r="FB42" s="368"/>
      <c r="FC42" s="368"/>
      <c r="FD42" s="368"/>
      <c r="FE42" s="368"/>
      <c r="FF42" s="368"/>
      <c r="FG42" s="368"/>
      <c r="FH42" s="368"/>
      <c r="FI42" s="368"/>
      <c r="FJ42" s="368"/>
      <c r="FK42" s="368"/>
      <c r="FL42" s="368"/>
      <c r="FM42" s="368"/>
      <c r="FN42" s="368"/>
      <c r="FO42" s="368"/>
      <c r="FP42" s="368"/>
      <c r="FQ42" s="368"/>
      <c r="FR42" s="368"/>
      <c r="FS42" s="368"/>
      <c r="FT42" s="368"/>
      <c r="FU42" s="368"/>
      <c r="FV42" s="368"/>
      <c r="FW42" s="368"/>
      <c r="FX42" s="368"/>
      <c r="FY42" s="368"/>
      <c r="FZ42" s="368"/>
      <c r="GA42" s="368"/>
      <c r="GB42" s="368"/>
      <c r="GC42" s="368"/>
      <c r="GD42" s="368"/>
      <c r="GE42" s="368"/>
      <c r="GF42" s="368"/>
      <c r="GG42" s="368"/>
      <c r="GH42" s="368"/>
      <c r="GI42" s="368"/>
      <c r="GJ42" s="368"/>
      <c r="GK42" s="368"/>
      <c r="GL42" s="368"/>
      <c r="GM42" s="368"/>
      <c r="GN42" s="368"/>
      <c r="GO42" s="368"/>
      <c r="GP42" s="368"/>
      <c r="GQ42" s="368"/>
      <c r="GR42" s="368"/>
      <c r="GS42" s="368"/>
      <c r="GT42" s="368"/>
      <c r="GU42" s="368"/>
      <c r="GV42" s="368"/>
      <c r="GW42" s="368"/>
      <c r="GX42" s="368"/>
      <c r="GY42" s="368"/>
      <c r="GZ42" s="368"/>
      <c r="HA42" s="368"/>
      <c r="HB42" s="368"/>
      <c r="HC42" s="368"/>
      <c r="HD42" s="368"/>
      <c r="HE42" s="368"/>
      <c r="HF42" s="368"/>
      <c r="HG42" s="368"/>
      <c r="HH42" s="368"/>
      <c r="HI42" s="368"/>
      <c r="HJ42" s="368"/>
      <c r="HK42" s="368"/>
      <c r="HL42" s="368"/>
      <c r="HM42" s="368"/>
      <c r="HN42" s="368"/>
      <c r="HO42" s="368"/>
      <c r="HP42" s="368"/>
      <c r="HQ42" s="368"/>
      <c r="HR42" s="368"/>
      <c r="HS42" s="368"/>
      <c r="HT42" s="368"/>
      <c r="HU42" s="368"/>
      <c r="HV42" s="368"/>
      <c r="HW42" s="368"/>
      <c r="HX42" s="368"/>
      <c r="HY42" s="368"/>
      <c r="HZ42" s="368"/>
      <c r="IA42" s="368"/>
      <c r="IB42" s="368"/>
      <c r="IC42" s="368"/>
      <c r="ID42" s="368"/>
      <c r="IE42" s="368"/>
      <c r="IF42" s="368"/>
      <c r="IG42" s="368"/>
      <c r="IH42" s="368"/>
      <c r="II42" s="368"/>
      <c r="IJ42" s="368"/>
      <c r="IK42" s="368"/>
      <c r="IL42" s="368"/>
      <c r="IM42" s="368"/>
      <c r="IN42" s="368"/>
      <c r="IO42" s="368"/>
      <c r="IP42" s="368"/>
      <c r="IQ42" s="368"/>
      <c r="IR42" s="368"/>
      <c r="IS42" s="368"/>
      <c r="IT42" s="368"/>
      <c r="IU42" s="368"/>
    </row>
    <row r="43" spans="2:255" ht="20.149999999999999" customHeight="1">
      <c r="K43" s="38"/>
      <c r="L43" s="38"/>
      <c r="M43" s="17"/>
      <c r="S43" s="875">
        <f t="shared" si="0"/>
        <v>2.415</v>
      </c>
      <c r="T43" s="798">
        <v>6</v>
      </c>
      <c r="U43" s="796">
        <v>2</v>
      </c>
      <c r="V43" s="29">
        <v>2.6</v>
      </c>
      <c r="W43" s="29">
        <v>4</v>
      </c>
      <c r="X43" s="801">
        <v>8</v>
      </c>
      <c r="Y43" s="886">
        <v>22</v>
      </c>
      <c r="AT43" s="368"/>
      <c r="AU43" s="368"/>
      <c r="AV43" s="368"/>
      <c r="AW43" s="368"/>
      <c r="AX43" s="368"/>
      <c r="AY43" s="368"/>
      <c r="AZ43" s="368"/>
      <c r="BA43" s="368"/>
      <c r="BB43" s="368"/>
      <c r="BC43" s="368"/>
      <c r="BD43" s="368"/>
      <c r="BE43" s="368"/>
      <c r="BF43" s="368"/>
      <c r="BG43" s="368"/>
      <c r="BH43" s="368"/>
      <c r="BI43" s="368"/>
      <c r="BJ43" s="368"/>
      <c r="BK43" s="368"/>
      <c r="BL43" s="368"/>
      <c r="BM43" s="368"/>
      <c r="BN43" s="368"/>
      <c r="BO43" s="368"/>
      <c r="BP43" s="368"/>
      <c r="BQ43" s="368"/>
      <c r="BR43" s="368"/>
      <c r="BS43" s="368"/>
      <c r="BT43" s="368"/>
      <c r="BU43" s="368"/>
      <c r="BV43" s="368"/>
      <c r="BW43" s="368"/>
      <c r="BX43" s="368"/>
      <c r="BY43" s="368"/>
      <c r="BZ43" s="368"/>
      <c r="CA43" s="368"/>
      <c r="CB43" s="368"/>
      <c r="CC43" s="368"/>
      <c r="CD43" s="368"/>
      <c r="CE43" s="368"/>
      <c r="CF43" s="368"/>
      <c r="CG43" s="368"/>
      <c r="CH43" s="368"/>
      <c r="CI43" s="368"/>
      <c r="CJ43" s="368"/>
      <c r="CK43" s="368"/>
      <c r="CL43" s="368"/>
      <c r="CM43" s="368"/>
      <c r="CN43" s="368"/>
      <c r="CO43" s="368"/>
      <c r="CP43" s="368"/>
      <c r="CQ43" s="368"/>
      <c r="CR43" s="368"/>
      <c r="CS43" s="368"/>
      <c r="CT43" s="368"/>
      <c r="CU43" s="368"/>
      <c r="CV43" s="368"/>
      <c r="CW43" s="368"/>
      <c r="CX43" s="368"/>
      <c r="CY43" s="368"/>
      <c r="CZ43" s="368"/>
      <c r="DA43" s="368"/>
      <c r="DB43" s="368"/>
      <c r="DC43" s="368"/>
      <c r="DD43" s="368"/>
      <c r="DE43" s="368"/>
      <c r="DF43" s="368"/>
      <c r="DG43" s="368"/>
      <c r="DH43" s="368"/>
      <c r="DI43" s="368"/>
      <c r="DJ43" s="368"/>
      <c r="DK43" s="368"/>
      <c r="DL43" s="368"/>
      <c r="DM43" s="368"/>
      <c r="DN43" s="368"/>
      <c r="DO43" s="368"/>
      <c r="DP43" s="368"/>
      <c r="DQ43" s="368"/>
      <c r="DR43" s="368"/>
      <c r="DS43" s="368"/>
      <c r="DT43" s="368"/>
      <c r="DU43" s="368"/>
      <c r="DV43" s="368"/>
      <c r="DW43" s="368"/>
      <c r="DX43" s="368"/>
      <c r="DY43" s="368"/>
      <c r="DZ43" s="368"/>
      <c r="EA43" s="368"/>
      <c r="EB43" s="368"/>
      <c r="EC43" s="368"/>
      <c r="ED43" s="368"/>
      <c r="EE43" s="368"/>
      <c r="EF43" s="368"/>
      <c r="EG43" s="368"/>
      <c r="EH43" s="368"/>
      <c r="EI43" s="368"/>
      <c r="EJ43" s="368"/>
      <c r="EK43" s="368"/>
      <c r="EL43" s="368"/>
      <c r="EM43" s="368"/>
      <c r="EN43" s="368"/>
      <c r="EO43" s="368"/>
      <c r="EP43" s="368"/>
      <c r="EQ43" s="368"/>
      <c r="ER43" s="368"/>
      <c r="ES43" s="368"/>
      <c r="ET43" s="368"/>
      <c r="EU43" s="368"/>
      <c r="EV43" s="368"/>
      <c r="EW43" s="368"/>
      <c r="EX43" s="368"/>
      <c r="EY43" s="368"/>
      <c r="EZ43" s="368"/>
      <c r="FA43" s="368"/>
      <c r="FB43" s="368"/>
      <c r="FC43" s="368"/>
      <c r="FD43" s="368"/>
      <c r="FE43" s="368"/>
      <c r="FF43" s="368"/>
      <c r="FG43" s="368"/>
      <c r="FH43" s="368"/>
      <c r="FI43" s="368"/>
      <c r="FJ43" s="368"/>
      <c r="FK43" s="368"/>
      <c r="FL43" s="368"/>
      <c r="FM43" s="368"/>
      <c r="FN43" s="368"/>
      <c r="FO43" s="368"/>
      <c r="FP43" s="368"/>
      <c r="FQ43" s="368"/>
      <c r="FR43" s="368"/>
      <c r="FS43" s="368"/>
      <c r="FT43" s="368"/>
      <c r="FU43" s="368"/>
      <c r="FV43" s="368"/>
      <c r="FW43" s="368"/>
      <c r="FX43" s="368"/>
      <c r="FY43" s="368"/>
      <c r="FZ43" s="368"/>
      <c r="GA43" s="368"/>
      <c r="GB43" s="368"/>
      <c r="GC43" s="368"/>
      <c r="GD43" s="368"/>
      <c r="GE43" s="368"/>
      <c r="GF43" s="368"/>
      <c r="GG43" s="368"/>
      <c r="GH43" s="368"/>
      <c r="GI43" s="368"/>
      <c r="GJ43" s="368"/>
      <c r="GK43" s="368"/>
      <c r="GL43" s="368"/>
      <c r="GM43" s="368"/>
      <c r="GN43" s="368"/>
      <c r="GO43" s="368"/>
      <c r="GP43" s="368"/>
      <c r="GQ43" s="368"/>
      <c r="GR43" s="368"/>
      <c r="GS43" s="368"/>
      <c r="GT43" s="368"/>
      <c r="GU43" s="368"/>
      <c r="GV43" s="368"/>
      <c r="GW43" s="368"/>
      <c r="GX43" s="368"/>
      <c r="GY43" s="368"/>
      <c r="GZ43" s="368"/>
      <c r="HA43" s="368"/>
      <c r="HB43" s="368"/>
      <c r="HC43" s="368"/>
      <c r="HD43" s="368"/>
      <c r="HE43" s="368"/>
      <c r="HF43" s="368"/>
      <c r="HG43" s="368"/>
      <c r="HH43" s="368"/>
      <c r="HI43" s="368"/>
      <c r="HJ43" s="368"/>
      <c r="HK43" s="368"/>
      <c r="HL43" s="368"/>
      <c r="HM43" s="368"/>
      <c r="HN43" s="368"/>
      <c r="HO43" s="368"/>
      <c r="HP43" s="368"/>
      <c r="HQ43" s="368"/>
      <c r="HR43" s="368"/>
      <c r="HS43" s="368"/>
      <c r="HT43" s="368"/>
      <c r="HU43" s="368"/>
      <c r="HV43" s="368"/>
      <c r="HW43" s="368"/>
      <c r="HX43" s="368"/>
      <c r="HY43" s="368"/>
      <c r="HZ43" s="368"/>
      <c r="IA43" s="368"/>
      <c r="IB43" s="368"/>
      <c r="IC43" s="368"/>
      <c r="ID43" s="368"/>
      <c r="IE43" s="368"/>
      <c r="IF43" s="368"/>
      <c r="IG43" s="368"/>
      <c r="IH43" s="368"/>
      <c r="II43" s="368"/>
      <c r="IJ43" s="368"/>
      <c r="IK43" s="368"/>
      <c r="IL43" s="368"/>
      <c r="IM43" s="368"/>
      <c r="IN43" s="368"/>
      <c r="IO43" s="368"/>
      <c r="IP43" s="368"/>
      <c r="IQ43" s="368"/>
      <c r="IR43" s="368"/>
      <c r="IS43" s="368"/>
      <c r="IT43" s="368"/>
      <c r="IU43" s="368"/>
    </row>
    <row r="44" spans="2:255" ht="20.149999999999999" customHeight="1">
      <c r="S44" s="875">
        <f t="shared" si="0"/>
        <v>1.7050000000000001</v>
      </c>
      <c r="T44" s="798">
        <v>7</v>
      </c>
      <c r="U44" s="796">
        <v>1.41</v>
      </c>
      <c r="V44" s="29">
        <v>1.8</v>
      </c>
      <c r="W44" s="29">
        <v>2.8</v>
      </c>
      <c r="X44" s="801">
        <v>5.7</v>
      </c>
      <c r="Y44" s="886">
        <v>16</v>
      </c>
      <c r="AT44" s="368"/>
      <c r="AU44" s="368"/>
      <c r="AV44" s="368"/>
      <c r="AW44" s="368"/>
      <c r="AX44" s="368"/>
      <c r="AY44" s="368"/>
      <c r="AZ44" s="368"/>
      <c r="BA44" s="368"/>
      <c r="BB44" s="368"/>
      <c r="BC44" s="368"/>
      <c r="BD44" s="368"/>
      <c r="BE44" s="368"/>
      <c r="BF44" s="368"/>
      <c r="BG44" s="368"/>
      <c r="BH44" s="368"/>
      <c r="BI44" s="368"/>
      <c r="BJ44" s="368"/>
      <c r="BK44" s="368"/>
      <c r="BL44" s="368"/>
      <c r="BM44" s="368"/>
      <c r="BN44" s="368"/>
      <c r="BO44" s="368"/>
      <c r="BP44" s="368"/>
      <c r="BQ44" s="368"/>
      <c r="BR44" s="368"/>
      <c r="BS44" s="368"/>
      <c r="BT44" s="368"/>
      <c r="BU44" s="368"/>
      <c r="BV44" s="368"/>
      <c r="BW44" s="368"/>
      <c r="BX44" s="368"/>
      <c r="BY44" s="368"/>
      <c r="BZ44" s="368"/>
      <c r="CA44" s="368"/>
      <c r="CB44" s="368"/>
      <c r="CC44" s="368"/>
      <c r="CD44" s="368"/>
      <c r="CE44" s="368"/>
      <c r="CF44" s="368"/>
      <c r="CG44" s="368"/>
      <c r="CH44" s="368"/>
      <c r="CI44" s="368"/>
      <c r="CJ44" s="368"/>
      <c r="CK44" s="368"/>
      <c r="CL44" s="368"/>
      <c r="CM44" s="368"/>
      <c r="CN44" s="368"/>
      <c r="CO44" s="368"/>
      <c r="CP44" s="368"/>
      <c r="CQ44" s="368"/>
      <c r="CR44" s="368"/>
      <c r="CS44" s="368"/>
      <c r="CT44" s="368"/>
      <c r="CU44" s="368"/>
      <c r="CV44" s="368"/>
      <c r="CW44" s="368"/>
      <c r="CX44" s="368"/>
      <c r="CY44" s="368"/>
      <c r="CZ44" s="368"/>
      <c r="DA44" s="368"/>
      <c r="DB44" s="368"/>
      <c r="DC44" s="368"/>
      <c r="DD44" s="368"/>
      <c r="DE44" s="368"/>
      <c r="DF44" s="368"/>
      <c r="DG44" s="368"/>
      <c r="DH44" s="368"/>
      <c r="DI44" s="368"/>
      <c r="DJ44" s="368"/>
      <c r="DK44" s="368"/>
      <c r="DL44" s="368"/>
      <c r="DM44" s="368"/>
      <c r="DN44" s="368"/>
      <c r="DO44" s="368"/>
      <c r="DP44" s="368"/>
      <c r="DQ44" s="368"/>
      <c r="DR44" s="368"/>
      <c r="DS44" s="368"/>
      <c r="DT44" s="368"/>
      <c r="DU44" s="368"/>
      <c r="DV44" s="368"/>
      <c r="DW44" s="368"/>
      <c r="DX44" s="368"/>
      <c r="DY44" s="368"/>
      <c r="DZ44" s="368"/>
      <c r="EA44" s="368"/>
      <c r="EB44" s="368"/>
      <c r="EC44" s="368"/>
      <c r="ED44" s="368"/>
      <c r="EE44" s="368"/>
      <c r="EF44" s="368"/>
      <c r="EG44" s="368"/>
      <c r="EH44" s="368"/>
      <c r="EI44" s="368"/>
      <c r="EJ44" s="368"/>
      <c r="EK44" s="368"/>
      <c r="EL44" s="368"/>
      <c r="EM44" s="368"/>
      <c r="EN44" s="368"/>
      <c r="EO44" s="368"/>
      <c r="EP44" s="368"/>
      <c r="EQ44" s="368"/>
      <c r="ER44" s="368"/>
      <c r="ES44" s="368"/>
      <c r="ET44" s="368"/>
      <c r="EU44" s="368"/>
      <c r="EV44" s="368"/>
      <c r="EW44" s="368"/>
      <c r="EX44" s="368"/>
      <c r="EY44" s="368"/>
      <c r="EZ44" s="368"/>
      <c r="FA44" s="368"/>
      <c r="FB44" s="368"/>
      <c r="FC44" s="368"/>
      <c r="FD44" s="368"/>
      <c r="FE44" s="368"/>
      <c r="FF44" s="368"/>
      <c r="FG44" s="368"/>
      <c r="FH44" s="368"/>
      <c r="FI44" s="368"/>
      <c r="FJ44" s="368"/>
      <c r="FK44" s="368"/>
      <c r="FL44" s="368"/>
      <c r="FM44" s="368"/>
      <c r="FN44" s="368"/>
      <c r="FO44" s="368"/>
      <c r="FP44" s="368"/>
      <c r="FQ44" s="368"/>
      <c r="FR44" s="368"/>
      <c r="FS44" s="368"/>
      <c r="FT44" s="368"/>
      <c r="FU44" s="368"/>
      <c r="FV44" s="368"/>
      <c r="FW44" s="368"/>
      <c r="FX44" s="368"/>
      <c r="FY44" s="368"/>
      <c r="FZ44" s="368"/>
      <c r="GA44" s="368"/>
      <c r="GB44" s="368"/>
      <c r="GC44" s="368"/>
      <c r="GD44" s="368"/>
      <c r="GE44" s="368"/>
      <c r="GF44" s="368"/>
      <c r="GG44" s="368"/>
      <c r="GH44" s="368"/>
      <c r="GI44" s="368"/>
      <c r="GJ44" s="368"/>
      <c r="GK44" s="368"/>
      <c r="GL44" s="368"/>
      <c r="GM44" s="368"/>
      <c r="GN44" s="368"/>
      <c r="GO44" s="368"/>
      <c r="GP44" s="368"/>
      <c r="GQ44" s="368"/>
      <c r="GR44" s="368"/>
      <c r="GS44" s="368"/>
      <c r="GT44" s="368"/>
      <c r="GU44" s="368"/>
      <c r="GV44" s="368"/>
      <c r="GW44" s="368"/>
      <c r="GX44" s="368"/>
      <c r="GY44" s="368"/>
      <c r="GZ44" s="368"/>
      <c r="HA44" s="368"/>
      <c r="HB44" s="368"/>
      <c r="HC44" s="368"/>
      <c r="HD44" s="368"/>
      <c r="HE44" s="368"/>
      <c r="HF44" s="368"/>
      <c r="HG44" s="368"/>
      <c r="HH44" s="368"/>
      <c r="HI44" s="368"/>
      <c r="HJ44" s="368"/>
      <c r="HK44" s="368"/>
      <c r="HL44" s="368"/>
      <c r="HM44" s="368"/>
      <c r="HN44" s="368"/>
      <c r="HO44" s="368"/>
      <c r="HP44" s="368"/>
      <c r="HQ44" s="368"/>
      <c r="HR44" s="368"/>
      <c r="HS44" s="368"/>
      <c r="HT44" s="368"/>
      <c r="HU44" s="368"/>
      <c r="HV44" s="368"/>
      <c r="HW44" s="368"/>
      <c r="HX44" s="368"/>
      <c r="HY44" s="368"/>
      <c r="HZ44" s="368"/>
      <c r="IA44" s="368"/>
      <c r="IB44" s="368"/>
      <c r="IC44" s="368"/>
      <c r="ID44" s="368"/>
      <c r="IE44" s="368"/>
      <c r="IF44" s="368"/>
      <c r="IG44" s="368"/>
      <c r="IH44" s="368"/>
      <c r="II44" s="368"/>
      <c r="IJ44" s="368"/>
      <c r="IK44" s="368"/>
      <c r="IL44" s="368"/>
      <c r="IM44" s="368"/>
      <c r="IN44" s="368"/>
      <c r="IO44" s="368"/>
      <c r="IP44" s="368"/>
      <c r="IQ44" s="368"/>
      <c r="IR44" s="368"/>
      <c r="IS44" s="368"/>
      <c r="IT44" s="368"/>
      <c r="IU44" s="368"/>
    </row>
    <row r="45" spans="2:255" ht="20.149999999999999" customHeight="1">
      <c r="S45" s="875">
        <f t="shared" si="0"/>
        <v>1.2050000000000001</v>
      </c>
      <c r="T45" s="798">
        <v>8</v>
      </c>
      <c r="U45" s="796">
        <v>1</v>
      </c>
      <c r="V45" s="29">
        <v>1.3</v>
      </c>
      <c r="W45" s="29">
        <v>2</v>
      </c>
      <c r="X45" s="801">
        <v>4</v>
      </c>
      <c r="Y45" s="886">
        <v>11</v>
      </c>
      <c r="AT45" s="368"/>
      <c r="AU45" s="368"/>
      <c r="AV45" s="368"/>
      <c r="AW45" s="368"/>
      <c r="AX45" s="368"/>
      <c r="AY45" s="368"/>
      <c r="AZ45" s="368"/>
      <c r="BA45" s="368"/>
      <c r="BB45" s="368"/>
      <c r="BC45" s="368"/>
      <c r="BD45" s="368"/>
      <c r="BE45" s="368"/>
      <c r="BF45" s="368"/>
      <c r="BG45" s="368"/>
      <c r="BH45" s="368"/>
      <c r="BI45" s="368"/>
      <c r="BJ45" s="368"/>
      <c r="BK45" s="368"/>
      <c r="BL45" s="368"/>
      <c r="BM45" s="368"/>
      <c r="BN45" s="368"/>
      <c r="BO45" s="368"/>
      <c r="BP45" s="368"/>
      <c r="BQ45" s="368"/>
      <c r="BR45" s="368"/>
      <c r="BS45" s="368"/>
      <c r="BT45" s="368"/>
      <c r="BU45" s="368"/>
      <c r="BV45" s="368"/>
      <c r="BW45" s="368"/>
      <c r="BX45" s="368"/>
      <c r="BY45" s="368"/>
      <c r="BZ45" s="368"/>
      <c r="CA45" s="368"/>
      <c r="CB45" s="368"/>
      <c r="CC45" s="368"/>
      <c r="CD45" s="368"/>
      <c r="CE45" s="368"/>
      <c r="CF45" s="368"/>
      <c r="CG45" s="368"/>
      <c r="CH45" s="368"/>
      <c r="CI45" s="368"/>
      <c r="CJ45" s="368"/>
      <c r="CK45" s="368"/>
      <c r="CL45" s="368"/>
      <c r="CM45" s="368"/>
      <c r="CN45" s="368"/>
      <c r="CO45" s="368"/>
      <c r="CP45" s="368"/>
      <c r="CQ45" s="368"/>
      <c r="CR45" s="368"/>
      <c r="CS45" s="368"/>
      <c r="CT45" s="368"/>
      <c r="CU45" s="368"/>
      <c r="CV45" s="368"/>
      <c r="CW45" s="368"/>
      <c r="CX45" s="368"/>
      <c r="CY45" s="368"/>
      <c r="CZ45" s="368"/>
      <c r="DA45" s="368"/>
      <c r="DB45" s="368"/>
      <c r="DC45" s="368"/>
      <c r="DD45" s="368"/>
      <c r="DE45" s="368"/>
      <c r="DF45" s="368"/>
      <c r="DG45" s="368"/>
      <c r="DH45" s="368"/>
      <c r="DI45" s="368"/>
      <c r="DJ45" s="368"/>
      <c r="DK45" s="368"/>
      <c r="DL45" s="368"/>
      <c r="DM45" s="368"/>
      <c r="DN45" s="368"/>
      <c r="DO45" s="368"/>
      <c r="DP45" s="368"/>
      <c r="DQ45" s="368"/>
      <c r="DR45" s="368"/>
      <c r="DS45" s="368"/>
      <c r="DT45" s="368"/>
      <c r="DU45" s="368"/>
      <c r="DV45" s="368"/>
      <c r="DW45" s="368"/>
      <c r="DX45" s="368"/>
      <c r="DY45" s="368"/>
      <c r="DZ45" s="368"/>
      <c r="EA45" s="368"/>
      <c r="EB45" s="368"/>
      <c r="EC45" s="368"/>
      <c r="ED45" s="368"/>
      <c r="EE45" s="368"/>
      <c r="EF45" s="368"/>
      <c r="EG45" s="368"/>
      <c r="EH45" s="368"/>
      <c r="EI45" s="368"/>
      <c r="EJ45" s="368"/>
      <c r="EK45" s="368"/>
      <c r="EL45" s="368"/>
      <c r="EM45" s="368"/>
      <c r="EN45" s="368"/>
      <c r="EO45" s="368"/>
      <c r="EP45" s="368"/>
      <c r="EQ45" s="368"/>
      <c r="ER45" s="368"/>
      <c r="ES45" s="368"/>
      <c r="ET45" s="368"/>
      <c r="EU45" s="368"/>
      <c r="EV45" s="368"/>
      <c r="EW45" s="368"/>
      <c r="EX45" s="368"/>
      <c r="EY45" s="368"/>
      <c r="EZ45" s="368"/>
      <c r="FA45" s="368"/>
      <c r="FB45" s="368"/>
      <c r="FC45" s="368"/>
      <c r="FD45" s="368"/>
      <c r="FE45" s="368"/>
      <c r="FF45" s="368"/>
      <c r="FG45" s="368"/>
      <c r="FH45" s="368"/>
      <c r="FI45" s="368"/>
      <c r="FJ45" s="368"/>
      <c r="FK45" s="368"/>
      <c r="FL45" s="368"/>
      <c r="FM45" s="368"/>
      <c r="FN45" s="368"/>
      <c r="FO45" s="368"/>
      <c r="FP45" s="368"/>
      <c r="FQ45" s="368"/>
      <c r="FR45" s="368"/>
      <c r="FS45" s="368"/>
      <c r="FT45" s="368"/>
      <c r="FU45" s="368"/>
      <c r="FV45" s="368"/>
      <c r="FW45" s="368"/>
      <c r="FX45" s="368"/>
      <c r="FY45" s="368"/>
      <c r="FZ45" s="368"/>
      <c r="GA45" s="368"/>
      <c r="GB45" s="368"/>
      <c r="GC45" s="368"/>
      <c r="GD45" s="368"/>
      <c r="GE45" s="368"/>
      <c r="GF45" s="368"/>
      <c r="GG45" s="368"/>
      <c r="GH45" s="368"/>
      <c r="GI45" s="368"/>
      <c r="GJ45" s="368"/>
      <c r="GK45" s="368"/>
      <c r="GL45" s="368"/>
      <c r="GM45" s="368"/>
      <c r="GN45" s="368"/>
      <c r="GO45" s="368"/>
      <c r="GP45" s="368"/>
      <c r="GQ45" s="368"/>
      <c r="GR45" s="368"/>
      <c r="GS45" s="368"/>
      <c r="GT45" s="368"/>
      <c r="GU45" s="368"/>
      <c r="GV45" s="368"/>
      <c r="GW45" s="368"/>
      <c r="GX45" s="368"/>
      <c r="GY45" s="368"/>
      <c r="GZ45" s="368"/>
      <c r="HA45" s="368"/>
      <c r="HB45" s="368"/>
      <c r="HC45" s="368"/>
      <c r="HD45" s="368"/>
      <c r="HE45" s="368"/>
      <c r="HF45" s="368"/>
      <c r="HG45" s="368"/>
      <c r="HH45" s="368"/>
      <c r="HI45" s="368"/>
      <c r="HJ45" s="368"/>
      <c r="HK45" s="368"/>
      <c r="HL45" s="368"/>
      <c r="HM45" s="368"/>
      <c r="HN45" s="368"/>
      <c r="HO45" s="368"/>
      <c r="HP45" s="368"/>
      <c r="HQ45" s="368"/>
      <c r="HR45" s="368"/>
      <c r="HS45" s="368"/>
      <c r="HT45" s="368"/>
      <c r="HU45" s="368"/>
      <c r="HV45" s="368"/>
      <c r="HW45" s="368"/>
      <c r="HX45" s="368"/>
      <c r="HY45" s="368"/>
      <c r="HZ45" s="368"/>
      <c r="IA45" s="368"/>
      <c r="IB45" s="368"/>
      <c r="IC45" s="368"/>
      <c r="ID45" s="368"/>
      <c r="IE45" s="368"/>
      <c r="IF45" s="368"/>
      <c r="IG45" s="368"/>
      <c r="IH45" s="368"/>
      <c r="II45" s="368"/>
      <c r="IJ45" s="368"/>
      <c r="IK45" s="368"/>
      <c r="IL45" s="368"/>
      <c r="IM45" s="368"/>
      <c r="IN45" s="368"/>
      <c r="IO45" s="368"/>
      <c r="IP45" s="368"/>
      <c r="IQ45" s="368"/>
      <c r="IR45" s="368"/>
      <c r="IS45" s="368"/>
      <c r="IT45" s="368"/>
      <c r="IU45" s="368"/>
    </row>
    <row r="46" spans="2:255" ht="20.149999999999999" customHeight="1">
      <c r="S46" s="875">
        <f t="shared" si="0"/>
        <v>0.85349999999999993</v>
      </c>
      <c r="T46" s="798">
        <v>9</v>
      </c>
      <c r="U46" s="796">
        <v>0.70699999999999996</v>
      </c>
      <c r="V46" s="29">
        <v>0.92</v>
      </c>
      <c r="W46" s="29">
        <v>1.4</v>
      </c>
      <c r="X46" s="801">
        <v>2.8</v>
      </c>
      <c r="Y46" s="887">
        <v>7.8</v>
      </c>
      <c r="AT46" s="368"/>
      <c r="AU46" s="368"/>
      <c r="AV46" s="368"/>
      <c r="AW46" s="368"/>
      <c r="AX46" s="368"/>
      <c r="AY46" s="368"/>
      <c r="AZ46" s="368"/>
      <c r="BA46" s="368"/>
      <c r="BB46" s="368"/>
      <c r="BC46" s="368"/>
      <c r="BD46" s="368"/>
      <c r="BE46" s="368"/>
      <c r="BF46" s="368"/>
      <c r="BG46" s="368"/>
      <c r="BH46" s="368"/>
      <c r="BI46" s="368"/>
      <c r="BJ46" s="368"/>
      <c r="BK46" s="368"/>
      <c r="BL46" s="368"/>
      <c r="BM46" s="368"/>
      <c r="BN46" s="368"/>
      <c r="BO46" s="368"/>
      <c r="BP46" s="368"/>
      <c r="BQ46" s="368"/>
      <c r="BR46" s="368"/>
      <c r="BS46" s="368"/>
      <c r="BT46" s="368"/>
      <c r="BU46" s="368"/>
      <c r="BV46" s="368"/>
      <c r="BW46" s="368"/>
      <c r="BX46" s="368"/>
      <c r="BY46" s="368"/>
      <c r="BZ46" s="368"/>
      <c r="CA46" s="368"/>
      <c r="CB46" s="368"/>
      <c r="CC46" s="368"/>
      <c r="CD46" s="368"/>
      <c r="CE46" s="368"/>
      <c r="CF46" s="368"/>
      <c r="CG46" s="368"/>
      <c r="CH46" s="368"/>
      <c r="CI46" s="368"/>
      <c r="CJ46" s="368"/>
      <c r="CK46" s="368"/>
      <c r="CL46" s="368"/>
      <c r="CM46" s="368"/>
      <c r="CN46" s="368"/>
      <c r="CO46" s="368"/>
      <c r="CP46" s="368"/>
      <c r="CQ46" s="368"/>
      <c r="CR46" s="368"/>
      <c r="CS46" s="368"/>
      <c r="CT46" s="368"/>
      <c r="CU46" s="368"/>
      <c r="CV46" s="368"/>
      <c r="CW46" s="368"/>
      <c r="CX46" s="368"/>
      <c r="CY46" s="368"/>
      <c r="CZ46" s="368"/>
      <c r="DA46" s="368"/>
      <c r="DB46" s="368"/>
      <c r="DC46" s="368"/>
      <c r="DD46" s="368"/>
      <c r="DE46" s="368"/>
      <c r="DF46" s="368"/>
      <c r="DG46" s="368"/>
      <c r="DH46" s="368"/>
      <c r="DI46" s="368"/>
      <c r="DJ46" s="368"/>
      <c r="DK46" s="368"/>
      <c r="DL46" s="368"/>
      <c r="DM46" s="368"/>
      <c r="DN46" s="368"/>
      <c r="DO46" s="368"/>
      <c r="DP46" s="368"/>
      <c r="DQ46" s="368"/>
      <c r="DR46" s="368"/>
      <c r="DS46" s="368"/>
      <c r="DT46" s="368"/>
      <c r="DU46" s="368"/>
      <c r="DV46" s="368"/>
      <c r="DW46" s="368"/>
      <c r="DX46" s="368"/>
      <c r="DY46" s="368"/>
      <c r="DZ46" s="368"/>
      <c r="EA46" s="368"/>
      <c r="EB46" s="368"/>
      <c r="EC46" s="368"/>
      <c r="ED46" s="368"/>
      <c r="EE46" s="368"/>
      <c r="EF46" s="368"/>
      <c r="EG46" s="368"/>
      <c r="EH46" s="368"/>
      <c r="EI46" s="368"/>
      <c r="EJ46" s="368"/>
      <c r="EK46" s="368"/>
      <c r="EL46" s="368"/>
      <c r="EM46" s="368"/>
      <c r="EN46" s="368"/>
      <c r="EO46" s="368"/>
      <c r="EP46" s="368"/>
      <c r="EQ46" s="368"/>
      <c r="ER46" s="368"/>
      <c r="ES46" s="368"/>
      <c r="ET46" s="368"/>
      <c r="EU46" s="368"/>
      <c r="EV46" s="368"/>
      <c r="EW46" s="368"/>
      <c r="EX46" s="368"/>
      <c r="EY46" s="368"/>
      <c r="EZ46" s="368"/>
      <c r="FA46" s="368"/>
      <c r="FB46" s="368"/>
      <c r="FC46" s="368"/>
      <c r="FD46" s="368"/>
      <c r="FE46" s="368"/>
      <c r="FF46" s="368"/>
      <c r="FG46" s="368"/>
      <c r="FH46" s="368"/>
      <c r="FI46" s="368"/>
      <c r="FJ46" s="368"/>
      <c r="FK46" s="368"/>
      <c r="FL46" s="368"/>
      <c r="FM46" s="368"/>
      <c r="FN46" s="368"/>
      <c r="FO46" s="368"/>
      <c r="FP46" s="368"/>
      <c r="FQ46" s="368"/>
      <c r="FR46" s="368"/>
      <c r="FS46" s="368"/>
      <c r="FT46" s="368"/>
      <c r="FU46" s="368"/>
      <c r="FV46" s="368"/>
      <c r="FW46" s="368"/>
      <c r="FX46" s="368"/>
      <c r="FY46" s="368"/>
      <c r="FZ46" s="368"/>
      <c r="GA46" s="368"/>
      <c r="GB46" s="368"/>
      <c r="GC46" s="368"/>
      <c r="GD46" s="368"/>
      <c r="GE46" s="368"/>
      <c r="GF46" s="368"/>
      <c r="GG46" s="368"/>
      <c r="GH46" s="368"/>
      <c r="GI46" s="368"/>
      <c r="GJ46" s="368"/>
      <c r="GK46" s="368"/>
      <c r="GL46" s="368"/>
      <c r="GM46" s="368"/>
      <c r="GN46" s="368"/>
      <c r="GO46" s="368"/>
      <c r="GP46" s="368"/>
      <c r="GQ46" s="368"/>
      <c r="GR46" s="368"/>
      <c r="GS46" s="368"/>
      <c r="GT46" s="368"/>
      <c r="GU46" s="368"/>
      <c r="GV46" s="368"/>
      <c r="GW46" s="368"/>
      <c r="GX46" s="368"/>
      <c r="GY46" s="368"/>
      <c r="GZ46" s="368"/>
      <c r="HA46" s="368"/>
      <c r="HB46" s="368"/>
      <c r="HC46" s="368"/>
      <c r="HD46" s="368"/>
      <c r="HE46" s="368"/>
      <c r="HF46" s="368"/>
      <c r="HG46" s="368"/>
      <c r="HH46" s="368"/>
      <c r="HI46" s="368"/>
      <c r="HJ46" s="368"/>
      <c r="HK46" s="368"/>
      <c r="HL46" s="368"/>
      <c r="HM46" s="368"/>
      <c r="HN46" s="368"/>
      <c r="HO46" s="368"/>
      <c r="HP46" s="368"/>
      <c r="HQ46" s="368"/>
      <c r="HR46" s="368"/>
      <c r="HS46" s="368"/>
      <c r="HT46" s="368"/>
      <c r="HU46" s="368"/>
      <c r="HV46" s="368"/>
      <c r="HW46" s="368"/>
      <c r="HX46" s="368"/>
      <c r="HY46" s="368"/>
      <c r="HZ46" s="368"/>
      <c r="IA46" s="368"/>
      <c r="IB46" s="368"/>
      <c r="IC46" s="368"/>
      <c r="ID46" s="368"/>
      <c r="IE46" s="368"/>
      <c r="IF46" s="368"/>
      <c r="IG46" s="368"/>
      <c r="IH46" s="368"/>
      <c r="II46" s="368"/>
      <c r="IJ46" s="368"/>
      <c r="IK46" s="368"/>
      <c r="IL46" s="368"/>
      <c r="IM46" s="368"/>
      <c r="IN46" s="368"/>
      <c r="IO46" s="368"/>
      <c r="IP46" s="368"/>
      <c r="IQ46" s="368"/>
      <c r="IR46" s="368"/>
      <c r="IS46" s="368"/>
      <c r="IT46" s="368"/>
      <c r="IU46" s="368"/>
    </row>
    <row r="47" spans="2:255" ht="20.149999999999999" customHeight="1">
      <c r="S47" s="875">
        <f t="shared" si="0"/>
        <v>0.60349999999999993</v>
      </c>
      <c r="T47" s="798">
        <v>10</v>
      </c>
      <c r="U47" s="796">
        <v>0.5</v>
      </c>
      <c r="V47" s="29">
        <v>0.65</v>
      </c>
      <c r="W47" s="29">
        <v>1</v>
      </c>
      <c r="X47" s="801">
        <v>2</v>
      </c>
      <c r="Y47" s="887">
        <v>5.5</v>
      </c>
      <c r="AT47" s="368"/>
      <c r="AU47" s="368"/>
      <c r="AV47" s="368"/>
      <c r="AW47" s="368"/>
      <c r="AX47" s="368"/>
      <c r="AY47" s="368"/>
      <c r="AZ47" s="368"/>
      <c r="BA47" s="368"/>
      <c r="BB47" s="368"/>
      <c r="BC47" s="368"/>
      <c r="BD47" s="368"/>
      <c r="BE47" s="368"/>
      <c r="BF47" s="368"/>
      <c r="BG47" s="368"/>
      <c r="BH47" s="368"/>
      <c r="BI47" s="368"/>
      <c r="BJ47" s="368"/>
      <c r="BK47" s="368"/>
      <c r="BL47" s="368"/>
      <c r="BM47" s="368"/>
      <c r="BN47" s="368"/>
      <c r="BO47" s="368"/>
      <c r="BP47" s="368"/>
      <c r="BQ47" s="368"/>
      <c r="BR47" s="368"/>
      <c r="BS47" s="368"/>
      <c r="BT47" s="368"/>
      <c r="BU47" s="368"/>
      <c r="BV47" s="368"/>
      <c r="BW47" s="368"/>
      <c r="BX47" s="368"/>
      <c r="BY47" s="368"/>
      <c r="BZ47" s="368"/>
      <c r="CA47" s="368"/>
      <c r="CB47" s="368"/>
      <c r="CC47" s="368"/>
      <c r="CD47" s="368"/>
      <c r="CE47" s="368"/>
      <c r="CF47" s="368"/>
      <c r="CG47" s="368"/>
      <c r="CH47" s="368"/>
      <c r="CI47" s="368"/>
      <c r="CJ47" s="368"/>
      <c r="CK47" s="368"/>
      <c r="CL47" s="368"/>
      <c r="CM47" s="368"/>
      <c r="CN47" s="368"/>
      <c r="CO47" s="368"/>
      <c r="CP47" s="368"/>
      <c r="CQ47" s="368"/>
      <c r="CR47" s="368"/>
      <c r="CS47" s="368"/>
      <c r="CT47" s="368"/>
      <c r="CU47" s="368"/>
      <c r="CV47" s="368"/>
      <c r="CW47" s="368"/>
      <c r="CX47" s="368"/>
      <c r="CY47" s="368"/>
      <c r="CZ47" s="368"/>
      <c r="DA47" s="368"/>
      <c r="DB47" s="368"/>
      <c r="DC47" s="368"/>
      <c r="DD47" s="368"/>
      <c r="DE47" s="368"/>
      <c r="DF47" s="368"/>
      <c r="DG47" s="368"/>
      <c r="DH47" s="368"/>
      <c r="DI47" s="368"/>
      <c r="DJ47" s="368"/>
      <c r="DK47" s="368"/>
      <c r="DL47" s="368"/>
      <c r="DM47" s="368"/>
      <c r="DN47" s="368"/>
      <c r="DO47" s="368"/>
      <c r="DP47" s="368"/>
      <c r="DQ47" s="368"/>
      <c r="DR47" s="368"/>
      <c r="DS47" s="368"/>
      <c r="DT47" s="368"/>
      <c r="DU47" s="368"/>
      <c r="DV47" s="368"/>
      <c r="DW47" s="368"/>
      <c r="DX47" s="368"/>
      <c r="DY47" s="368"/>
      <c r="DZ47" s="368"/>
      <c r="EA47" s="368"/>
      <c r="EB47" s="368"/>
      <c r="EC47" s="368"/>
      <c r="ED47" s="368"/>
      <c r="EE47" s="368"/>
      <c r="EF47" s="368"/>
      <c r="EG47" s="368"/>
      <c r="EH47" s="368"/>
      <c r="EI47" s="368"/>
      <c r="EJ47" s="368"/>
      <c r="EK47" s="368"/>
      <c r="EL47" s="368"/>
      <c r="EM47" s="368"/>
      <c r="EN47" s="368"/>
      <c r="EO47" s="368"/>
      <c r="EP47" s="368"/>
      <c r="EQ47" s="368"/>
      <c r="ER47" s="368"/>
      <c r="ES47" s="368"/>
      <c r="ET47" s="368"/>
      <c r="EU47" s="368"/>
      <c r="EV47" s="368"/>
      <c r="EW47" s="368"/>
      <c r="EX47" s="368"/>
      <c r="EY47" s="368"/>
      <c r="EZ47" s="368"/>
      <c r="FA47" s="368"/>
      <c r="FB47" s="368"/>
      <c r="FC47" s="368"/>
      <c r="FD47" s="368"/>
      <c r="FE47" s="368"/>
      <c r="FF47" s="368"/>
      <c r="FG47" s="368"/>
      <c r="FH47" s="368"/>
      <c r="FI47" s="368"/>
      <c r="FJ47" s="368"/>
      <c r="FK47" s="368"/>
      <c r="FL47" s="368"/>
      <c r="FM47" s="368"/>
      <c r="FN47" s="368"/>
      <c r="FO47" s="368"/>
      <c r="FP47" s="368"/>
      <c r="FQ47" s="368"/>
      <c r="FR47" s="368"/>
      <c r="FS47" s="368"/>
      <c r="FT47" s="368"/>
      <c r="FU47" s="368"/>
      <c r="FV47" s="368"/>
      <c r="FW47" s="368"/>
      <c r="FX47" s="368"/>
      <c r="FY47" s="368"/>
      <c r="FZ47" s="368"/>
      <c r="GA47" s="368"/>
      <c r="GB47" s="368"/>
      <c r="GC47" s="368"/>
      <c r="GD47" s="368"/>
      <c r="GE47" s="368"/>
      <c r="GF47" s="368"/>
      <c r="GG47" s="368"/>
      <c r="GH47" s="368"/>
      <c r="GI47" s="368"/>
      <c r="GJ47" s="368"/>
      <c r="GK47" s="368"/>
      <c r="GL47" s="368"/>
      <c r="GM47" s="368"/>
      <c r="GN47" s="368"/>
      <c r="GO47" s="368"/>
      <c r="GP47" s="368"/>
      <c r="GQ47" s="368"/>
      <c r="GR47" s="368"/>
      <c r="GS47" s="368"/>
      <c r="GT47" s="368"/>
      <c r="GU47" s="368"/>
      <c r="GV47" s="368"/>
      <c r="GW47" s="368"/>
      <c r="GX47" s="368"/>
      <c r="GY47" s="368"/>
      <c r="GZ47" s="368"/>
      <c r="HA47" s="368"/>
      <c r="HB47" s="368"/>
      <c r="HC47" s="368"/>
      <c r="HD47" s="368"/>
      <c r="HE47" s="368"/>
      <c r="HF47" s="368"/>
      <c r="HG47" s="368"/>
      <c r="HH47" s="368"/>
      <c r="HI47" s="368"/>
      <c r="HJ47" s="368"/>
      <c r="HK47" s="368"/>
      <c r="HL47" s="368"/>
      <c r="HM47" s="368"/>
      <c r="HN47" s="368"/>
      <c r="HO47" s="368"/>
      <c r="HP47" s="368"/>
      <c r="HQ47" s="368"/>
      <c r="HR47" s="368"/>
      <c r="HS47" s="368"/>
      <c r="HT47" s="368"/>
      <c r="HU47" s="368"/>
      <c r="HV47" s="368"/>
      <c r="HW47" s="368"/>
      <c r="HX47" s="368"/>
      <c r="HY47" s="368"/>
      <c r="HZ47" s="368"/>
      <c r="IA47" s="368"/>
      <c r="IB47" s="368"/>
      <c r="IC47" s="368"/>
      <c r="ID47" s="368"/>
      <c r="IE47" s="368"/>
      <c r="IF47" s="368"/>
      <c r="IG47" s="368"/>
      <c r="IH47" s="368"/>
      <c r="II47" s="368"/>
      <c r="IJ47" s="368"/>
      <c r="IK47" s="368"/>
      <c r="IL47" s="368"/>
      <c r="IM47" s="368"/>
      <c r="IN47" s="368"/>
      <c r="IO47" s="368"/>
      <c r="IP47" s="368"/>
      <c r="IQ47" s="368"/>
      <c r="IR47" s="368"/>
      <c r="IS47" s="368"/>
      <c r="IT47" s="368"/>
      <c r="IU47" s="368"/>
    </row>
    <row r="48" spans="2:255" ht="20.149999999999999" customHeight="1">
      <c r="S48" s="875">
        <f t="shared" si="0"/>
        <v>0.42699999999999999</v>
      </c>
      <c r="T48" s="798">
        <v>11</v>
      </c>
      <c r="U48" s="796">
        <v>0.35399999999999998</v>
      </c>
      <c r="V48" s="29">
        <v>0.46</v>
      </c>
      <c r="W48" s="29">
        <v>0.71</v>
      </c>
      <c r="X48" s="801">
        <v>1.4</v>
      </c>
      <c r="Y48" s="887">
        <v>3.9</v>
      </c>
      <c r="Z48" s="368"/>
      <c r="AA48" s="368"/>
      <c r="AB48" s="368"/>
      <c r="AC48" s="368"/>
      <c r="AD48" s="368"/>
      <c r="AE48" s="368"/>
      <c r="AF48" s="368"/>
      <c r="AG48" s="368"/>
      <c r="AH48" s="368"/>
      <c r="AI48" s="368"/>
      <c r="AJ48" s="368"/>
      <c r="AK48" s="368"/>
      <c r="AL48" s="368"/>
      <c r="AM48" s="368"/>
      <c r="AN48" s="368"/>
      <c r="AO48" s="368"/>
      <c r="AP48" s="368"/>
      <c r="AQ48" s="368"/>
      <c r="AR48" s="368"/>
      <c r="AS48" s="368"/>
      <c r="AT48" s="368"/>
      <c r="AU48" s="368"/>
      <c r="AV48" s="368"/>
      <c r="AW48" s="368"/>
      <c r="AX48" s="368"/>
      <c r="AY48" s="368"/>
      <c r="AZ48" s="368"/>
      <c r="BA48" s="368"/>
      <c r="BB48" s="368"/>
      <c r="BC48" s="368"/>
      <c r="BD48" s="368"/>
      <c r="BE48" s="368"/>
      <c r="BF48" s="368"/>
      <c r="BG48" s="368"/>
      <c r="BH48" s="368"/>
      <c r="BI48" s="368"/>
      <c r="BJ48" s="368"/>
      <c r="BK48" s="368"/>
      <c r="BL48" s="368"/>
      <c r="BM48" s="368"/>
      <c r="BN48" s="368"/>
      <c r="BO48" s="368"/>
      <c r="BP48" s="368"/>
      <c r="BQ48" s="368"/>
      <c r="BR48" s="368"/>
      <c r="BS48" s="368"/>
      <c r="BT48" s="368"/>
      <c r="BU48" s="368"/>
      <c r="BV48" s="368"/>
      <c r="BW48" s="368"/>
      <c r="BX48" s="368"/>
      <c r="BY48" s="368"/>
      <c r="BZ48" s="368"/>
      <c r="CA48" s="368"/>
      <c r="CB48" s="368"/>
      <c r="CC48" s="368"/>
      <c r="CD48" s="368"/>
      <c r="CE48" s="368"/>
      <c r="CF48" s="368"/>
      <c r="CG48" s="368"/>
      <c r="CH48" s="368"/>
      <c r="CI48" s="368"/>
      <c r="CJ48" s="368"/>
      <c r="CK48" s="368"/>
      <c r="CL48" s="368"/>
      <c r="CM48" s="368"/>
      <c r="CN48" s="368"/>
      <c r="CO48" s="368"/>
      <c r="CP48" s="368"/>
      <c r="CQ48" s="368"/>
      <c r="CR48" s="368"/>
      <c r="CS48" s="368"/>
      <c r="CT48" s="368"/>
      <c r="CU48" s="368"/>
      <c r="CV48" s="368"/>
      <c r="CW48" s="368"/>
      <c r="CX48" s="368"/>
      <c r="CY48" s="368"/>
      <c r="CZ48" s="368"/>
      <c r="DA48" s="368"/>
      <c r="DB48" s="368"/>
      <c r="DC48" s="368"/>
      <c r="DD48" s="368"/>
      <c r="DE48" s="368"/>
      <c r="DF48" s="368"/>
      <c r="DG48" s="368"/>
      <c r="DH48" s="368"/>
      <c r="DI48" s="368"/>
      <c r="DJ48" s="368"/>
      <c r="DK48" s="368"/>
      <c r="DL48" s="368"/>
      <c r="DM48" s="368"/>
      <c r="DN48" s="368"/>
      <c r="DO48" s="368"/>
      <c r="DP48" s="368"/>
      <c r="DQ48" s="368"/>
      <c r="DR48" s="368"/>
      <c r="DS48" s="368"/>
      <c r="DT48" s="368"/>
      <c r="DU48" s="368"/>
      <c r="DV48" s="368"/>
      <c r="DW48" s="368"/>
      <c r="DX48" s="368"/>
      <c r="DY48" s="368"/>
      <c r="DZ48" s="368"/>
      <c r="EA48" s="368"/>
      <c r="EB48" s="368"/>
      <c r="EC48" s="368"/>
      <c r="ED48" s="368"/>
      <c r="EE48" s="368"/>
      <c r="EF48" s="368"/>
      <c r="EG48" s="368"/>
      <c r="EH48" s="368"/>
      <c r="EI48" s="368"/>
      <c r="EJ48" s="368"/>
      <c r="EK48" s="368"/>
      <c r="EL48" s="368"/>
      <c r="EM48" s="368"/>
      <c r="EN48" s="368"/>
      <c r="EO48" s="368"/>
      <c r="EP48" s="368"/>
      <c r="EQ48" s="368"/>
      <c r="ER48" s="368"/>
      <c r="ES48" s="368"/>
      <c r="ET48" s="368"/>
      <c r="EU48" s="368"/>
      <c r="EV48" s="368"/>
      <c r="EW48" s="368"/>
      <c r="EX48" s="368"/>
      <c r="EY48" s="368"/>
      <c r="EZ48" s="368"/>
      <c r="FA48" s="368"/>
      <c r="FB48" s="368"/>
      <c r="FC48" s="368"/>
      <c r="FD48" s="368"/>
      <c r="FE48" s="368"/>
      <c r="FF48" s="368"/>
      <c r="FG48" s="368"/>
      <c r="FH48" s="368"/>
      <c r="FI48" s="368"/>
      <c r="FJ48" s="368"/>
      <c r="FK48" s="368"/>
      <c r="FL48" s="368"/>
      <c r="FM48" s="368"/>
      <c r="FN48" s="368"/>
      <c r="FO48" s="368"/>
      <c r="FP48" s="368"/>
      <c r="FQ48" s="368"/>
      <c r="FR48" s="368"/>
      <c r="FS48" s="368"/>
      <c r="FT48" s="368"/>
      <c r="FU48" s="368"/>
      <c r="FV48" s="368"/>
      <c r="FW48" s="368"/>
      <c r="FX48" s="368"/>
      <c r="FY48" s="368"/>
      <c r="FZ48" s="368"/>
      <c r="GA48" s="368"/>
      <c r="GB48" s="368"/>
      <c r="GC48" s="368"/>
      <c r="GD48" s="368"/>
      <c r="GE48" s="368"/>
      <c r="GF48" s="368"/>
      <c r="GG48" s="368"/>
      <c r="GH48" s="368"/>
      <c r="GI48" s="368"/>
      <c r="GJ48" s="368"/>
      <c r="GK48" s="368"/>
      <c r="GL48" s="368"/>
      <c r="GM48" s="368"/>
      <c r="GN48" s="368"/>
      <c r="GO48" s="368"/>
      <c r="GP48" s="368"/>
      <c r="GQ48" s="368"/>
      <c r="GR48" s="368"/>
      <c r="GS48" s="368"/>
      <c r="GT48" s="368"/>
      <c r="GU48" s="368"/>
      <c r="GV48" s="368"/>
      <c r="GW48" s="368"/>
      <c r="GX48" s="368"/>
      <c r="GY48" s="368"/>
      <c r="GZ48" s="368"/>
      <c r="HA48" s="368"/>
      <c r="HB48" s="368"/>
      <c r="HC48" s="368"/>
      <c r="HD48" s="368"/>
      <c r="HE48" s="368"/>
      <c r="HF48" s="368"/>
      <c r="HG48" s="368"/>
      <c r="HH48" s="368"/>
      <c r="HI48" s="368"/>
      <c r="HJ48" s="368"/>
      <c r="HK48" s="368"/>
      <c r="HL48" s="368"/>
      <c r="HM48" s="368"/>
      <c r="HN48" s="368"/>
      <c r="HO48" s="368"/>
      <c r="HP48" s="368"/>
      <c r="HQ48" s="368"/>
      <c r="HR48" s="368"/>
      <c r="HS48" s="368"/>
      <c r="HT48" s="368"/>
      <c r="HU48" s="368"/>
      <c r="HV48" s="368"/>
      <c r="HW48" s="368"/>
      <c r="HX48" s="368"/>
      <c r="HY48" s="368"/>
      <c r="HZ48" s="368"/>
      <c r="IA48" s="368"/>
      <c r="IB48" s="368"/>
      <c r="IC48" s="368"/>
      <c r="ID48" s="368"/>
      <c r="IE48" s="368"/>
      <c r="IF48" s="368"/>
      <c r="IG48" s="368"/>
      <c r="IH48" s="368"/>
      <c r="II48" s="368"/>
      <c r="IJ48" s="368"/>
      <c r="IK48" s="368"/>
      <c r="IL48" s="368"/>
      <c r="IM48" s="368"/>
      <c r="IN48" s="368"/>
      <c r="IO48" s="368"/>
      <c r="IP48" s="368"/>
      <c r="IQ48" s="368"/>
      <c r="IR48" s="368"/>
      <c r="IS48" s="368"/>
      <c r="IT48" s="368"/>
      <c r="IU48" s="368"/>
    </row>
    <row r="49" spans="6:255" ht="20.149999999999999" customHeight="1">
      <c r="S49" s="875">
        <f t="shared" si="0"/>
        <v>0.30199999999999999</v>
      </c>
      <c r="T49" s="798">
        <v>12</v>
      </c>
      <c r="U49" s="796">
        <v>0.25</v>
      </c>
      <c r="V49" s="29">
        <v>0.33</v>
      </c>
      <c r="W49" s="29">
        <v>0.5</v>
      </c>
      <c r="X49" s="801">
        <v>1</v>
      </c>
      <c r="Y49" s="887">
        <v>2.8</v>
      </c>
      <c r="Z49" s="368"/>
      <c r="AA49" s="368"/>
      <c r="AB49" s="368"/>
      <c r="AC49" s="368"/>
      <c r="AD49" s="368"/>
      <c r="AE49" s="368"/>
      <c r="AF49" s="368"/>
      <c r="AG49" s="368"/>
      <c r="AH49" s="368"/>
      <c r="AI49" s="368"/>
      <c r="AJ49" s="368"/>
      <c r="AK49" s="368"/>
      <c r="AL49" s="368"/>
      <c r="AM49" s="368"/>
      <c r="AN49" s="368"/>
      <c r="AO49" s="368"/>
      <c r="AP49" s="368"/>
      <c r="AQ49" s="368"/>
      <c r="AR49" s="368"/>
      <c r="AS49" s="368"/>
      <c r="AT49" s="368"/>
      <c r="AU49" s="368"/>
      <c r="AV49" s="368"/>
      <c r="AW49" s="368"/>
      <c r="AX49" s="368"/>
      <c r="AY49" s="368"/>
      <c r="AZ49" s="368"/>
      <c r="BA49" s="368"/>
      <c r="BB49" s="368"/>
      <c r="BC49" s="368"/>
      <c r="BD49" s="368"/>
      <c r="BE49" s="368"/>
      <c r="BF49" s="368"/>
      <c r="BG49" s="368"/>
      <c r="BH49" s="368"/>
      <c r="BI49" s="368"/>
      <c r="BJ49" s="368"/>
      <c r="BK49" s="368"/>
      <c r="BL49" s="368"/>
      <c r="BM49" s="368"/>
      <c r="BN49" s="368"/>
      <c r="BO49" s="368"/>
      <c r="BP49" s="368"/>
      <c r="BQ49" s="368"/>
      <c r="BR49" s="368"/>
      <c r="BS49" s="368"/>
      <c r="BT49" s="368"/>
      <c r="BU49" s="368"/>
      <c r="BV49" s="368"/>
      <c r="BW49" s="368"/>
      <c r="BX49" s="368"/>
      <c r="BY49" s="368"/>
      <c r="BZ49" s="368"/>
      <c r="CA49" s="368"/>
      <c r="CB49" s="368"/>
      <c r="CC49" s="368"/>
      <c r="CD49" s="368"/>
      <c r="CE49" s="368"/>
      <c r="CF49" s="368"/>
      <c r="CG49" s="368"/>
      <c r="CH49" s="368"/>
      <c r="CI49" s="368"/>
      <c r="CJ49" s="368"/>
      <c r="CK49" s="368"/>
      <c r="CL49" s="368"/>
      <c r="CM49" s="368"/>
      <c r="CN49" s="368"/>
      <c r="CO49" s="368"/>
      <c r="CP49" s="368"/>
      <c r="CQ49" s="368"/>
      <c r="CR49" s="368"/>
      <c r="CS49" s="368"/>
      <c r="CT49" s="368"/>
      <c r="CU49" s="368"/>
      <c r="CV49" s="368"/>
      <c r="CW49" s="368"/>
      <c r="CX49" s="368"/>
      <c r="CY49" s="368"/>
      <c r="CZ49" s="368"/>
      <c r="DA49" s="368"/>
      <c r="DB49" s="368"/>
      <c r="DC49" s="368"/>
      <c r="DD49" s="368"/>
      <c r="DE49" s="368"/>
      <c r="DF49" s="368"/>
      <c r="DG49" s="368"/>
      <c r="DH49" s="368"/>
      <c r="DI49" s="368"/>
      <c r="DJ49" s="368"/>
      <c r="DK49" s="368"/>
      <c r="DL49" s="368"/>
      <c r="DM49" s="368"/>
      <c r="DN49" s="368"/>
      <c r="DO49" s="368"/>
      <c r="DP49" s="368"/>
      <c r="DQ49" s="368"/>
      <c r="DR49" s="368"/>
      <c r="DS49" s="368"/>
      <c r="DT49" s="368"/>
      <c r="DU49" s="368"/>
      <c r="DV49" s="368"/>
      <c r="DW49" s="368"/>
      <c r="DX49" s="368"/>
      <c r="DY49" s="368"/>
      <c r="DZ49" s="368"/>
      <c r="EA49" s="368"/>
      <c r="EB49" s="368"/>
      <c r="EC49" s="368"/>
      <c r="ED49" s="368"/>
      <c r="EE49" s="368"/>
      <c r="EF49" s="368"/>
      <c r="EG49" s="368"/>
      <c r="EH49" s="368"/>
      <c r="EI49" s="368"/>
      <c r="EJ49" s="368"/>
      <c r="EK49" s="368"/>
      <c r="EL49" s="368"/>
      <c r="EM49" s="368"/>
      <c r="EN49" s="368"/>
      <c r="EO49" s="368"/>
      <c r="EP49" s="368"/>
      <c r="EQ49" s="368"/>
      <c r="ER49" s="368"/>
      <c r="ES49" s="368"/>
      <c r="ET49" s="368"/>
      <c r="EU49" s="368"/>
      <c r="EV49" s="368"/>
      <c r="EW49" s="368"/>
      <c r="EX49" s="368"/>
      <c r="EY49" s="368"/>
      <c r="EZ49" s="368"/>
      <c r="FA49" s="368"/>
      <c r="FB49" s="368"/>
      <c r="FC49" s="368"/>
      <c r="FD49" s="368"/>
      <c r="FE49" s="368"/>
      <c r="FF49" s="368"/>
      <c r="FG49" s="368"/>
      <c r="FH49" s="368"/>
      <c r="FI49" s="368"/>
      <c r="FJ49" s="368"/>
      <c r="FK49" s="368"/>
      <c r="FL49" s="368"/>
      <c r="FM49" s="368"/>
      <c r="FN49" s="368"/>
      <c r="FO49" s="368"/>
      <c r="FP49" s="368"/>
      <c r="FQ49" s="368"/>
      <c r="FR49" s="368"/>
      <c r="FS49" s="368"/>
      <c r="FT49" s="368"/>
      <c r="FU49" s="368"/>
      <c r="FV49" s="368"/>
      <c r="FW49" s="368"/>
      <c r="FX49" s="368"/>
      <c r="FY49" s="368"/>
      <c r="FZ49" s="368"/>
      <c r="GA49" s="368"/>
      <c r="GB49" s="368"/>
      <c r="GC49" s="368"/>
      <c r="GD49" s="368"/>
      <c r="GE49" s="368"/>
      <c r="GF49" s="368"/>
      <c r="GG49" s="368"/>
      <c r="GH49" s="368"/>
      <c r="GI49" s="368"/>
      <c r="GJ49" s="368"/>
      <c r="GK49" s="368"/>
      <c r="GL49" s="368"/>
      <c r="GM49" s="368"/>
      <c r="GN49" s="368"/>
      <c r="GO49" s="368"/>
      <c r="GP49" s="368"/>
      <c r="GQ49" s="368"/>
      <c r="GR49" s="368"/>
      <c r="GS49" s="368"/>
      <c r="GT49" s="368"/>
      <c r="GU49" s="368"/>
      <c r="GV49" s="368"/>
      <c r="GW49" s="368"/>
      <c r="GX49" s="368"/>
      <c r="GY49" s="368"/>
      <c r="GZ49" s="368"/>
      <c r="HA49" s="368"/>
      <c r="HB49" s="368"/>
      <c r="HC49" s="368"/>
      <c r="HD49" s="368"/>
      <c r="HE49" s="368"/>
      <c r="HF49" s="368"/>
      <c r="HG49" s="368"/>
      <c r="HH49" s="368"/>
      <c r="HI49" s="368"/>
      <c r="HJ49" s="368"/>
      <c r="HK49" s="368"/>
      <c r="HL49" s="368"/>
      <c r="HM49" s="368"/>
      <c r="HN49" s="368"/>
      <c r="HO49" s="368"/>
      <c r="HP49" s="368"/>
      <c r="HQ49" s="368"/>
      <c r="HR49" s="368"/>
      <c r="HS49" s="368"/>
      <c r="HT49" s="368"/>
      <c r="HU49" s="368"/>
      <c r="HV49" s="368"/>
      <c r="HW49" s="368"/>
      <c r="HX49" s="368"/>
      <c r="HY49" s="368"/>
      <c r="HZ49" s="368"/>
      <c r="IA49" s="368"/>
      <c r="IB49" s="368"/>
      <c r="IC49" s="368"/>
      <c r="ID49" s="368"/>
      <c r="IE49" s="368"/>
      <c r="IF49" s="368"/>
      <c r="IG49" s="368"/>
      <c r="IH49" s="368"/>
      <c r="II49" s="368"/>
      <c r="IJ49" s="368"/>
      <c r="IK49" s="368"/>
      <c r="IL49" s="368"/>
      <c r="IM49" s="368"/>
      <c r="IN49" s="368"/>
      <c r="IO49" s="368"/>
      <c r="IP49" s="368"/>
      <c r="IQ49" s="368"/>
      <c r="IR49" s="368"/>
      <c r="IS49" s="368"/>
      <c r="IT49" s="368"/>
      <c r="IU49" s="368"/>
    </row>
    <row r="50" spans="6:255" ht="20.149999999999999" customHeight="1">
      <c r="F50" s="23"/>
      <c r="G50" s="23"/>
      <c r="H50" s="23"/>
      <c r="S50" s="875">
        <f t="shared" si="0"/>
        <v>0.2135</v>
      </c>
      <c r="T50" s="798">
        <v>13</v>
      </c>
      <c r="U50" s="796">
        <v>0.17699999999999999</v>
      </c>
      <c r="V50" s="29">
        <v>0.23</v>
      </c>
      <c r="W50" s="29">
        <v>0.35</v>
      </c>
      <c r="X50" s="31">
        <v>0.71</v>
      </c>
      <c r="Y50" s="887">
        <v>2</v>
      </c>
      <c r="Z50" s="368"/>
      <c r="AA50" s="368"/>
      <c r="AB50" s="368"/>
      <c r="AC50" s="368"/>
      <c r="AD50" s="368"/>
      <c r="AE50" s="368"/>
      <c r="AF50" s="368"/>
      <c r="AG50" s="368"/>
      <c r="AH50" s="368"/>
      <c r="AI50" s="368"/>
      <c r="AJ50" s="368"/>
      <c r="AK50" s="368"/>
      <c r="AL50" s="368"/>
      <c r="AM50" s="368"/>
      <c r="AN50" s="368"/>
      <c r="AO50" s="368"/>
      <c r="AP50" s="368"/>
      <c r="AQ50" s="368"/>
      <c r="AR50" s="368"/>
      <c r="AS50" s="368"/>
      <c r="AT50" s="368"/>
      <c r="AU50" s="368"/>
      <c r="AV50" s="368"/>
      <c r="AW50" s="368"/>
      <c r="AX50" s="368"/>
      <c r="AY50" s="368"/>
      <c r="AZ50" s="368"/>
      <c r="BA50" s="368"/>
      <c r="BB50" s="368"/>
      <c r="BC50" s="368"/>
      <c r="BD50" s="368"/>
      <c r="BE50" s="368"/>
      <c r="BF50" s="368"/>
      <c r="BG50" s="368"/>
      <c r="BH50" s="368"/>
      <c r="BI50" s="368"/>
      <c r="BJ50" s="368"/>
      <c r="BK50" s="368"/>
      <c r="BL50" s="368"/>
      <c r="BM50" s="368"/>
      <c r="BN50" s="368"/>
      <c r="BO50" s="368"/>
      <c r="BP50" s="368"/>
      <c r="BQ50" s="368"/>
      <c r="BR50" s="368"/>
      <c r="BS50" s="368"/>
      <c r="BT50" s="368"/>
      <c r="BU50" s="368"/>
      <c r="BV50" s="368"/>
      <c r="BW50" s="368"/>
      <c r="BX50" s="368"/>
      <c r="BY50" s="368"/>
      <c r="BZ50" s="368"/>
      <c r="CA50" s="368"/>
      <c r="CB50" s="368"/>
      <c r="CC50" s="368"/>
      <c r="CD50" s="368"/>
      <c r="CE50" s="368"/>
      <c r="CF50" s="368"/>
      <c r="CG50" s="368"/>
      <c r="CH50" s="368"/>
      <c r="CI50" s="368"/>
      <c r="CJ50" s="368"/>
      <c r="CK50" s="368"/>
      <c r="CL50" s="368"/>
      <c r="CM50" s="368"/>
      <c r="CN50" s="368"/>
      <c r="CO50" s="368"/>
      <c r="CP50" s="368"/>
      <c r="CQ50" s="368"/>
      <c r="CR50" s="368"/>
      <c r="CS50" s="368"/>
      <c r="CT50" s="368"/>
      <c r="CU50" s="368"/>
      <c r="CV50" s="368"/>
      <c r="CW50" s="368"/>
      <c r="CX50" s="368"/>
      <c r="CY50" s="368"/>
      <c r="CZ50" s="368"/>
      <c r="DA50" s="368"/>
      <c r="DB50" s="368"/>
      <c r="DC50" s="368"/>
      <c r="DD50" s="368"/>
      <c r="DE50" s="368"/>
      <c r="DF50" s="368"/>
      <c r="DG50" s="368"/>
      <c r="DH50" s="368"/>
      <c r="DI50" s="368"/>
      <c r="DJ50" s="368"/>
      <c r="DK50" s="368"/>
      <c r="DL50" s="368"/>
      <c r="DM50" s="368"/>
      <c r="DN50" s="368"/>
      <c r="DO50" s="368"/>
      <c r="DP50" s="368"/>
      <c r="DQ50" s="368"/>
      <c r="DR50" s="368"/>
      <c r="DS50" s="368"/>
      <c r="DT50" s="368"/>
      <c r="DU50" s="368"/>
      <c r="DV50" s="368"/>
      <c r="DW50" s="368"/>
      <c r="DX50" s="368"/>
      <c r="DY50" s="368"/>
      <c r="DZ50" s="368"/>
      <c r="EA50" s="368"/>
      <c r="EB50" s="368"/>
      <c r="EC50" s="368"/>
      <c r="ED50" s="368"/>
      <c r="EE50" s="368"/>
      <c r="EF50" s="368"/>
      <c r="EG50" s="368"/>
      <c r="EH50" s="368"/>
      <c r="EI50" s="368"/>
      <c r="EJ50" s="368"/>
      <c r="EK50" s="368"/>
      <c r="EL50" s="368"/>
      <c r="EM50" s="368"/>
      <c r="EN50" s="368"/>
      <c r="EO50" s="368"/>
      <c r="EP50" s="368"/>
      <c r="EQ50" s="368"/>
      <c r="ER50" s="368"/>
      <c r="ES50" s="368"/>
      <c r="ET50" s="368"/>
      <c r="EU50" s="368"/>
      <c r="EV50" s="368"/>
      <c r="EW50" s="368"/>
      <c r="EX50" s="368"/>
      <c r="EY50" s="368"/>
      <c r="EZ50" s="368"/>
      <c r="FA50" s="368"/>
      <c r="FB50" s="368"/>
      <c r="FC50" s="368"/>
      <c r="FD50" s="368"/>
      <c r="FE50" s="368"/>
      <c r="FF50" s="368"/>
      <c r="FG50" s="368"/>
      <c r="FH50" s="368"/>
      <c r="FI50" s="368"/>
      <c r="FJ50" s="368"/>
      <c r="FK50" s="368"/>
      <c r="FL50" s="368"/>
      <c r="FM50" s="368"/>
      <c r="FN50" s="368"/>
      <c r="FO50" s="368"/>
      <c r="FP50" s="368"/>
      <c r="FQ50" s="368"/>
      <c r="FR50" s="368"/>
      <c r="FS50" s="368"/>
      <c r="FT50" s="368"/>
      <c r="FU50" s="368"/>
      <c r="FV50" s="368"/>
      <c r="FW50" s="368"/>
      <c r="FX50" s="368"/>
      <c r="FY50" s="368"/>
      <c r="FZ50" s="368"/>
      <c r="GA50" s="368"/>
      <c r="GB50" s="368"/>
      <c r="GC50" s="368"/>
      <c r="GD50" s="368"/>
      <c r="GE50" s="368"/>
      <c r="GF50" s="368"/>
      <c r="GG50" s="368"/>
      <c r="GH50" s="368"/>
      <c r="GI50" s="368"/>
      <c r="GJ50" s="368"/>
      <c r="GK50" s="368"/>
      <c r="GL50" s="368"/>
      <c r="GM50" s="368"/>
      <c r="GN50" s="368"/>
      <c r="GO50" s="368"/>
      <c r="GP50" s="368"/>
      <c r="GQ50" s="368"/>
      <c r="GR50" s="368"/>
      <c r="GS50" s="368"/>
      <c r="GT50" s="368"/>
      <c r="GU50" s="368"/>
      <c r="GV50" s="368"/>
      <c r="GW50" s="368"/>
      <c r="GX50" s="368"/>
      <c r="GY50" s="368"/>
      <c r="GZ50" s="368"/>
      <c r="HA50" s="368"/>
      <c r="HB50" s="368"/>
      <c r="HC50" s="368"/>
      <c r="HD50" s="368"/>
      <c r="HE50" s="368"/>
      <c r="HF50" s="368"/>
      <c r="HG50" s="368"/>
      <c r="HH50" s="368"/>
      <c r="HI50" s="368"/>
      <c r="HJ50" s="368"/>
      <c r="HK50" s="368"/>
      <c r="HL50" s="368"/>
      <c r="HM50" s="368"/>
      <c r="HN50" s="368"/>
      <c r="HO50" s="368"/>
      <c r="HP50" s="368"/>
      <c r="HQ50" s="368"/>
      <c r="HR50" s="368"/>
      <c r="HS50" s="368"/>
      <c r="HT50" s="368"/>
      <c r="HU50" s="368"/>
      <c r="HV50" s="368"/>
      <c r="HW50" s="368"/>
      <c r="HX50" s="368"/>
      <c r="HY50" s="368"/>
      <c r="HZ50" s="368"/>
      <c r="IA50" s="368"/>
      <c r="IB50" s="368"/>
      <c r="IC50" s="368"/>
      <c r="ID50" s="368"/>
      <c r="IE50" s="368"/>
      <c r="IF50" s="368"/>
      <c r="IG50" s="368"/>
      <c r="IH50" s="368"/>
      <c r="II50" s="368"/>
      <c r="IJ50" s="368"/>
      <c r="IK50" s="368"/>
      <c r="IL50" s="368"/>
      <c r="IM50" s="368"/>
      <c r="IN50" s="368"/>
      <c r="IO50" s="368"/>
      <c r="IP50" s="368"/>
      <c r="IQ50" s="368"/>
      <c r="IR50" s="368"/>
      <c r="IS50" s="368"/>
      <c r="IT50" s="368"/>
      <c r="IU50" s="368"/>
    </row>
    <row r="51" spans="6:255" ht="20.149999999999999" customHeight="1" thickBot="1">
      <c r="F51" s="23"/>
      <c r="G51" s="23"/>
      <c r="H51" s="23"/>
      <c r="S51" s="875">
        <f t="shared" si="0"/>
        <v>0.151</v>
      </c>
      <c r="T51" s="799">
        <v>14</v>
      </c>
      <c r="U51" s="795">
        <v>0.125</v>
      </c>
      <c r="V51" s="888">
        <v>0.16</v>
      </c>
      <c r="W51" s="888">
        <v>0.25</v>
      </c>
      <c r="X51" s="889">
        <v>0.5</v>
      </c>
      <c r="Y51" s="800">
        <v>1.4</v>
      </c>
      <c r="Z51" s="368"/>
      <c r="AA51" s="368"/>
      <c r="AB51" s="368"/>
      <c r="AC51" s="368"/>
      <c r="AD51" s="368"/>
      <c r="AE51" s="368"/>
      <c r="AF51" s="368"/>
      <c r="AG51" s="368"/>
      <c r="AH51" s="368"/>
      <c r="AI51" s="368"/>
      <c r="AJ51" s="368"/>
      <c r="AK51" s="368"/>
      <c r="AL51" s="368"/>
      <c r="AM51" s="368"/>
      <c r="AN51" s="368"/>
      <c r="AO51" s="368"/>
      <c r="AP51" s="368"/>
      <c r="AQ51" s="368"/>
      <c r="AR51" s="368"/>
      <c r="AS51" s="368"/>
      <c r="AT51" s="368"/>
      <c r="AU51" s="368"/>
      <c r="AV51" s="368"/>
      <c r="AW51" s="368"/>
      <c r="AX51" s="368"/>
      <c r="AY51" s="368"/>
      <c r="AZ51" s="368"/>
      <c r="BA51" s="368"/>
      <c r="BB51" s="368"/>
      <c r="BC51" s="368"/>
      <c r="BD51" s="368"/>
      <c r="BE51" s="368"/>
      <c r="BF51" s="368"/>
      <c r="BG51" s="368"/>
      <c r="BH51" s="368"/>
      <c r="BI51" s="368"/>
      <c r="BJ51" s="368"/>
      <c r="BK51" s="368"/>
      <c r="BL51" s="368"/>
      <c r="BM51" s="368"/>
      <c r="BN51" s="368"/>
      <c r="BO51" s="368"/>
      <c r="BP51" s="368"/>
      <c r="BQ51" s="368"/>
      <c r="BR51" s="368"/>
      <c r="BS51" s="368"/>
      <c r="BT51" s="368"/>
      <c r="BU51" s="368"/>
      <c r="BV51" s="368"/>
      <c r="BW51" s="368"/>
      <c r="BX51" s="368"/>
      <c r="BY51" s="368"/>
      <c r="BZ51" s="368"/>
      <c r="CA51" s="368"/>
      <c r="CB51" s="368"/>
      <c r="CC51" s="368"/>
      <c r="CD51" s="368"/>
      <c r="CE51" s="368"/>
      <c r="CF51" s="368"/>
      <c r="CG51" s="368"/>
      <c r="CH51" s="368"/>
      <c r="CI51" s="368"/>
      <c r="CJ51" s="368"/>
      <c r="CK51" s="368"/>
      <c r="CL51" s="368"/>
      <c r="CM51" s="368"/>
      <c r="CN51" s="368"/>
      <c r="CO51" s="368"/>
      <c r="CP51" s="368"/>
      <c r="CQ51" s="368"/>
      <c r="CR51" s="368"/>
      <c r="CS51" s="368"/>
      <c r="CT51" s="368"/>
      <c r="CU51" s="368"/>
      <c r="CV51" s="368"/>
      <c r="CW51" s="368"/>
      <c r="CX51" s="368"/>
      <c r="CY51" s="368"/>
      <c r="CZ51" s="368"/>
      <c r="DA51" s="368"/>
      <c r="DB51" s="368"/>
      <c r="DC51" s="368"/>
      <c r="DD51" s="368"/>
      <c r="DE51" s="368"/>
      <c r="DF51" s="368"/>
      <c r="DG51" s="368"/>
      <c r="DH51" s="368"/>
      <c r="DI51" s="368"/>
      <c r="DJ51" s="368"/>
      <c r="DK51" s="368"/>
      <c r="DL51" s="368"/>
      <c r="DM51" s="368"/>
      <c r="DN51" s="368"/>
      <c r="DO51" s="368"/>
      <c r="DP51" s="368"/>
      <c r="DQ51" s="368"/>
      <c r="DR51" s="368"/>
      <c r="DS51" s="368"/>
      <c r="DT51" s="368"/>
      <c r="DU51" s="368"/>
      <c r="DV51" s="368"/>
      <c r="DW51" s="368"/>
      <c r="DX51" s="368"/>
      <c r="DY51" s="368"/>
      <c r="DZ51" s="368"/>
      <c r="EA51" s="368"/>
      <c r="EB51" s="368"/>
      <c r="EC51" s="368"/>
      <c r="ED51" s="368"/>
      <c r="EE51" s="368"/>
      <c r="EF51" s="368"/>
      <c r="EG51" s="368"/>
      <c r="EH51" s="368"/>
      <c r="EI51" s="368"/>
      <c r="EJ51" s="368"/>
      <c r="EK51" s="368"/>
      <c r="EL51" s="368"/>
      <c r="EM51" s="368"/>
      <c r="EN51" s="368"/>
      <c r="EO51" s="368"/>
      <c r="EP51" s="368"/>
      <c r="EQ51" s="368"/>
      <c r="ER51" s="368"/>
      <c r="ES51" s="368"/>
      <c r="ET51" s="368"/>
      <c r="EU51" s="368"/>
      <c r="EV51" s="368"/>
      <c r="EW51" s="368"/>
      <c r="EX51" s="368"/>
      <c r="EY51" s="368"/>
      <c r="EZ51" s="368"/>
      <c r="FA51" s="368"/>
      <c r="FB51" s="368"/>
      <c r="FC51" s="368"/>
      <c r="FD51" s="368"/>
      <c r="FE51" s="368"/>
      <c r="FF51" s="368"/>
      <c r="FG51" s="368"/>
      <c r="FH51" s="368"/>
      <c r="FI51" s="368"/>
      <c r="FJ51" s="368"/>
      <c r="FK51" s="368"/>
      <c r="FL51" s="368"/>
      <c r="FM51" s="368"/>
      <c r="FN51" s="368"/>
      <c r="FO51" s="368"/>
      <c r="FP51" s="368"/>
      <c r="FQ51" s="368"/>
      <c r="FR51" s="368"/>
      <c r="FS51" s="368"/>
      <c r="FT51" s="368"/>
      <c r="FU51" s="368"/>
      <c r="FV51" s="368"/>
      <c r="FW51" s="368"/>
      <c r="FX51" s="368"/>
      <c r="FY51" s="368"/>
      <c r="FZ51" s="368"/>
      <c r="GA51" s="368"/>
      <c r="GB51" s="368"/>
      <c r="GC51" s="368"/>
      <c r="GD51" s="368"/>
      <c r="GE51" s="368"/>
      <c r="GF51" s="368"/>
      <c r="GG51" s="368"/>
      <c r="GH51" s="368"/>
      <c r="GI51" s="368"/>
      <c r="GJ51" s="368"/>
      <c r="GK51" s="368"/>
      <c r="GL51" s="368"/>
      <c r="GM51" s="368"/>
      <c r="GN51" s="368"/>
      <c r="GO51" s="368"/>
      <c r="GP51" s="368"/>
      <c r="GQ51" s="368"/>
      <c r="GR51" s="368"/>
      <c r="GS51" s="368"/>
      <c r="GT51" s="368"/>
      <c r="GU51" s="368"/>
      <c r="GV51" s="368"/>
      <c r="GW51" s="368"/>
      <c r="GX51" s="368"/>
      <c r="GY51" s="368"/>
      <c r="GZ51" s="368"/>
      <c r="HA51" s="368"/>
      <c r="HB51" s="368"/>
      <c r="HC51" s="368"/>
      <c r="HD51" s="368"/>
      <c r="HE51" s="368"/>
      <c r="HF51" s="368"/>
      <c r="HG51" s="368"/>
      <c r="HH51" s="368"/>
      <c r="HI51" s="368"/>
      <c r="HJ51" s="368"/>
      <c r="HK51" s="368"/>
      <c r="HL51" s="368"/>
      <c r="HM51" s="368"/>
      <c r="HN51" s="368"/>
      <c r="HO51" s="368"/>
      <c r="HP51" s="368"/>
      <c r="HQ51" s="368"/>
      <c r="HR51" s="368"/>
      <c r="HS51" s="368"/>
      <c r="HT51" s="368"/>
      <c r="HU51" s="368"/>
      <c r="HV51" s="368"/>
      <c r="HW51" s="368"/>
      <c r="HX51" s="368"/>
      <c r="HY51" s="368"/>
      <c r="HZ51" s="368"/>
      <c r="IA51" s="368"/>
      <c r="IB51" s="368"/>
      <c r="IC51" s="368"/>
      <c r="ID51" s="368"/>
      <c r="IE51" s="368"/>
      <c r="IF51" s="368"/>
      <c r="IG51" s="368"/>
      <c r="IH51" s="368"/>
      <c r="II51" s="368"/>
      <c r="IJ51" s="368"/>
      <c r="IK51" s="368"/>
      <c r="IL51" s="368"/>
      <c r="IM51" s="368"/>
      <c r="IN51" s="368"/>
      <c r="IO51" s="368"/>
      <c r="IP51" s="368"/>
      <c r="IQ51" s="368"/>
      <c r="IR51" s="368"/>
      <c r="IS51" s="368"/>
      <c r="IT51" s="368"/>
      <c r="IU51" s="368"/>
    </row>
    <row r="52" spans="6:255" ht="20.149999999999999" customHeight="1">
      <c r="F52" s="23"/>
      <c r="G52" s="23"/>
      <c r="H52" s="23"/>
      <c r="Z52" s="368"/>
      <c r="AA52" s="368"/>
      <c r="AB52" s="368"/>
      <c r="AC52" s="368"/>
      <c r="AD52" s="368"/>
      <c r="AE52" s="368"/>
      <c r="AF52" s="368"/>
      <c r="AG52" s="368"/>
      <c r="AH52" s="368"/>
      <c r="AI52" s="368"/>
      <c r="AJ52" s="368"/>
      <c r="AK52" s="368"/>
      <c r="AL52" s="368"/>
      <c r="AM52" s="368"/>
      <c r="AN52" s="368"/>
      <c r="AO52" s="368"/>
      <c r="AP52" s="368"/>
      <c r="AQ52" s="368"/>
      <c r="AR52" s="368"/>
      <c r="AS52" s="368"/>
      <c r="AT52" s="368"/>
      <c r="AU52" s="368"/>
      <c r="AV52" s="368"/>
      <c r="AW52" s="368"/>
      <c r="AX52" s="368"/>
      <c r="AY52" s="368"/>
      <c r="AZ52" s="368"/>
      <c r="BA52" s="368"/>
      <c r="BB52" s="368"/>
      <c r="BC52" s="368"/>
      <c r="BD52" s="368"/>
      <c r="BE52" s="368"/>
      <c r="BF52" s="368"/>
      <c r="BG52" s="368"/>
      <c r="BH52" s="368"/>
      <c r="BI52" s="368"/>
      <c r="BJ52" s="368"/>
      <c r="BK52" s="368"/>
      <c r="BL52" s="368"/>
      <c r="BM52" s="368"/>
      <c r="BN52" s="368"/>
      <c r="BO52" s="368"/>
      <c r="BP52" s="368"/>
      <c r="BQ52" s="368"/>
      <c r="BR52" s="368"/>
      <c r="BS52" s="368"/>
      <c r="BT52" s="368"/>
      <c r="BU52" s="368"/>
      <c r="BV52" s="368"/>
      <c r="BW52" s="368"/>
      <c r="BX52" s="368"/>
      <c r="BY52" s="368"/>
      <c r="BZ52" s="368"/>
      <c r="CA52" s="368"/>
      <c r="CB52" s="368"/>
      <c r="CC52" s="368"/>
      <c r="CD52" s="368"/>
      <c r="CE52" s="368"/>
      <c r="CF52" s="368"/>
      <c r="CG52" s="368"/>
      <c r="CH52" s="368"/>
      <c r="CI52" s="368"/>
      <c r="CJ52" s="368"/>
      <c r="CK52" s="368"/>
      <c r="CL52" s="368"/>
      <c r="CM52" s="368"/>
      <c r="CN52" s="368"/>
      <c r="CO52" s="368"/>
      <c r="CP52" s="368"/>
      <c r="CQ52" s="368"/>
      <c r="CR52" s="368"/>
      <c r="CS52" s="368"/>
      <c r="CT52" s="368"/>
      <c r="CU52" s="368"/>
      <c r="CV52" s="368"/>
      <c r="CW52" s="368"/>
      <c r="CX52" s="368"/>
      <c r="CY52" s="368"/>
      <c r="CZ52" s="368"/>
      <c r="DA52" s="368"/>
      <c r="DB52" s="368"/>
      <c r="DC52" s="368"/>
      <c r="DD52" s="368"/>
      <c r="DE52" s="368"/>
      <c r="DF52" s="368"/>
      <c r="DG52" s="368"/>
      <c r="DH52" s="368"/>
      <c r="DI52" s="368"/>
      <c r="DJ52" s="368"/>
      <c r="DK52" s="368"/>
      <c r="DL52" s="368"/>
      <c r="DM52" s="368"/>
      <c r="DN52" s="368"/>
      <c r="DO52" s="368"/>
      <c r="DP52" s="368"/>
      <c r="DQ52" s="368"/>
      <c r="DR52" s="368"/>
      <c r="DS52" s="368"/>
      <c r="DT52" s="368"/>
      <c r="DU52" s="368"/>
      <c r="DV52" s="368"/>
      <c r="DW52" s="368"/>
      <c r="DX52" s="368"/>
      <c r="DY52" s="368"/>
      <c r="DZ52" s="368"/>
      <c r="EA52" s="368"/>
      <c r="EB52" s="368"/>
      <c r="EC52" s="368"/>
      <c r="ED52" s="368"/>
      <c r="EE52" s="368"/>
      <c r="EF52" s="368"/>
      <c r="EG52" s="368"/>
      <c r="EH52" s="368"/>
      <c r="EI52" s="368"/>
      <c r="EJ52" s="368"/>
      <c r="EK52" s="368"/>
      <c r="EL52" s="368"/>
      <c r="EM52" s="368"/>
      <c r="EN52" s="368"/>
      <c r="EO52" s="368"/>
      <c r="EP52" s="368"/>
      <c r="EQ52" s="368"/>
      <c r="ER52" s="368"/>
      <c r="ES52" s="368"/>
      <c r="ET52" s="368"/>
      <c r="EU52" s="368"/>
      <c r="EV52" s="368"/>
      <c r="EW52" s="368"/>
      <c r="EX52" s="368"/>
      <c r="EY52" s="368"/>
      <c r="EZ52" s="368"/>
      <c r="FA52" s="368"/>
      <c r="FB52" s="368"/>
      <c r="FC52" s="368"/>
      <c r="FD52" s="368"/>
      <c r="FE52" s="368"/>
      <c r="FF52" s="368"/>
      <c r="FG52" s="368"/>
      <c r="FH52" s="368"/>
      <c r="FI52" s="368"/>
      <c r="FJ52" s="368"/>
      <c r="FK52" s="368"/>
      <c r="FL52" s="368"/>
      <c r="FM52" s="368"/>
      <c r="FN52" s="368"/>
      <c r="FO52" s="368"/>
      <c r="FP52" s="368"/>
      <c r="FQ52" s="368"/>
      <c r="FR52" s="368"/>
      <c r="FS52" s="368"/>
      <c r="FT52" s="368"/>
      <c r="FU52" s="368"/>
      <c r="FV52" s="368"/>
      <c r="FW52" s="368"/>
      <c r="FX52" s="368"/>
      <c r="FY52" s="368"/>
      <c r="FZ52" s="368"/>
      <c r="GA52" s="368"/>
      <c r="GB52" s="368"/>
      <c r="GC52" s="368"/>
      <c r="GD52" s="368"/>
      <c r="GE52" s="368"/>
      <c r="GF52" s="368"/>
      <c r="GG52" s="368"/>
      <c r="GH52" s="368"/>
      <c r="GI52" s="368"/>
      <c r="GJ52" s="368"/>
      <c r="GK52" s="368"/>
      <c r="GL52" s="368"/>
      <c r="GM52" s="368"/>
      <c r="GN52" s="368"/>
      <c r="GO52" s="368"/>
      <c r="GP52" s="368"/>
      <c r="GQ52" s="368"/>
      <c r="GR52" s="368"/>
      <c r="GS52" s="368"/>
      <c r="GT52" s="368"/>
      <c r="GU52" s="368"/>
      <c r="GV52" s="368"/>
      <c r="GW52" s="368"/>
      <c r="GX52" s="368"/>
      <c r="GY52" s="368"/>
      <c r="GZ52" s="368"/>
      <c r="HA52" s="368"/>
      <c r="HB52" s="368"/>
      <c r="HC52" s="368"/>
      <c r="HD52" s="368"/>
      <c r="HE52" s="368"/>
      <c r="HF52" s="368"/>
      <c r="HG52" s="368"/>
      <c r="HH52" s="368"/>
      <c r="HI52" s="368"/>
      <c r="HJ52" s="368"/>
      <c r="HK52" s="368"/>
      <c r="HL52" s="368"/>
      <c r="HM52" s="368"/>
      <c r="HN52" s="368"/>
      <c r="HO52" s="368"/>
      <c r="HP52" s="368"/>
      <c r="HQ52" s="368"/>
      <c r="HR52" s="368"/>
      <c r="HS52" s="368"/>
      <c r="HT52" s="368"/>
      <c r="HU52" s="368"/>
      <c r="HV52" s="368"/>
      <c r="HW52" s="368"/>
      <c r="HX52" s="368"/>
      <c r="HY52" s="368"/>
      <c r="HZ52" s="368"/>
      <c r="IA52" s="368"/>
      <c r="IB52" s="368"/>
      <c r="IC52" s="368"/>
      <c r="ID52" s="368"/>
      <c r="IE52" s="368"/>
      <c r="IF52" s="368"/>
      <c r="IG52" s="368"/>
      <c r="IH52" s="368"/>
      <c r="II52" s="368"/>
      <c r="IJ52" s="368"/>
      <c r="IK52" s="368"/>
      <c r="IL52" s="368"/>
      <c r="IM52" s="368"/>
      <c r="IN52" s="368"/>
      <c r="IO52" s="368"/>
      <c r="IP52" s="368"/>
      <c r="IQ52" s="368"/>
      <c r="IR52" s="368"/>
      <c r="IS52" s="368"/>
      <c r="IT52" s="368"/>
      <c r="IU52" s="368"/>
    </row>
    <row r="53" spans="6:255" ht="20.149999999999999" customHeight="1">
      <c r="F53" s="23"/>
      <c r="G53" s="23"/>
      <c r="H53" s="23"/>
      <c r="Z53" s="368"/>
      <c r="AA53" s="368"/>
      <c r="AB53" s="368"/>
      <c r="AC53" s="368"/>
      <c r="AD53" s="368"/>
      <c r="AE53" s="368"/>
      <c r="AF53" s="368"/>
      <c r="AG53" s="368"/>
      <c r="AH53" s="368"/>
      <c r="AI53" s="368"/>
      <c r="AJ53" s="368"/>
      <c r="AK53" s="368"/>
      <c r="AL53" s="368"/>
      <c r="AM53" s="368"/>
      <c r="AN53" s="368"/>
      <c r="AO53" s="368"/>
      <c r="AP53" s="368"/>
      <c r="AQ53" s="368"/>
      <c r="AR53" s="368"/>
      <c r="AS53" s="368"/>
      <c r="AT53" s="368"/>
      <c r="AU53" s="368"/>
      <c r="AV53" s="368"/>
      <c r="AW53" s="368"/>
      <c r="AX53" s="368"/>
      <c r="AY53" s="368"/>
      <c r="AZ53" s="368"/>
      <c r="BA53" s="368"/>
      <c r="BB53" s="368"/>
      <c r="BC53" s="368"/>
      <c r="BD53" s="368"/>
      <c r="BE53" s="368"/>
      <c r="BF53" s="368"/>
      <c r="BG53" s="368"/>
      <c r="BH53" s="368"/>
      <c r="BI53" s="368"/>
      <c r="BJ53" s="368"/>
      <c r="BK53" s="368"/>
      <c r="BL53" s="368"/>
      <c r="BM53" s="368"/>
      <c r="BN53" s="368"/>
      <c r="BO53" s="368"/>
      <c r="BP53" s="368"/>
      <c r="BQ53" s="368"/>
      <c r="BR53" s="368"/>
      <c r="BS53" s="368"/>
      <c r="BT53" s="368"/>
      <c r="BU53" s="368"/>
      <c r="BV53" s="368"/>
      <c r="BW53" s="368"/>
      <c r="BX53" s="368"/>
      <c r="BY53" s="368"/>
      <c r="BZ53" s="368"/>
      <c r="CA53" s="368"/>
      <c r="CB53" s="368"/>
      <c r="CC53" s="368"/>
      <c r="CD53" s="368"/>
      <c r="CE53" s="368"/>
      <c r="CF53" s="368"/>
      <c r="CG53" s="368"/>
      <c r="CH53" s="368"/>
      <c r="CI53" s="368"/>
      <c r="CJ53" s="368"/>
      <c r="CK53" s="368"/>
      <c r="CL53" s="368"/>
      <c r="CM53" s="368"/>
      <c r="CN53" s="368"/>
      <c r="CO53" s="368"/>
      <c r="CP53" s="368"/>
      <c r="CQ53" s="368"/>
      <c r="CR53" s="368"/>
      <c r="CS53" s="368"/>
      <c r="CT53" s="368"/>
      <c r="CU53" s="368"/>
      <c r="CV53" s="368"/>
      <c r="CW53" s="368"/>
      <c r="CX53" s="368"/>
      <c r="CY53" s="368"/>
      <c r="CZ53" s="368"/>
      <c r="DA53" s="368"/>
      <c r="DB53" s="368"/>
      <c r="DC53" s="368"/>
      <c r="DD53" s="368"/>
      <c r="DE53" s="368"/>
      <c r="DF53" s="368"/>
      <c r="DG53" s="368"/>
      <c r="DH53" s="368"/>
      <c r="DI53" s="368"/>
      <c r="DJ53" s="368"/>
      <c r="DK53" s="368"/>
      <c r="DL53" s="368"/>
      <c r="DM53" s="368"/>
      <c r="DN53" s="368"/>
      <c r="DO53" s="368"/>
      <c r="DP53" s="368"/>
      <c r="DQ53" s="368"/>
      <c r="DR53" s="368"/>
      <c r="DS53" s="368"/>
      <c r="DT53" s="368"/>
      <c r="DU53" s="368"/>
      <c r="DV53" s="368"/>
      <c r="DW53" s="368"/>
      <c r="DX53" s="368"/>
      <c r="DY53" s="368"/>
      <c r="DZ53" s="368"/>
      <c r="EA53" s="368"/>
      <c r="EB53" s="368"/>
      <c r="EC53" s="368"/>
      <c r="ED53" s="368"/>
      <c r="EE53" s="368"/>
      <c r="EF53" s="368"/>
      <c r="EG53" s="368"/>
      <c r="EH53" s="368"/>
      <c r="EI53" s="368"/>
      <c r="EJ53" s="368"/>
      <c r="EK53" s="368"/>
      <c r="EL53" s="368"/>
      <c r="EM53" s="368"/>
      <c r="EN53" s="368"/>
      <c r="EO53" s="368"/>
      <c r="EP53" s="368"/>
      <c r="EQ53" s="368"/>
      <c r="ER53" s="368"/>
      <c r="ES53" s="368"/>
      <c r="ET53" s="368"/>
      <c r="EU53" s="368"/>
      <c r="EV53" s="368"/>
      <c r="EW53" s="368"/>
      <c r="EX53" s="368"/>
      <c r="EY53" s="368"/>
      <c r="EZ53" s="368"/>
      <c r="FA53" s="368"/>
      <c r="FB53" s="368"/>
      <c r="FC53" s="368"/>
      <c r="FD53" s="368"/>
      <c r="FE53" s="368"/>
      <c r="FF53" s="368"/>
      <c r="FG53" s="368"/>
      <c r="FH53" s="368"/>
      <c r="FI53" s="368"/>
      <c r="FJ53" s="368"/>
      <c r="FK53" s="368"/>
      <c r="FL53" s="368"/>
      <c r="FM53" s="368"/>
      <c r="FN53" s="368"/>
      <c r="FO53" s="368"/>
      <c r="FP53" s="368"/>
      <c r="FQ53" s="368"/>
      <c r="FR53" s="368"/>
      <c r="FS53" s="368"/>
      <c r="FT53" s="368"/>
      <c r="FU53" s="368"/>
      <c r="FV53" s="368"/>
      <c r="FW53" s="368"/>
      <c r="FX53" s="368"/>
      <c r="FY53" s="368"/>
      <c r="FZ53" s="368"/>
      <c r="GA53" s="368"/>
      <c r="GB53" s="368"/>
      <c r="GC53" s="368"/>
      <c r="GD53" s="368"/>
      <c r="GE53" s="368"/>
      <c r="GF53" s="368"/>
      <c r="GG53" s="368"/>
      <c r="GH53" s="368"/>
      <c r="GI53" s="368"/>
      <c r="GJ53" s="368"/>
      <c r="GK53" s="368"/>
      <c r="GL53" s="368"/>
      <c r="GM53" s="368"/>
      <c r="GN53" s="368"/>
      <c r="GO53" s="368"/>
      <c r="GP53" s="368"/>
      <c r="GQ53" s="368"/>
      <c r="GR53" s="368"/>
      <c r="GS53" s="368"/>
      <c r="GT53" s="368"/>
      <c r="GU53" s="368"/>
      <c r="GV53" s="368"/>
      <c r="GW53" s="368"/>
      <c r="GX53" s="368"/>
      <c r="GY53" s="368"/>
      <c r="GZ53" s="368"/>
      <c r="HA53" s="368"/>
      <c r="HB53" s="368"/>
      <c r="HC53" s="368"/>
      <c r="HD53" s="368"/>
      <c r="HE53" s="368"/>
      <c r="HF53" s="368"/>
      <c r="HG53" s="368"/>
      <c r="HH53" s="368"/>
      <c r="HI53" s="368"/>
      <c r="HJ53" s="368"/>
      <c r="HK53" s="368"/>
      <c r="HL53" s="368"/>
      <c r="HM53" s="368"/>
      <c r="HN53" s="368"/>
      <c r="HO53" s="368"/>
      <c r="HP53" s="368"/>
      <c r="HQ53" s="368"/>
      <c r="HR53" s="368"/>
      <c r="HS53" s="368"/>
      <c r="HT53" s="368"/>
      <c r="HU53" s="368"/>
      <c r="HV53" s="368"/>
      <c r="HW53" s="368"/>
      <c r="HX53" s="368"/>
      <c r="HY53" s="368"/>
      <c r="HZ53" s="368"/>
      <c r="IA53" s="368"/>
      <c r="IB53" s="368"/>
      <c r="IC53" s="368"/>
      <c r="ID53" s="368"/>
      <c r="IE53" s="368"/>
      <c r="IF53" s="368"/>
      <c r="IG53" s="368"/>
      <c r="IH53" s="368"/>
      <c r="II53" s="368"/>
      <c r="IJ53" s="368"/>
      <c r="IK53" s="368"/>
      <c r="IL53" s="368"/>
      <c r="IM53" s="368"/>
      <c r="IN53" s="368"/>
      <c r="IO53" s="368"/>
      <c r="IP53" s="368"/>
      <c r="IQ53" s="368"/>
      <c r="IR53" s="368"/>
      <c r="IS53" s="368"/>
      <c r="IT53" s="368"/>
      <c r="IU53" s="368"/>
    </row>
    <row r="54" spans="6:255" ht="20.149999999999999" customHeight="1">
      <c r="F54" s="23"/>
      <c r="G54" s="23"/>
      <c r="H54" s="23"/>
      <c r="Z54" s="368"/>
      <c r="AA54" s="368"/>
      <c r="AB54" s="368"/>
      <c r="AC54" s="368"/>
      <c r="AD54" s="368"/>
      <c r="AE54" s="368"/>
      <c r="AF54" s="368"/>
      <c r="AG54" s="368"/>
      <c r="AH54" s="368"/>
      <c r="AI54" s="368"/>
      <c r="AJ54" s="368"/>
      <c r="AK54" s="368"/>
      <c r="AL54" s="368"/>
      <c r="AM54" s="368"/>
      <c r="AN54" s="368"/>
      <c r="AO54" s="368"/>
      <c r="AP54" s="368"/>
      <c r="AQ54" s="368"/>
      <c r="AR54" s="368"/>
      <c r="AS54" s="368"/>
      <c r="AT54" s="368"/>
      <c r="AU54" s="368"/>
      <c r="AV54" s="368"/>
      <c r="AW54" s="368"/>
      <c r="AX54" s="368"/>
      <c r="AY54" s="368"/>
      <c r="AZ54" s="368"/>
      <c r="BA54" s="368"/>
      <c r="BB54" s="368"/>
      <c r="BC54" s="368"/>
      <c r="BD54" s="368"/>
      <c r="BE54" s="368"/>
      <c r="BF54" s="368"/>
      <c r="BG54" s="368"/>
      <c r="BH54" s="368"/>
      <c r="BI54" s="368"/>
      <c r="BJ54" s="368"/>
      <c r="BK54" s="368"/>
      <c r="BL54" s="368"/>
      <c r="BM54" s="368"/>
      <c r="BN54" s="368"/>
      <c r="BO54" s="368"/>
      <c r="BP54" s="368"/>
      <c r="BQ54" s="368"/>
      <c r="BR54" s="368"/>
      <c r="BS54" s="368"/>
      <c r="BT54" s="368"/>
      <c r="BU54" s="368"/>
      <c r="BV54" s="368"/>
      <c r="BW54" s="368"/>
      <c r="BX54" s="368"/>
      <c r="BY54" s="368"/>
      <c r="BZ54" s="368"/>
      <c r="CA54" s="368"/>
      <c r="CB54" s="368"/>
      <c r="CC54" s="368"/>
      <c r="CD54" s="368"/>
      <c r="CE54" s="368"/>
      <c r="CF54" s="368"/>
      <c r="CG54" s="368"/>
      <c r="CH54" s="368"/>
      <c r="CI54" s="368"/>
      <c r="CJ54" s="368"/>
      <c r="CK54" s="368"/>
      <c r="CL54" s="368"/>
      <c r="CM54" s="368"/>
      <c r="CN54" s="368"/>
      <c r="CO54" s="368"/>
      <c r="CP54" s="368"/>
      <c r="CQ54" s="368"/>
      <c r="CR54" s="368"/>
      <c r="CS54" s="368"/>
      <c r="CT54" s="368"/>
      <c r="CU54" s="368"/>
      <c r="CV54" s="368"/>
      <c r="CW54" s="368"/>
      <c r="CX54" s="368"/>
      <c r="CY54" s="368"/>
      <c r="CZ54" s="368"/>
      <c r="DA54" s="368"/>
      <c r="DB54" s="368"/>
      <c r="DC54" s="368"/>
      <c r="DD54" s="368"/>
      <c r="DE54" s="368"/>
      <c r="DF54" s="368"/>
      <c r="DG54" s="368"/>
      <c r="DH54" s="368"/>
      <c r="DI54" s="368"/>
      <c r="DJ54" s="368"/>
      <c r="DK54" s="368"/>
      <c r="DL54" s="368"/>
      <c r="DM54" s="368"/>
      <c r="DN54" s="368"/>
      <c r="DO54" s="368"/>
      <c r="DP54" s="368"/>
      <c r="DQ54" s="368"/>
      <c r="DR54" s="368"/>
      <c r="DS54" s="368"/>
      <c r="DT54" s="368"/>
      <c r="DU54" s="368"/>
      <c r="DV54" s="368"/>
      <c r="DW54" s="368"/>
      <c r="DX54" s="368"/>
      <c r="DY54" s="368"/>
      <c r="DZ54" s="368"/>
      <c r="EA54" s="368"/>
      <c r="EB54" s="368"/>
      <c r="EC54" s="368"/>
      <c r="ED54" s="368"/>
      <c r="EE54" s="368"/>
      <c r="EF54" s="368"/>
      <c r="EG54" s="368"/>
      <c r="EH54" s="368"/>
      <c r="EI54" s="368"/>
      <c r="EJ54" s="368"/>
      <c r="EK54" s="368"/>
      <c r="EL54" s="368"/>
      <c r="EM54" s="368"/>
      <c r="EN54" s="368"/>
      <c r="EO54" s="368"/>
      <c r="EP54" s="368"/>
      <c r="EQ54" s="368"/>
      <c r="ER54" s="368"/>
      <c r="ES54" s="368"/>
      <c r="ET54" s="368"/>
      <c r="EU54" s="368"/>
      <c r="EV54" s="368"/>
      <c r="EW54" s="368"/>
      <c r="EX54" s="368"/>
      <c r="EY54" s="368"/>
      <c r="EZ54" s="368"/>
      <c r="FA54" s="368"/>
      <c r="FB54" s="368"/>
      <c r="FC54" s="368"/>
      <c r="FD54" s="368"/>
      <c r="FE54" s="368"/>
      <c r="FF54" s="368"/>
      <c r="FG54" s="368"/>
      <c r="FH54" s="368"/>
      <c r="FI54" s="368"/>
      <c r="FJ54" s="368"/>
      <c r="FK54" s="368"/>
      <c r="FL54" s="368"/>
      <c r="FM54" s="368"/>
      <c r="FN54" s="368"/>
      <c r="FO54" s="368"/>
      <c r="FP54" s="368"/>
      <c r="FQ54" s="368"/>
      <c r="FR54" s="368"/>
      <c r="FS54" s="368"/>
      <c r="FT54" s="368"/>
      <c r="FU54" s="368"/>
      <c r="FV54" s="368"/>
      <c r="FW54" s="368"/>
      <c r="FX54" s="368"/>
      <c r="FY54" s="368"/>
      <c r="FZ54" s="368"/>
      <c r="GA54" s="368"/>
      <c r="GB54" s="368"/>
      <c r="GC54" s="368"/>
      <c r="GD54" s="368"/>
      <c r="GE54" s="368"/>
      <c r="GF54" s="368"/>
      <c r="GG54" s="368"/>
      <c r="GH54" s="368"/>
      <c r="GI54" s="368"/>
      <c r="GJ54" s="368"/>
      <c r="GK54" s="368"/>
      <c r="GL54" s="368"/>
      <c r="GM54" s="368"/>
      <c r="GN54" s="368"/>
      <c r="GO54" s="368"/>
      <c r="GP54" s="368"/>
      <c r="GQ54" s="368"/>
      <c r="GR54" s="368"/>
      <c r="GS54" s="368"/>
      <c r="GT54" s="368"/>
      <c r="GU54" s="368"/>
      <c r="GV54" s="368"/>
      <c r="GW54" s="368"/>
      <c r="GX54" s="368"/>
      <c r="GY54" s="368"/>
      <c r="GZ54" s="368"/>
      <c r="HA54" s="368"/>
      <c r="HB54" s="368"/>
      <c r="HC54" s="368"/>
      <c r="HD54" s="368"/>
      <c r="HE54" s="368"/>
      <c r="HF54" s="368"/>
      <c r="HG54" s="368"/>
      <c r="HH54" s="368"/>
      <c r="HI54" s="368"/>
      <c r="HJ54" s="368"/>
      <c r="HK54" s="368"/>
      <c r="HL54" s="368"/>
      <c r="HM54" s="368"/>
      <c r="HN54" s="368"/>
      <c r="HO54" s="368"/>
      <c r="HP54" s="368"/>
      <c r="HQ54" s="368"/>
      <c r="HR54" s="368"/>
      <c r="HS54" s="368"/>
      <c r="HT54" s="368"/>
      <c r="HU54" s="368"/>
      <c r="HV54" s="368"/>
      <c r="HW54" s="368"/>
      <c r="HX54" s="368"/>
      <c r="HY54" s="368"/>
      <c r="HZ54" s="368"/>
      <c r="IA54" s="368"/>
      <c r="IB54" s="368"/>
      <c r="IC54" s="368"/>
      <c r="ID54" s="368"/>
      <c r="IE54" s="368"/>
      <c r="IF54" s="368"/>
      <c r="IG54" s="368"/>
      <c r="IH54" s="368"/>
      <c r="II54" s="368"/>
      <c r="IJ54" s="368"/>
      <c r="IK54" s="368"/>
      <c r="IL54" s="368"/>
      <c r="IM54" s="368"/>
      <c r="IN54" s="368"/>
      <c r="IO54" s="368"/>
      <c r="IP54" s="368"/>
      <c r="IQ54" s="368"/>
      <c r="IR54" s="368"/>
      <c r="IS54" s="368"/>
      <c r="IT54" s="368"/>
      <c r="IU54" s="368"/>
    </row>
    <row r="55" spans="6:255" ht="20.149999999999999" customHeight="1">
      <c r="F55" s="23"/>
      <c r="G55" s="23"/>
      <c r="H55" s="23"/>
      <c r="Z55" s="368"/>
      <c r="AA55" s="368"/>
      <c r="AB55" s="368"/>
      <c r="AC55" s="368"/>
      <c r="AD55" s="368"/>
      <c r="AE55" s="368"/>
      <c r="AF55" s="368"/>
      <c r="AG55" s="368"/>
      <c r="AH55" s="368"/>
      <c r="AI55" s="368"/>
      <c r="AJ55" s="368"/>
      <c r="AK55" s="368"/>
      <c r="AL55" s="368"/>
      <c r="AM55" s="368"/>
      <c r="AN55" s="368"/>
      <c r="AO55" s="368"/>
      <c r="AP55" s="368"/>
      <c r="AQ55" s="368"/>
      <c r="AR55" s="368"/>
      <c r="AS55" s="368"/>
      <c r="AT55" s="368"/>
      <c r="AU55" s="368"/>
      <c r="AV55" s="368"/>
      <c r="AW55" s="368"/>
      <c r="AX55" s="368"/>
      <c r="AY55" s="368"/>
      <c r="AZ55" s="368"/>
      <c r="BA55" s="368"/>
      <c r="BB55" s="368"/>
      <c r="BC55" s="368"/>
      <c r="BD55" s="368"/>
      <c r="BE55" s="368"/>
      <c r="BF55" s="368"/>
      <c r="BG55" s="368"/>
      <c r="BH55" s="368"/>
      <c r="BI55" s="368"/>
      <c r="BJ55" s="368"/>
      <c r="BK55" s="368"/>
      <c r="BL55" s="368"/>
      <c r="BM55" s="368"/>
      <c r="BN55" s="368"/>
      <c r="BO55" s="368"/>
      <c r="BP55" s="368"/>
      <c r="BQ55" s="368"/>
      <c r="BR55" s="368"/>
      <c r="BS55" s="368"/>
      <c r="BT55" s="368"/>
      <c r="BU55" s="368"/>
      <c r="BV55" s="368"/>
      <c r="BW55" s="368"/>
      <c r="BX55" s="368"/>
      <c r="BY55" s="368"/>
      <c r="BZ55" s="368"/>
      <c r="CA55" s="368"/>
      <c r="CB55" s="368"/>
      <c r="CC55" s="368"/>
      <c r="CD55" s="368"/>
      <c r="CE55" s="368"/>
      <c r="CF55" s="368"/>
      <c r="CG55" s="368"/>
      <c r="CH55" s="368"/>
      <c r="CI55" s="368"/>
      <c r="CJ55" s="368"/>
      <c r="CK55" s="368"/>
      <c r="CL55" s="368"/>
      <c r="CM55" s="368"/>
      <c r="CN55" s="368"/>
      <c r="CO55" s="368"/>
      <c r="CP55" s="368"/>
      <c r="CQ55" s="368"/>
      <c r="CR55" s="368"/>
      <c r="CS55" s="368"/>
      <c r="CT55" s="368"/>
      <c r="CU55" s="368"/>
      <c r="CV55" s="368"/>
      <c r="CW55" s="368"/>
      <c r="CX55" s="368"/>
      <c r="CY55" s="368"/>
      <c r="CZ55" s="368"/>
      <c r="DA55" s="368"/>
      <c r="DB55" s="368"/>
      <c r="DC55" s="368"/>
      <c r="DD55" s="368"/>
      <c r="DE55" s="368"/>
      <c r="DF55" s="368"/>
      <c r="DG55" s="368"/>
      <c r="DH55" s="368"/>
      <c r="DI55" s="368"/>
      <c r="DJ55" s="368"/>
      <c r="DK55" s="368"/>
      <c r="DL55" s="368"/>
      <c r="DM55" s="368"/>
      <c r="DN55" s="368"/>
      <c r="DO55" s="368"/>
      <c r="DP55" s="368"/>
      <c r="DQ55" s="368"/>
      <c r="DR55" s="368"/>
      <c r="DS55" s="368"/>
      <c r="DT55" s="368"/>
      <c r="DU55" s="368"/>
      <c r="DV55" s="368"/>
      <c r="DW55" s="368"/>
      <c r="DX55" s="368"/>
      <c r="DY55" s="368"/>
      <c r="DZ55" s="368"/>
      <c r="EA55" s="368"/>
      <c r="EB55" s="368"/>
      <c r="EC55" s="368"/>
      <c r="ED55" s="368"/>
      <c r="EE55" s="368"/>
      <c r="EF55" s="368"/>
      <c r="EG55" s="368"/>
      <c r="EH55" s="368"/>
      <c r="EI55" s="368"/>
      <c r="EJ55" s="368"/>
      <c r="EK55" s="368"/>
      <c r="EL55" s="368"/>
      <c r="EM55" s="368"/>
      <c r="EN55" s="368"/>
      <c r="EO55" s="368"/>
      <c r="EP55" s="368"/>
      <c r="EQ55" s="368"/>
      <c r="ER55" s="368"/>
      <c r="ES55" s="368"/>
      <c r="ET55" s="368"/>
      <c r="EU55" s="368"/>
      <c r="EV55" s="368"/>
      <c r="EW55" s="368"/>
      <c r="EX55" s="368"/>
      <c r="EY55" s="368"/>
      <c r="EZ55" s="368"/>
      <c r="FA55" s="368"/>
      <c r="FB55" s="368"/>
      <c r="FC55" s="368"/>
      <c r="FD55" s="368"/>
      <c r="FE55" s="368"/>
      <c r="FF55" s="368"/>
      <c r="FG55" s="368"/>
      <c r="FH55" s="368"/>
      <c r="FI55" s="368"/>
      <c r="FJ55" s="368"/>
      <c r="FK55" s="368"/>
      <c r="FL55" s="368"/>
      <c r="FM55" s="368"/>
      <c r="FN55" s="368"/>
      <c r="FO55" s="368"/>
      <c r="FP55" s="368"/>
      <c r="FQ55" s="368"/>
      <c r="FR55" s="368"/>
      <c r="FS55" s="368"/>
      <c r="FT55" s="368"/>
      <c r="FU55" s="368"/>
      <c r="FV55" s="368"/>
      <c r="FW55" s="368"/>
      <c r="FX55" s="368"/>
      <c r="FY55" s="368"/>
      <c r="FZ55" s="368"/>
      <c r="GA55" s="368"/>
      <c r="GB55" s="368"/>
      <c r="GC55" s="368"/>
      <c r="GD55" s="368"/>
      <c r="GE55" s="368"/>
      <c r="GF55" s="368"/>
      <c r="GG55" s="368"/>
      <c r="GH55" s="368"/>
      <c r="GI55" s="368"/>
      <c r="GJ55" s="368"/>
      <c r="GK55" s="368"/>
      <c r="GL55" s="368"/>
      <c r="GM55" s="368"/>
      <c r="GN55" s="368"/>
      <c r="GO55" s="368"/>
      <c r="GP55" s="368"/>
      <c r="GQ55" s="368"/>
      <c r="GR55" s="368"/>
      <c r="GS55" s="368"/>
      <c r="GT55" s="368"/>
      <c r="GU55" s="368"/>
      <c r="GV55" s="368"/>
      <c r="GW55" s="368"/>
      <c r="GX55" s="368"/>
      <c r="GY55" s="368"/>
      <c r="GZ55" s="368"/>
      <c r="HA55" s="368"/>
      <c r="HB55" s="368"/>
      <c r="HC55" s="368"/>
      <c r="HD55" s="368"/>
      <c r="HE55" s="368"/>
      <c r="HF55" s="368"/>
      <c r="HG55" s="368"/>
      <c r="HH55" s="368"/>
      <c r="HI55" s="368"/>
      <c r="HJ55" s="368"/>
      <c r="HK55" s="368"/>
      <c r="HL55" s="368"/>
      <c r="HM55" s="368"/>
      <c r="HN55" s="368"/>
      <c r="HO55" s="368"/>
      <c r="HP55" s="368"/>
      <c r="HQ55" s="368"/>
      <c r="HR55" s="368"/>
      <c r="HS55" s="368"/>
      <c r="HT55" s="368"/>
      <c r="HU55" s="368"/>
      <c r="HV55" s="368"/>
      <c r="HW55" s="368"/>
      <c r="HX55" s="368"/>
      <c r="HY55" s="368"/>
      <c r="HZ55" s="368"/>
      <c r="IA55" s="368"/>
      <c r="IB55" s="368"/>
      <c r="IC55" s="368"/>
      <c r="ID55" s="368"/>
      <c r="IE55" s="368"/>
      <c r="IF55" s="368"/>
      <c r="IG55" s="368"/>
      <c r="IH55" s="368"/>
      <c r="II55" s="368"/>
      <c r="IJ55" s="368"/>
      <c r="IK55" s="368"/>
      <c r="IL55" s="368"/>
      <c r="IM55" s="368"/>
      <c r="IN55" s="368"/>
      <c r="IO55" s="368"/>
      <c r="IP55" s="368"/>
      <c r="IQ55" s="368"/>
      <c r="IR55" s="368"/>
      <c r="IS55" s="368"/>
      <c r="IT55" s="368"/>
      <c r="IU55" s="368"/>
    </row>
    <row r="56" spans="6:255" ht="20.149999999999999" customHeight="1">
      <c r="F56" s="23"/>
      <c r="G56" s="23"/>
      <c r="H56" s="23"/>
      <c r="Z56" s="368"/>
      <c r="AA56" s="368"/>
      <c r="AB56" s="368"/>
      <c r="AC56" s="368"/>
      <c r="AD56" s="368"/>
      <c r="AE56" s="368"/>
      <c r="AF56" s="368"/>
      <c r="AG56" s="368"/>
      <c r="AH56" s="368"/>
      <c r="AI56" s="368"/>
      <c r="AJ56" s="368"/>
      <c r="AK56" s="368"/>
      <c r="AL56" s="368"/>
      <c r="AM56" s="368"/>
      <c r="AN56" s="368"/>
      <c r="AO56" s="368"/>
      <c r="AP56" s="368"/>
      <c r="AQ56" s="368"/>
      <c r="AR56" s="368"/>
      <c r="AS56" s="368"/>
      <c r="AT56" s="368"/>
      <c r="AU56" s="368"/>
      <c r="AV56" s="368"/>
      <c r="AW56" s="368"/>
      <c r="AX56" s="368"/>
      <c r="AY56" s="368"/>
      <c r="AZ56" s="368"/>
      <c r="BA56" s="368"/>
      <c r="BB56" s="368"/>
      <c r="BC56" s="368"/>
      <c r="BD56" s="368"/>
      <c r="BE56" s="368"/>
      <c r="BF56" s="368"/>
      <c r="BG56" s="368"/>
      <c r="BH56" s="368"/>
      <c r="BI56" s="368"/>
      <c r="BJ56" s="368"/>
      <c r="BK56" s="368"/>
      <c r="BL56" s="368"/>
      <c r="BM56" s="368"/>
      <c r="BN56" s="368"/>
      <c r="BO56" s="368"/>
      <c r="BP56" s="368"/>
      <c r="BQ56" s="368"/>
      <c r="BR56" s="368"/>
      <c r="BS56" s="368"/>
      <c r="BT56" s="368"/>
      <c r="BU56" s="368"/>
      <c r="BV56" s="368"/>
      <c r="BW56" s="368"/>
      <c r="BX56" s="368"/>
      <c r="BY56" s="368"/>
      <c r="BZ56" s="368"/>
      <c r="CA56" s="368"/>
      <c r="CB56" s="368"/>
      <c r="CC56" s="368"/>
      <c r="CD56" s="368"/>
      <c r="CE56" s="368"/>
      <c r="CF56" s="368"/>
      <c r="CG56" s="368"/>
      <c r="CH56" s="368"/>
      <c r="CI56" s="368"/>
      <c r="CJ56" s="368"/>
      <c r="CK56" s="368"/>
      <c r="CL56" s="368"/>
      <c r="CM56" s="368"/>
      <c r="CN56" s="368"/>
      <c r="CO56" s="368"/>
      <c r="CP56" s="368"/>
      <c r="CQ56" s="368"/>
      <c r="CR56" s="368"/>
      <c r="CS56" s="368"/>
      <c r="CT56" s="368"/>
      <c r="CU56" s="368"/>
      <c r="CV56" s="368"/>
      <c r="CW56" s="368"/>
      <c r="CX56" s="368"/>
      <c r="CY56" s="368"/>
      <c r="CZ56" s="368"/>
      <c r="DA56" s="368"/>
      <c r="DB56" s="368"/>
      <c r="DC56" s="368"/>
      <c r="DD56" s="368"/>
      <c r="DE56" s="368"/>
      <c r="DF56" s="368"/>
      <c r="DG56" s="368"/>
      <c r="DH56" s="368"/>
      <c r="DI56" s="368"/>
      <c r="DJ56" s="368"/>
      <c r="DK56" s="368"/>
      <c r="DL56" s="368"/>
      <c r="DM56" s="368"/>
      <c r="DN56" s="368"/>
      <c r="DO56" s="368"/>
      <c r="DP56" s="368"/>
      <c r="DQ56" s="368"/>
      <c r="DR56" s="368"/>
      <c r="DS56" s="368"/>
      <c r="DT56" s="368"/>
      <c r="DU56" s="368"/>
      <c r="DV56" s="368"/>
      <c r="DW56" s="368"/>
      <c r="DX56" s="368"/>
      <c r="DY56" s="368"/>
      <c r="DZ56" s="368"/>
      <c r="EA56" s="368"/>
      <c r="EB56" s="368"/>
      <c r="EC56" s="368"/>
      <c r="ED56" s="368"/>
      <c r="EE56" s="368"/>
      <c r="EF56" s="368"/>
      <c r="EG56" s="368"/>
      <c r="EH56" s="368"/>
      <c r="EI56" s="368"/>
      <c r="EJ56" s="368"/>
      <c r="EK56" s="368"/>
      <c r="EL56" s="368"/>
      <c r="EM56" s="368"/>
      <c r="EN56" s="368"/>
      <c r="EO56" s="368"/>
      <c r="EP56" s="368"/>
      <c r="EQ56" s="368"/>
      <c r="ER56" s="368"/>
      <c r="ES56" s="368"/>
      <c r="ET56" s="368"/>
      <c r="EU56" s="368"/>
      <c r="EV56" s="368"/>
      <c r="EW56" s="368"/>
      <c r="EX56" s="368"/>
      <c r="EY56" s="368"/>
      <c r="EZ56" s="368"/>
      <c r="FA56" s="368"/>
      <c r="FB56" s="368"/>
      <c r="FC56" s="368"/>
      <c r="FD56" s="368"/>
      <c r="FE56" s="368"/>
      <c r="FF56" s="368"/>
      <c r="FG56" s="368"/>
      <c r="FH56" s="368"/>
      <c r="FI56" s="368"/>
      <c r="FJ56" s="368"/>
      <c r="FK56" s="368"/>
      <c r="FL56" s="368"/>
      <c r="FM56" s="368"/>
      <c r="FN56" s="368"/>
      <c r="FO56" s="368"/>
      <c r="FP56" s="368"/>
      <c r="FQ56" s="368"/>
      <c r="FR56" s="368"/>
      <c r="FS56" s="368"/>
      <c r="FT56" s="368"/>
      <c r="FU56" s="368"/>
      <c r="FV56" s="368"/>
      <c r="FW56" s="368"/>
      <c r="FX56" s="368"/>
      <c r="FY56" s="368"/>
      <c r="FZ56" s="368"/>
      <c r="GA56" s="368"/>
      <c r="GB56" s="368"/>
      <c r="GC56" s="368"/>
      <c r="GD56" s="368"/>
      <c r="GE56" s="368"/>
      <c r="GF56" s="368"/>
      <c r="GG56" s="368"/>
      <c r="GH56" s="368"/>
      <c r="GI56" s="368"/>
      <c r="GJ56" s="368"/>
      <c r="GK56" s="368"/>
      <c r="GL56" s="368"/>
      <c r="GM56" s="368"/>
      <c r="GN56" s="368"/>
      <c r="GO56" s="368"/>
      <c r="GP56" s="368"/>
      <c r="GQ56" s="368"/>
      <c r="GR56" s="368"/>
      <c r="GS56" s="368"/>
      <c r="GT56" s="368"/>
      <c r="GU56" s="368"/>
      <c r="GV56" s="368"/>
      <c r="GW56" s="368"/>
      <c r="GX56" s="368"/>
      <c r="GY56" s="368"/>
      <c r="GZ56" s="368"/>
      <c r="HA56" s="368"/>
      <c r="HB56" s="368"/>
      <c r="HC56" s="368"/>
      <c r="HD56" s="368"/>
      <c r="HE56" s="368"/>
      <c r="HF56" s="368"/>
      <c r="HG56" s="368"/>
      <c r="HH56" s="368"/>
      <c r="HI56" s="368"/>
      <c r="HJ56" s="368"/>
      <c r="HK56" s="368"/>
      <c r="HL56" s="368"/>
      <c r="HM56" s="368"/>
      <c r="HN56" s="368"/>
      <c r="HO56" s="368"/>
      <c r="HP56" s="368"/>
      <c r="HQ56" s="368"/>
      <c r="HR56" s="368"/>
      <c r="HS56" s="368"/>
      <c r="HT56" s="368"/>
      <c r="HU56" s="368"/>
      <c r="HV56" s="368"/>
      <c r="HW56" s="368"/>
      <c r="HX56" s="368"/>
      <c r="HY56" s="368"/>
      <c r="HZ56" s="368"/>
      <c r="IA56" s="368"/>
      <c r="IB56" s="368"/>
      <c r="IC56" s="368"/>
      <c r="ID56" s="368"/>
      <c r="IE56" s="368"/>
      <c r="IF56" s="368"/>
      <c r="IG56" s="368"/>
      <c r="IH56" s="368"/>
      <c r="II56" s="368"/>
      <c r="IJ56" s="368"/>
      <c r="IK56" s="368"/>
      <c r="IL56" s="368"/>
      <c r="IM56" s="368"/>
      <c r="IN56" s="368"/>
      <c r="IO56" s="368"/>
      <c r="IP56" s="368"/>
      <c r="IQ56" s="368"/>
      <c r="IR56" s="368"/>
      <c r="IS56" s="368"/>
      <c r="IT56" s="368"/>
      <c r="IU56" s="368"/>
    </row>
    <row r="57" spans="6:255" ht="20.149999999999999" customHeight="1">
      <c r="F57" s="23"/>
      <c r="G57" s="23"/>
      <c r="H57" s="23"/>
      <c r="Z57" s="368"/>
      <c r="AA57" s="368"/>
      <c r="AB57" s="368"/>
      <c r="AC57" s="368"/>
      <c r="AD57" s="368"/>
      <c r="AE57" s="368"/>
      <c r="AF57" s="368"/>
      <c r="AG57" s="368"/>
      <c r="AH57" s="368"/>
      <c r="AI57" s="368"/>
      <c r="AJ57" s="368"/>
      <c r="AK57" s="368"/>
      <c r="AL57" s="368"/>
      <c r="AM57" s="368"/>
      <c r="AN57" s="368"/>
      <c r="AO57" s="368"/>
      <c r="AP57" s="368"/>
      <c r="AQ57" s="368"/>
      <c r="AR57" s="368"/>
      <c r="AS57" s="368"/>
      <c r="AT57" s="368"/>
      <c r="AU57" s="368"/>
      <c r="AV57" s="368"/>
      <c r="AW57" s="368"/>
      <c r="AX57" s="368"/>
      <c r="AY57" s="368"/>
      <c r="AZ57" s="368"/>
      <c r="BA57" s="368"/>
      <c r="BB57" s="368"/>
      <c r="BC57" s="368"/>
      <c r="BD57" s="368"/>
      <c r="BE57" s="368"/>
      <c r="BF57" s="368"/>
      <c r="BG57" s="368"/>
      <c r="BH57" s="368"/>
      <c r="BI57" s="368"/>
      <c r="BJ57" s="368"/>
      <c r="BK57" s="368"/>
      <c r="BL57" s="368"/>
      <c r="BM57" s="368"/>
      <c r="BN57" s="368"/>
      <c r="BO57" s="368"/>
      <c r="BP57" s="368"/>
      <c r="BQ57" s="368"/>
      <c r="BR57" s="368"/>
      <c r="BS57" s="368"/>
      <c r="BT57" s="368"/>
      <c r="BU57" s="368"/>
      <c r="BV57" s="368"/>
      <c r="BW57" s="368"/>
      <c r="BX57" s="368"/>
      <c r="BY57" s="368"/>
      <c r="BZ57" s="368"/>
      <c r="CA57" s="368"/>
      <c r="CB57" s="368"/>
      <c r="CC57" s="368"/>
      <c r="CD57" s="368"/>
      <c r="CE57" s="368"/>
      <c r="CF57" s="368"/>
      <c r="CG57" s="368"/>
      <c r="CH57" s="368"/>
      <c r="CI57" s="368"/>
      <c r="CJ57" s="368"/>
      <c r="CK57" s="368"/>
      <c r="CL57" s="368"/>
      <c r="CM57" s="368"/>
      <c r="CN57" s="368"/>
      <c r="CO57" s="368"/>
      <c r="CP57" s="368"/>
      <c r="CQ57" s="368"/>
      <c r="CR57" s="368"/>
      <c r="CS57" s="368"/>
      <c r="CT57" s="368"/>
      <c r="CU57" s="368"/>
      <c r="CV57" s="368"/>
      <c r="CW57" s="368"/>
      <c r="CX57" s="368"/>
      <c r="CY57" s="368"/>
      <c r="CZ57" s="368"/>
      <c r="DA57" s="368"/>
      <c r="DB57" s="368"/>
      <c r="DC57" s="368"/>
      <c r="DD57" s="368"/>
      <c r="DE57" s="368"/>
      <c r="DF57" s="368"/>
      <c r="DG57" s="368"/>
      <c r="DH57" s="368"/>
      <c r="DI57" s="368"/>
      <c r="DJ57" s="368"/>
      <c r="DK57" s="368"/>
      <c r="DL57" s="368"/>
      <c r="DM57" s="368"/>
      <c r="DN57" s="368"/>
      <c r="DO57" s="368"/>
      <c r="DP57" s="368"/>
      <c r="DQ57" s="368"/>
      <c r="DR57" s="368"/>
      <c r="DS57" s="368"/>
      <c r="DT57" s="368"/>
      <c r="DU57" s="368"/>
      <c r="DV57" s="368"/>
      <c r="DW57" s="368"/>
      <c r="DX57" s="368"/>
      <c r="DY57" s="368"/>
      <c r="DZ57" s="368"/>
      <c r="EA57" s="368"/>
      <c r="EB57" s="368"/>
      <c r="EC57" s="368"/>
      <c r="ED57" s="368"/>
      <c r="EE57" s="368"/>
      <c r="EF57" s="368"/>
      <c r="EG57" s="368"/>
      <c r="EH57" s="368"/>
      <c r="EI57" s="368"/>
      <c r="EJ57" s="368"/>
      <c r="EK57" s="368"/>
      <c r="EL57" s="368"/>
      <c r="EM57" s="368"/>
      <c r="EN57" s="368"/>
      <c r="EO57" s="368"/>
      <c r="EP57" s="368"/>
      <c r="EQ57" s="368"/>
      <c r="ER57" s="368"/>
      <c r="ES57" s="368"/>
      <c r="ET57" s="368"/>
      <c r="EU57" s="368"/>
      <c r="EV57" s="368"/>
      <c r="EW57" s="368"/>
      <c r="EX57" s="368"/>
      <c r="EY57" s="368"/>
      <c r="EZ57" s="368"/>
      <c r="FA57" s="368"/>
      <c r="FB57" s="368"/>
      <c r="FC57" s="368"/>
      <c r="FD57" s="368"/>
      <c r="FE57" s="368"/>
      <c r="FF57" s="368"/>
      <c r="FG57" s="368"/>
      <c r="FH57" s="368"/>
      <c r="FI57" s="368"/>
      <c r="FJ57" s="368"/>
      <c r="FK57" s="368"/>
      <c r="FL57" s="368"/>
      <c r="FM57" s="368"/>
      <c r="FN57" s="368"/>
      <c r="FO57" s="368"/>
      <c r="FP57" s="368"/>
      <c r="FQ57" s="368"/>
      <c r="FR57" s="368"/>
      <c r="FS57" s="368"/>
      <c r="FT57" s="368"/>
      <c r="FU57" s="368"/>
      <c r="FV57" s="368"/>
      <c r="FW57" s="368"/>
      <c r="FX57" s="368"/>
      <c r="FY57" s="368"/>
      <c r="FZ57" s="368"/>
      <c r="GA57" s="368"/>
      <c r="GB57" s="368"/>
      <c r="GC57" s="368"/>
      <c r="GD57" s="368"/>
      <c r="GE57" s="368"/>
      <c r="GF57" s="368"/>
      <c r="GG57" s="368"/>
      <c r="GH57" s="368"/>
      <c r="GI57" s="368"/>
      <c r="GJ57" s="368"/>
      <c r="GK57" s="368"/>
      <c r="GL57" s="368"/>
      <c r="GM57" s="368"/>
      <c r="GN57" s="368"/>
      <c r="GO57" s="368"/>
      <c r="GP57" s="368"/>
      <c r="GQ57" s="368"/>
      <c r="GR57" s="368"/>
      <c r="GS57" s="368"/>
      <c r="GT57" s="368"/>
      <c r="GU57" s="368"/>
      <c r="GV57" s="368"/>
      <c r="GW57" s="368"/>
      <c r="GX57" s="368"/>
      <c r="GY57" s="368"/>
      <c r="GZ57" s="368"/>
      <c r="HA57" s="368"/>
      <c r="HB57" s="368"/>
      <c r="HC57" s="368"/>
      <c r="HD57" s="368"/>
      <c r="HE57" s="368"/>
      <c r="HF57" s="368"/>
      <c r="HG57" s="368"/>
      <c r="HH57" s="368"/>
      <c r="HI57" s="368"/>
      <c r="HJ57" s="368"/>
      <c r="HK57" s="368"/>
      <c r="HL57" s="368"/>
      <c r="HM57" s="368"/>
      <c r="HN57" s="368"/>
      <c r="HO57" s="368"/>
      <c r="HP57" s="368"/>
      <c r="HQ57" s="368"/>
      <c r="HR57" s="368"/>
      <c r="HS57" s="368"/>
      <c r="HT57" s="368"/>
      <c r="HU57" s="368"/>
      <c r="HV57" s="368"/>
      <c r="HW57" s="368"/>
      <c r="HX57" s="368"/>
      <c r="HY57" s="368"/>
      <c r="HZ57" s="368"/>
      <c r="IA57" s="368"/>
      <c r="IB57" s="368"/>
      <c r="IC57" s="368"/>
      <c r="ID57" s="368"/>
      <c r="IE57" s="368"/>
      <c r="IF57" s="368"/>
      <c r="IG57" s="368"/>
      <c r="IH57" s="368"/>
      <c r="II57" s="368"/>
      <c r="IJ57" s="368"/>
      <c r="IK57" s="368"/>
      <c r="IL57" s="368"/>
      <c r="IM57" s="368"/>
      <c r="IN57" s="368"/>
      <c r="IO57" s="368"/>
      <c r="IP57" s="368"/>
      <c r="IQ57" s="368"/>
      <c r="IR57" s="368"/>
      <c r="IS57" s="368"/>
      <c r="IT57" s="368"/>
      <c r="IU57" s="368"/>
    </row>
    <row r="58" spans="6:255" ht="20.149999999999999" customHeight="1">
      <c r="F58" s="23"/>
      <c r="G58" s="23"/>
      <c r="H58" s="23"/>
      <c r="Z58" s="368"/>
      <c r="AA58" s="368"/>
      <c r="AB58" s="368"/>
      <c r="AC58" s="368"/>
      <c r="AD58" s="368"/>
      <c r="AE58" s="368"/>
      <c r="AF58" s="368"/>
      <c r="AG58" s="368"/>
      <c r="AH58" s="368"/>
      <c r="AI58" s="368"/>
      <c r="AJ58" s="368"/>
      <c r="AK58" s="368"/>
      <c r="AL58" s="368"/>
      <c r="AM58" s="368"/>
      <c r="AN58" s="368"/>
      <c r="AO58" s="368"/>
      <c r="AP58" s="368"/>
      <c r="AQ58" s="368"/>
      <c r="AR58" s="368"/>
      <c r="AS58" s="368"/>
      <c r="AT58" s="368"/>
      <c r="AU58" s="368"/>
      <c r="AV58" s="368"/>
      <c r="AW58" s="368"/>
      <c r="AX58" s="368"/>
      <c r="AY58" s="368"/>
      <c r="AZ58" s="368"/>
      <c r="BA58" s="368"/>
      <c r="BB58" s="368"/>
      <c r="BC58" s="368"/>
      <c r="BD58" s="368"/>
      <c r="BE58" s="368"/>
      <c r="BF58" s="368"/>
      <c r="BG58" s="368"/>
      <c r="BH58" s="368"/>
      <c r="BI58" s="368"/>
      <c r="BJ58" s="368"/>
      <c r="BK58" s="368"/>
      <c r="BL58" s="368"/>
      <c r="BM58" s="368"/>
      <c r="BN58" s="368"/>
      <c r="BO58" s="368"/>
      <c r="BP58" s="368"/>
      <c r="BQ58" s="368"/>
      <c r="BR58" s="368"/>
      <c r="BS58" s="368"/>
      <c r="BT58" s="368"/>
      <c r="BU58" s="368"/>
      <c r="BV58" s="368"/>
      <c r="BW58" s="368"/>
      <c r="BX58" s="368"/>
      <c r="BY58" s="368"/>
      <c r="BZ58" s="368"/>
      <c r="CA58" s="368"/>
      <c r="CB58" s="368"/>
      <c r="CC58" s="368"/>
      <c r="CD58" s="368"/>
      <c r="CE58" s="368"/>
      <c r="CF58" s="368"/>
      <c r="CG58" s="368"/>
      <c r="CH58" s="368"/>
      <c r="CI58" s="368"/>
      <c r="CJ58" s="368"/>
      <c r="CK58" s="368"/>
      <c r="CL58" s="368"/>
      <c r="CM58" s="368"/>
      <c r="CN58" s="368"/>
      <c r="CO58" s="368"/>
      <c r="CP58" s="368"/>
      <c r="CQ58" s="368"/>
      <c r="CR58" s="368"/>
      <c r="CS58" s="368"/>
      <c r="CT58" s="368"/>
      <c r="CU58" s="368"/>
      <c r="CV58" s="368"/>
      <c r="CW58" s="368"/>
      <c r="CX58" s="368"/>
      <c r="CY58" s="368"/>
      <c r="CZ58" s="368"/>
      <c r="DA58" s="368"/>
      <c r="DB58" s="368"/>
      <c r="DC58" s="368"/>
      <c r="DD58" s="368"/>
      <c r="DE58" s="368"/>
      <c r="DF58" s="368"/>
      <c r="DG58" s="368"/>
      <c r="DH58" s="368"/>
      <c r="DI58" s="368"/>
      <c r="DJ58" s="368"/>
      <c r="DK58" s="368"/>
      <c r="DL58" s="368"/>
      <c r="DM58" s="368"/>
      <c r="DN58" s="368"/>
      <c r="DO58" s="368"/>
      <c r="DP58" s="368"/>
      <c r="DQ58" s="368"/>
      <c r="DR58" s="368"/>
      <c r="DS58" s="368"/>
      <c r="DT58" s="368"/>
      <c r="DU58" s="368"/>
      <c r="DV58" s="368"/>
      <c r="DW58" s="368"/>
      <c r="DX58" s="368"/>
      <c r="DY58" s="368"/>
      <c r="DZ58" s="368"/>
      <c r="EA58" s="368"/>
      <c r="EB58" s="368"/>
      <c r="EC58" s="368"/>
      <c r="ED58" s="368"/>
      <c r="EE58" s="368"/>
      <c r="EF58" s="368"/>
      <c r="EG58" s="368"/>
      <c r="EH58" s="368"/>
      <c r="EI58" s="368"/>
      <c r="EJ58" s="368"/>
      <c r="EK58" s="368"/>
      <c r="EL58" s="368"/>
      <c r="EM58" s="368"/>
      <c r="EN58" s="368"/>
      <c r="EO58" s="368"/>
      <c r="EP58" s="368"/>
      <c r="EQ58" s="368"/>
      <c r="ER58" s="368"/>
      <c r="ES58" s="368"/>
      <c r="ET58" s="368"/>
      <c r="EU58" s="368"/>
      <c r="EV58" s="368"/>
      <c r="EW58" s="368"/>
      <c r="EX58" s="368"/>
      <c r="EY58" s="368"/>
      <c r="EZ58" s="368"/>
      <c r="FA58" s="368"/>
      <c r="FB58" s="368"/>
      <c r="FC58" s="368"/>
      <c r="FD58" s="368"/>
      <c r="FE58" s="368"/>
      <c r="FF58" s="368"/>
      <c r="FG58" s="368"/>
      <c r="FH58" s="368"/>
      <c r="FI58" s="368"/>
      <c r="FJ58" s="368"/>
      <c r="FK58" s="368"/>
      <c r="FL58" s="368"/>
      <c r="FM58" s="368"/>
      <c r="FN58" s="368"/>
      <c r="FO58" s="368"/>
      <c r="FP58" s="368"/>
      <c r="FQ58" s="368"/>
      <c r="FR58" s="368"/>
      <c r="FS58" s="368"/>
      <c r="FT58" s="368"/>
      <c r="FU58" s="368"/>
      <c r="FV58" s="368"/>
      <c r="FW58" s="368"/>
      <c r="FX58" s="368"/>
      <c r="FY58" s="368"/>
      <c r="FZ58" s="368"/>
      <c r="GA58" s="368"/>
      <c r="GB58" s="368"/>
      <c r="GC58" s="368"/>
      <c r="GD58" s="368"/>
      <c r="GE58" s="368"/>
      <c r="GF58" s="368"/>
      <c r="GG58" s="368"/>
      <c r="GH58" s="368"/>
      <c r="GI58" s="368"/>
      <c r="GJ58" s="368"/>
      <c r="GK58" s="368"/>
      <c r="GL58" s="368"/>
      <c r="GM58" s="368"/>
      <c r="GN58" s="368"/>
      <c r="GO58" s="368"/>
      <c r="GP58" s="368"/>
      <c r="GQ58" s="368"/>
      <c r="GR58" s="368"/>
      <c r="GS58" s="368"/>
      <c r="GT58" s="368"/>
      <c r="GU58" s="368"/>
      <c r="GV58" s="368"/>
      <c r="GW58" s="368"/>
      <c r="GX58" s="368"/>
      <c r="GY58" s="368"/>
      <c r="GZ58" s="368"/>
      <c r="HA58" s="368"/>
      <c r="HB58" s="368"/>
      <c r="HC58" s="368"/>
      <c r="HD58" s="368"/>
      <c r="HE58" s="368"/>
      <c r="HF58" s="368"/>
      <c r="HG58" s="368"/>
      <c r="HH58" s="368"/>
      <c r="HI58" s="368"/>
      <c r="HJ58" s="368"/>
      <c r="HK58" s="368"/>
      <c r="HL58" s="368"/>
      <c r="HM58" s="368"/>
      <c r="HN58" s="368"/>
      <c r="HO58" s="368"/>
      <c r="HP58" s="368"/>
      <c r="HQ58" s="368"/>
      <c r="HR58" s="368"/>
      <c r="HS58" s="368"/>
      <c r="HT58" s="368"/>
      <c r="HU58" s="368"/>
      <c r="HV58" s="368"/>
      <c r="HW58" s="368"/>
      <c r="HX58" s="368"/>
      <c r="HY58" s="368"/>
      <c r="HZ58" s="368"/>
      <c r="IA58" s="368"/>
      <c r="IB58" s="368"/>
      <c r="IC58" s="368"/>
      <c r="ID58" s="368"/>
      <c r="IE58" s="368"/>
      <c r="IF58" s="368"/>
      <c r="IG58" s="368"/>
      <c r="IH58" s="368"/>
      <c r="II58" s="368"/>
      <c r="IJ58" s="368"/>
      <c r="IK58" s="368"/>
      <c r="IL58" s="368"/>
      <c r="IM58" s="368"/>
      <c r="IN58" s="368"/>
      <c r="IO58" s="368"/>
      <c r="IP58" s="368"/>
      <c r="IQ58" s="368"/>
      <c r="IR58" s="368"/>
      <c r="IS58" s="368"/>
      <c r="IT58" s="368"/>
      <c r="IU58" s="368"/>
    </row>
    <row r="59" spans="6:255" ht="20.149999999999999" customHeight="1">
      <c r="F59" s="23"/>
      <c r="G59" s="23"/>
      <c r="H59" s="23"/>
      <c r="Z59" s="368"/>
      <c r="AA59" s="368"/>
      <c r="AB59" s="368"/>
      <c r="AC59" s="368"/>
      <c r="AD59" s="368"/>
      <c r="AE59" s="368"/>
      <c r="AF59" s="368"/>
      <c r="AG59" s="368"/>
      <c r="AH59" s="368"/>
      <c r="AI59" s="368"/>
      <c r="AJ59" s="368"/>
      <c r="AK59" s="368"/>
      <c r="AL59" s="368"/>
      <c r="AM59" s="368"/>
      <c r="AN59" s="368"/>
      <c r="AO59" s="368"/>
      <c r="AP59" s="368"/>
      <c r="AQ59" s="368"/>
      <c r="AR59" s="368"/>
      <c r="AS59" s="368"/>
      <c r="AT59" s="368"/>
      <c r="AU59" s="368"/>
      <c r="AV59" s="368"/>
      <c r="AW59" s="368"/>
      <c r="AX59" s="368"/>
      <c r="AY59" s="368"/>
      <c r="AZ59" s="368"/>
      <c r="BA59" s="368"/>
      <c r="BB59" s="368"/>
      <c r="BC59" s="368"/>
      <c r="BD59" s="368"/>
      <c r="BE59" s="368"/>
      <c r="BF59" s="368"/>
      <c r="BG59" s="368"/>
      <c r="BH59" s="368"/>
      <c r="BI59" s="368"/>
      <c r="BJ59" s="368"/>
      <c r="BK59" s="368"/>
      <c r="BL59" s="368"/>
      <c r="BM59" s="368"/>
      <c r="BN59" s="368"/>
      <c r="BO59" s="368"/>
      <c r="BP59" s="368"/>
      <c r="BQ59" s="368"/>
      <c r="BR59" s="368"/>
      <c r="BS59" s="368"/>
      <c r="BT59" s="368"/>
      <c r="BU59" s="368"/>
      <c r="BV59" s="368"/>
      <c r="BW59" s="368"/>
      <c r="BX59" s="368"/>
      <c r="BY59" s="368"/>
      <c r="BZ59" s="368"/>
      <c r="CA59" s="368"/>
      <c r="CB59" s="368"/>
      <c r="CC59" s="368"/>
      <c r="CD59" s="368"/>
      <c r="CE59" s="368"/>
      <c r="CF59" s="368"/>
      <c r="CG59" s="368"/>
      <c r="CH59" s="368"/>
      <c r="CI59" s="368"/>
      <c r="CJ59" s="368"/>
      <c r="CK59" s="368"/>
      <c r="CL59" s="368"/>
      <c r="CM59" s="368"/>
      <c r="CN59" s="368"/>
      <c r="CO59" s="368"/>
      <c r="CP59" s="368"/>
      <c r="CQ59" s="368"/>
      <c r="CR59" s="368"/>
      <c r="CS59" s="368"/>
      <c r="CT59" s="368"/>
      <c r="CU59" s="368"/>
      <c r="CV59" s="368"/>
      <c r="CW59" s="368"/>
      <c r="CX59" s="368"/>
      <c r="CY59" s="368"/>
      <c r="CZ59" s="368"/>
      <c r="DA59" s="368"/>
      <c r="DB59" s="368"/>
      <c r="DC59" s="368"/>
      <c r="DD59" s="368"/>
      <c r="DE59" s="368"/>
      <c r="DF59" s="368"/>
      <c r="DG59" s="368"/>
      <c r="DH59" s="368"/>
      <c r="DI59" s="368"/>
      <c r="DJ59" s="368"/>
      <c r="DK59" s="368"/>
      <c r="DL59" s="368"/>
      <c r="DM59" s="368"/>
      <c r="DN59" s="368"/>
      <c r="DO59" s="368"/>
      <c r="DP59" s="368"/>
      <c r="DQ59" s="368"/>
      <c r="DR59" s="368"/>
      <c r="DS59" s="368"/>
      <c r="DT59" s="368"/>
      <c r="DU59" s="368"/>
      <c r="DV59" s="368"/>
      <c r="DW59" s="368"/>
      <c r="DX59" s="368"/>
      <c r="DY59" s="368"/>
      <c r="DZ59" s="368"/>
      <c r="EA59" s="368"/>
      <c r="EB59" s="368"/>
      <c r="EC59" s="368"/>
      <c r="ED59" s="368"/>
      <c r="EE59" s="368"/>
      <c r="EF59" s="368"/>
      <c r="EG59" s="368"/>
      <c r="EH59" s="368"/>
      <c r="EI59" s="368"/>
      <c r="EJ59" s="368"/>
      <c r="EK59" s="368"/>
      <c r="EL59" s="368"/>
      <c r="EM59" s="368"/>
      <c r="EN59" s="368"/>
      <c r="EO59" s="368"/>
      <c r="EP59" s="368"/>
      <c r="EQ59" s="368"/>
      <c r="ER59" s="368"/>
      <c r="ES59" s="368"/>
      <c r="ET59" s="368"/>
      <c r="EU59" s="368"/>
      <c r="EV59" s="368"/>
      <c r="EW59" s="368"/>
      <c r="EX59" s="368"/>
      <c r="EY59" s="368"/>
      <c r="EZ59" s="368"/>
      <c r="FA59" s="368"/>
      <c r="FB59" s="368"/>
      <c r="FC59" s="368"/>
      <c r="FD59" s="368"/>
      <c r="FE59" s="368"/>
      <c r="FF59" s="368"/>
      <c r="FG59" s="368"/>
      <c r="FH59" s="368"/>
      <c r="FI59" s="368"/>
      <c r="FJ59" s="368"/>
      <c r="FK59" s="368"/>
      <c r="FL59" s="368"/>
      <c r="FM59" s="368"/>
      <c r="FN59" s="368"/>
      <c r="FO59" s="368"/>
      <c r="FP59" s="368"/>
      <c r="FQ59" s="368"/>
      <c r="FR59" s="368"/>
      <c r="FS59" s="368"/>
      <c r="FT59" s="368"/>
      <c r="FU59" s="368"/>
      <c r="FV59" s="368"/>
      <c r="FW59" s="368"/>
      <c r="FX59" s="368"/>
      <c r="FY59" s="368"/>
      <c r="FZ59" s="368"/>
      <c r="GA59" s="368"/>
      <c r="GB59" s="368"/>
      <c r="GC59" s="368"/>
      <c r="GD59" s="368"/>
      <c r="GE59" s="368"/>
      <c r="GF59" s="368"/>
      <c r="GG59" s="368"/>
      <c r="GH59" s="368"/>
      <c r="GI59" s="368"/>
      <c r="GJ59" s="368"/>
      <c r="GK59" s="368"/>
      <c r="GL59" s="368"/>
      <c r="GM59" s="368"/>
      <c r="GN59" s="368"/>
      <c r="GO59" s="368"/>
      <c r="GP59" s="368"/>
      <c r="GQ59" s="368"/>
      <c r="GR59" s="368"/>
      <c r="GS59" s="368"/>
      <c r="GT59" s="368"/>
      <c r="GU59" s="368"/>
      <c r="GV59" s="368"/>
      <c r="GW59" s="368"/>
      <c r="GX59" s="368"/>
      <c r="GY59" s="368"/>
      <c r="GZ59" s="368"/>
      <c r="HA59" s="368"/>
      <c r="HB59" s="368"/>
      <c r="HC59" s="368"/>
      <c r="HD59" s="368"/>
      <c r="HE59" s="368"/>
      <c r="HF59" s="368"/>
      <c r="HG59" s="368"/>
      <c r="HH59" s="368"/>
      <c r="HI59" s="368"/>
      <c r="HJ59" s="368"/>
      <c r="HK59" s="368"/>
      <c r="HL59" s="368"/>
      <c r="HM59" s="368"/>
      <c r="HN59" s="368"/>
      <c r="HO59" s="368"/>
      <c r="HP59" s="368"/>
      <c r="HQ59" s="368"/>
      <c r="HR59" s="368"/>
      <c r="HS59" s="368"/>
      <c r="HT59" s="368"/>
      <c r="HU59" s="368"/>
      <c r="HV59" s="368"/>
      <c r="HW59" s="368"/>
      <c r="HX59" s="368"/>
      <c r="HY59" s="368"/>
      <c r="HZ59" s="368"/>
      <c r="IA59" s="368"/>
      <c r="IB59" s="368"/>
      <c r="IC59" s="368"/>
      <c r="ID59" s="368"/>
      <c r="IE59" s="368"/>
      <c r="IF59" s="368"/>
      <c r="IG59" s="368"/>
      <c r="IH59" s="368"/>
      <c r="II59" s="368"/>
      <c r="IJ59" s="368"/>
      <c r="IK59" s="368"/>
      <c r="IL59" s="368"/>
      <c r="IM59" s="368"/>
      <c r="IN59" s="368"/>
      <c r="IO59" s="368"/>
      <c r="IP59" s="368"/>
      <c r="IQ59" s="368"/>
      <c r="IR59" s="368"/>
      <c r="IS59" s="368"/>
      <c r="IT59" s="368"/>
      <c r="IU59" s="368"/>
    </row>
    <row r="60" spans="6:255" ht="20.149999999999999" customHeight="1">
      <c r="F60" s="23"/>
      <c r="G60" s="23"/>
      <c r="H60" s="23"/>
      <c r="Z60" s="368"/>
      <c r="AA60" s="368"/>
      <c r="AB60" s="368"/>
      <c r="AC60" s="368"/>
      <c r="AD60" s="368"/>
      <c r="AE60" s="368"/>
      <c r="AF60" s="368"/>
      <c r="AG60" s="368"/>
      <c r="AH60" s="368"/>
      <c r="AI60" s="368"/>
      <c r="AJ60" s="368"/>
      <c r="AK60" s="368"/>
      <c r="AL60" s="368"/>
      <c r="AM60" s="368"/>
      <c r="AN60" s="368"/>
      <c r="AO60" s="368"/>
      <c r="AP60" s="368"/>
      <c r="AQ60" s="368"/>
      <c r="AR60" s="368"/>
      <c r="AS60" s="368"/>
      <c r="AT60" s="368"/>
      <c r="AU60" s="368"/>
      <c r="AV60" s="368"/>
      <c r="AW60" s="368"/>
      <c r="AX60" s="368"/>
      <c r="AY60" s="368"/>
      <c r="AZ60" s="368"/>
      <c r="BA60" s="368"/>
      <c r="BB60" s="368"/>
      <c r="BC60" s="368"/>
      <c r="BD60" s="368"/>
      <c r="BE60" s="368"/>
      <c r="BF60" s="368"/>
      <c r="BG60" s="368"/>
      <c r="BH60" s="368"/>
      <c r="BI60" s="368"/>
      <c r="BJ60" s="368"/>
      <c r="BK60" s="368"/>
      <c r="BL60" s="368"/>
      <c r="BM60" s="368"/>
      <c r="BN60" s="368"/>
      <c r="BO60" s="368"/>
      <c r="BP60" s="368"/>
      <c r="BQ60" s="368"/>
      <c r="BR60" s="368"/>
      <c r="BS60" s="368"/>
      <c r="BT60" s="368"/>
      <c r="BU60" s="368"/>
      <c r="BV60" s="368"/>
      <c r="BW60" s="368"/>
      <c r="BX60" s="368"/>
      <c r="BY60" s="368"/>
      <c r="BZ60" s="368"/>
      <c r="CA60" s="368"/>
      <c r="CB60" s="368"/>
      <c r="CC60" s="368"/>
      <c r="CD60" s="368"/>
      <c r="CE60" s="368"/>
      <c r="CF60" s="368"/>
      <c r="CG60" s="368"/>
      <c r="CH60" s="368"/>
      <c r="CI60" s="368"/>
      <c r="CJ60" s="368"/>
      <c r="CK60" s="368"/>
      <c r="CL60" s="368"/>
      <c r="CM60" s="368"/>
      <c r="CN60" s="368"/>
      <c r="CO60" s="368"/>
      <c r="CP60" s="368"/>
      <c r="CQ60" s="368"/>
      <c r="CR60" s="368"/>
      <c r="CS60" s="368"/>
      <c r="CT60" s="368"/>
      <c r="CU60" s="368"/>
      <c r="CV60" s="368"/>
      <c r="CW60" s="368"/>
      <c r="CX60" s="368"/>
      <c r="CY60" s="368"/>
      <c r="CZ60" s="368"/>
      <c r="DA60" s="368"/>
      <c r="DB60" s="368"/>
      <c r="DC60" s="368"/>
      <c r="DD60" s="368"/>
      <c r="DE60" s="368"/>
      <c r="DF60" s="368"/>
      <c r="DG60" s="368"/>
      <c r="DH60" s="368"/>
      <c r="DI60" s="368"/>
      <c r="DJ60" s="368"/>
      <c r="DK60" s="368"/>
      <c r="DL60" s="368"/>
      <c r="DM60" s="368"/>
      <c r="DN60" s="368"/>
      <c r="DO60" s="368"/>
      <c r="DP60" s="368"/>
      <c r="DQ60" s="368"/>
      <c r="DR60" s="368"/>
      <c r="DS60" s="368"/>
      <c r="DT60" s="368"/>
      <c r="DU60" s="368"/>
      <c r="DV60" s="368"/>
      <c r="DW60" s="368"/>
      <c r="DX60" s="368"/>
      <c r="DY60" s="368"/>
      <c r="DZ60" s="368"/>
      <c r="EA60" s="368"/>
      <c r="EB60" s="368"/>
      <c r="EC60" s="368"/>
      <c r="ED60" s="368"/>
      <c r="EE60" s="368"/>
      <c r="EF60" s="368"/>
      <c r="EG60" s="368"/>
      <c r="EH60" s="368"/>
      <c r="EI60" s="368"/>
      <c r="EJ60" s="368"/>
      <c r="EK60" s="368"/>
      <c r="EL60" s="368"/>
      <c r="EM60" s="368"/>
      <c r="EN60" s="368"/>
      <c r="EO60" s="368"/>
      <c r="EP60" s="368"/>
      <c r="EQ60" s="368"/>
      <c r="ER60" s="368"/>
      <c r="ES60" s="368"/>
      <c r="ET60" s="368"/>
      <c r="EU60" s="368"/>
      <c r="EV60" s="368"/>
      <c r="EW60" s="368"/>
      <c r="EX60" s="368"/>
      <c r="EY60" s="368"/>
      <c r="EZ60" s="368"/>
      <c r="FA60" s="368"/>
      <c r="FB60" s="368"/>
      <c r="FC60" s="368"/>
      <c r="FD60" s="368"/>
      <c r="FE60" s="368"/>
      <c r="FF60" s="368"/>
      <c r="FG60" s="368"/>
      <c r="FH60" s="368"/>
      <c r="FI60" s="368"/>
      <c r="FJ60" s="368"/>
      <c r="FK60" s="368"/>
      <c r="FL60" s="368"/>
      <c r="FM60" s="368"/>
      <c r="FN60" s="368"/>
      <c r="FO60" s="368"/>
      <c r="FP60" s="368"/>
      <c r="FQ60" s="368"/>
      <c r="FR60" s="368"/>
      <c r="FS60" s="368"/>
      <c r="FT60" s="368"/>
      <c r="FU60" s="368"/>
      <c r="FV60" s="368"/>
      <c r="FW60" s="368"/>
      <c r="FX60" s="368"/>
      <c r="FY60" s="368"/>
      <c r="FZ60" s="368"/>
      <c r="GA60" s="368"/>
      <c r="GB60" s="368"/>
      <c r="GC60" s="368"/>
      <c r="GD60" s="368"/>
      <c r="GE60" s="368"/>
      <c r="GF60" s="368"/>
      <c r="GG60" s="368"/>
      <c r="GH60" s="368"/>
      <c r="GI60" s="368"/>
      <c r="GJ60" s="368"/>
      <c r="GK60" s="368"/>
      <c r="GL60" s="368"/>
      <c r="GM60" s="368"/>
      <c r="GN60" s="368"/>
      <c r="GO60" s="368"/>
      <c r="GP60" s="368"/>
      <c r="GQ60" s="368"/>
      <c r="GR60" s="368"/>
      <c r="GS60" s="368"/>
      <c r="GT60" s="368"/>
      <c r="GU60" s="368"/>
      <c r="GV60" s="368"/>
      <c r="GW60" s="368"/>
      <c r="GX60" s="368"/>
      <c r="GY60" s="368"/>
      <c r="GZ60" s="368"/>
      <c r="HA60" s="368"/>
      <c r="HB60" s="368"/>
      <c r="HC60" s="368"/>
      <c r="HD60" s="368"/>
      <c r="HE60" s="368"/>
      <c r="HF60" s="368"/>
      <c r="HG60" s="368"/>
      <c r="HH60" s="368"/>
      <c r="HI60" s="368"/>
      <c r="HJ60" s="368"/>
      <c r="HK60" s="368"/>
      <c r="HL60" s="368"/>
      <c r="HM60" s="368"/>
      <c r="HN60" s="368"/>
      <c r="HO60" s="368"/>
      <c r="HP60" s="368"/>
      <c r="HQ60" s="368"/>
      <c r="HR60" s="368"/>
      <c r="HS60" s="368"/>
      <c r="HT60" s="368"/>
      <c r="HU60" s="368"/>
      <c r="HV60" s="368"/>
      <c r="HW60" s="368"/>
      <c r="HX60" s="368"/>
      <c r="HY60" s="368"/>
      <c r="HZ60" s="368"/>
      <c r="IA60" s="368"/>
      <c r="IB60" s="368"/>
      <c r="IC60" s="368"/>
      <c r="ID60" s="368"/>
      <c r="IE60" s="368"/>
      <c r="IF60" s="368"/>
      <c r="IG60" s="368"/>
      <c r="IH60" s="368"/>
      <c r="II60" s="368"/>
      <c r="IJ60" s="368"/>
      <c r="IK60" s="368"/>
      <c r="IL60" s="368"/>
      <c r="IM60" s="368"/>
      <c r="IN60" s="368"/>
      <c r="IO60" s="368"/>
      <c r="IP60" s="368"/>
      <c r="IQ60" s="368"/>
      <c r="IR60" s="368"/>
      <c r="IS60" s="368"/>
      <c r="IT60" s="368"/>
      <c r="IU60" s="368"/>
    </row>
    <row r="61" spans="6:255" ht="20.149999999999999" customHeight="1">
      <c r="F61" s="23"/>
      <c r="G61" s="23"/>
      <c r="H61" s="23"/>
      <c r="Z61" s="368"/>
      <c r="AA61" s="368"/>
      <c r="AB61" s="368"/>
      <c r="AC61" s="368"/>
      <c r="AD61" s="368"/>
      <c r="AE61" s="368"/>
      <c r="AF61" s="368"/>
      <c r="AG61" s="368"/>
      <c r="AH61" s="368"/>
      <c r="AI61" s="368"/>
      <c r="AJ61" s="368"/>
      <c r="AK61" s="368"/>
      <c r="AL61" s="368"/>
      <c r="AM61" s="368"/>
      <c r="AN61" s="368"/>
      <c r="AO61" s="368"/>
      <c r="AP61" s="368"/>
      <c r="AQ61" s="368"/>
      <c r="AR61" s="368"/>
      <c r="AS61" s="368"/>
      <c r="AT61" s="368"/>
      <c r="AU61" s="368"/>
      <c r="AV61" s="368"/>
      <c r="AW61" s="368"/>
      <c r="AX61" s="368"/>
      <c r="AY61" s="368"/>
      <c r="AZ61" s="368"/>
      <c r="BA61" s="368"/>
      <c r="BB61" s="368"/>
      <c r="BC61" s="368"/>
      <c r="BD61" s="368"/>
      <c r="BE61" s="368"/>
      <c r="BF61" s="368"/>
      <c r="BG61" s="368"/>
      <c r="BH61" s="368"/>
      <c r="BI61" s="368"/>
      <c r="BJ61" s="368"/>
      <c r="BK61" s="368"/>
      <c r="BL61" s="368"/>
      <c r="BM61" s="368"/>
      <c r="BN61" s="368"/>
      <c r="BO61" s="368"/>
      <c r="BP61" s="368"/>
      <c r="BQ61" s="368"/>
      <c r="BR61" s="368"/>
      <c r="BS61" s="368"/>
      <c r="BT61" s="368"/>
      <c r="BU61" s="368"/>
      <c r="BV61" s="368"/>
      <c r="BW61" s="368"/>
      <c r="BX61" s="368"/>
      <c r="BY61" s="368"/>
      <c r="BZ61" s="368"/>
      <c r="CA61" s="368"/>
      <c r="CB61" s="368"/>
      <c r="CC61" s="368"/>
      <c r="CD61" s="368"/>
      <c r="CE61" s="368"/>
      <c r="CF61" s="368"/>
      <c r="CG61" s="368"/>
      <c r="CH61" s="368"/>
      <c r="CI61" s="368"/>
      <c r="CJ61" s="368"/>
      <c r="CK61" s="368"/>
      <c r="CL61" s="368"/>
      <c r="CM61" s="368"/>
      <c r="CN61" s="368"/>
      <c r="CO61" s="368"/>
      <c r="CP61" s="368"/>
      <c r="CQ61" s="368"/>
      <c r="CR61" s="368"/>
      <c r="CS61" s="368"/>
      <c r="CT61" s="368"/>
      <c r="CU61" s="368"/>
      <c r="CV61" s="368"/>
      <c r="CW61" s="368"/>
      <c r="CX61" s="368"/>
      <c r="CY61" s="368"/>
      <c r="CZ61" s="368"/>
      <c r="DA61" s="368"/>
      <c r="DB61" s="368"/>
      <c r="DC61" s="368"/>
      <c r="DD61" s="368"/>
      <c r="DE61" s="368"/>
      <c r="DF61" s="368"/>
      <c r="DG61" s="368"/>
      <c r="DH61" s="368"/>
      <c r="DI61" s="368"/>
      <c r="DJ61" s="368"/>
      <c r="DK61" s="368"/>
      <c r="DL61" s="368"/>
      <c r="DM61" s="368"/>
      <c r="DN61" s="368"/>
      <c r="DO61" s="368"/>
      <c r="DP61" s="368"/>
      <c r="DQ61" s="368"/>
      <c r="DR61" s="368"/>
      <c r="DS61" s="368"/>
      <c r="DT61" s="368"/>
      <c r="DU61" s="368"/>
      <c r="DV61" s="368"/>
      <c r="DW61" s="368"/>
      <c r="DX61" s="368"/>
      <c r="DY61" s="368"/>
      <c r="DZ61" s="368"/>
      <c r="EA61" s="368"/>
      <c r="EB61" s="368"/>
      <c r="EC61" s="368"/>
      <c r="ED61" s="368"/>
      <c r="EE61" s="368"/>
      <c r="EF61" s="368"/>
      <c r="EG61" s="368"/>
      <c r="EH61" s="368"/>
      <c r="EI61" s="368"/>
      <c r="EJ61" s="368"/>
      <c r="EK61" s="368"/>
      <c r="EL61" s="368"/>
      <c r="EM61" s="368"/>
      <c r="EN61" s="368"/>
      <c r="EO61" s="368"/>
      <c r="EP61" s="368"/>
      <c r="EQ61" s="368"/>
      <c r="ER61" s="368"/>
      <c r="ES61" s="368"/>
      <c r="ET61" s="368"/>
      <c r="EU61" s="368"/>
      <c r="EV61" s="368"/>
      <c r="EW61" s="368"/>
      <c r="EX61" s="368"/>
      <c r="EY61" s="368"/>
      <c r="EZ61" s="368"/>
      <c r="FA61" s="368"/>
      <c r="FB61" s="368"/>
      <c r="FC61" s="368"/>
      <c r="FD61" s="368"/>
      <c r="FE61" s="368"/>
      <c r="FF61" s="368"/>
      <c r="FG61" s="368"/>
      <c r="FH61" s="368"/>
      <c r="FI61" s="368"/>
      <c r="FJ61" s="368"/>
      <c r="FK61" s="368"/>
      <c r="FL61" s="368"/>
      <c r="FM61" s="368"/>
      <c r="FN61" s="368"/>
      <c r="FO61" s="368"/>
      <c r="FP61" s="368"/>
      <c r="FQ61" s="368"/>
      <c r="FR61" s="368"/>
      <c r="FS61" s="368"/>
      <c r="FT61" s="368"/>
      <c r="FU61" s="368"/>
      <c r="FV61" s="368"/>
      <c r="FW61" s="368"/>
      <c r="FX61" s="368"/>
      <c r="FY61" s="368"/>
      <c r="FZ61" s="368"/>
      <c r="GA61" s="368"/>
      <c r="GB61" s="368"/>
      <c r="GC61" s="368"/>
      <c r="GD61" s="368"/>
      <c r="GE61" s="368"/>
      <c r="GF61" s="368"/>
      <c r="GG61" s="368"/>
      <c r="GH61" s="368"/>
      <c r="GI61" s="368"/>
      <c r="GJ61" s="368"/>
      <c r="GK61" s="368"/>
      <c r="GL61" s="368"/>
      <c r="GM61" s="368"/>
      <c r="GN61" s="368"/>
      <c r="GO61" s="368"/>
      <c r="GP61" s="368"/>
      <c r="GQ61" s="368"/>
      <c r="GR61" s="368"/>
      <c r="GS61" s="368"/>
      <c r="GT61" s="368"/>
      <c r="GU61" s="368"/>
      <c r="GV61" s="368"/>
      <c r="GW61" s="368"/>
      <c r="GX61" s="368"/>
      <c r="GY61" s="368"/>
      <c r="GZ61" s="368"/>
      <c r="HA61" s="368"/>
      <c r="HB61" s="368"/>
      <c r="HC61" s="368"/>
      <c r="HD61" s="368"/>
      <c r="HE61" s="368"/>
      <c r="HF61" s="368"/>
      <c r="HG61" s="368"/>
      <c r="HH61" s="368"/>
      <c r="HI61" s="368"/>
      <c r="HJ61" s="368"/>
      <c r="HK61" s="368"/>
      <c r="HL61" s="368"/>
      <c r="HM61" s="368"/>
      <c r="HN61" s="368"/>
      <c r="HO61" s="368"/>
      <c r="HP61" s="368"/>
      <c r="HQ61" s="368"/>
      <c r="HR61" s="368"/>
      <c r="HS61" s="368"/>
      <c r="HT61" s="368"/>
      <c r="HU61" s="368"/>
      <c r="HV61" s="368"/>
      <c r="HW61" s="368"/>
      <c r="HX61" s="368"/>
      <c r="HY61" s="368"/>
      <c r="HZ61" s="368"/>
      <c r="IA61" s="368"/>
      <c r="IB61" s="368"/>
      <c r="IC61" s="368"/>
      <c r="ID61" s="368"/>
      <c r="IE61" s="368"/>
      <c r="IF61" s="368"/>
      <c r="IG61" s="368"/>
      <c r="IH61" s="368"/>
      <c r="II61" s="368"/>
      <c r="IJ61" s="368"/>
      <c r="IK61" s="368"/>
      <c r="IL61" s="368"/>
      <c r="IM61" s="368"/>
      <c r="IN61" s="368"/>
      <c r="IO61" s="368"/>
      <c r="IP61" s="368"/>
      <c r="IQ61" s="368"/>
      <c r="IR61" s="368"/>
      <c r="IS61" s="368"/>
      <c r="IT61" s="368"/>
      <c r="IU61" s="368"/>
    </row>
    <row r="62" spans="6:255" ht="20.149999999999999" customHeight="1">
      <c r="F62" s="23"/>
      <c r="G62" s="23"/>
      <c r="H62" s="23"/>
      <c r="Z62" s="368"/>
      <c r="AA62" s="368"/>
      <c r="AB62" s="368"/>
      <c r="AC62" s="368"/>
      <c r="AD62" s="368"/>
      <c r="AE62" s="368"/>
      <c r="AF62" s="368"/>
      <c r="AG62" s="368"/>
      <c r="AH62" s="368"/>
      <c r="AI62" s="368"/>
      <c r="AJ62" s="368"/>
      <c r="AK62" s="368"/>
      <c r="AL62" s="368"/>
      <c r="AM62" s="368"/>
      <c r="AN62" s="368"/>
      <c r="AO62" s="368"/>
      <c r="AP62" s="368"/>
      <c r="AQ62" s="368"/>
      <c r="AR62" s="368"/>
      <c r="AS62" s="368"/>
      <c r="AT62" s="368"/>
      <c r="AU62" s="368"/>
      <c r="AV62" s="368"/>
      <c r="AW62" s="368"/>
      <c r="AX62" s="368"/>
      <c r="AY62" s="368"/>
      <c r="AZ62" s="368"/>
      <c r="BA62" s="368"/>
      <c r="BB62" s="368"/>
      <c r="BC62" s="368"/>
      <c r="BD62" s="368"/>
      <c r="BE62" s="368"/>
      <c r="BF62" s="368"/>
      <c r="BG62" s="368"/>
      <c r="BH62" s="368"/>
      <c r="BI62" s="368"/>
      <c r="BJ62" s="368"/>
      <c r="BK62" s="368"/>
      <c r="BL62" s="368"/>
      <c r="BM62" s="368"/>
      <c r="BN62" s="368"/>
      <c r="BO62" s="368"/>
      <c r="BP62" s="368"/>
      <c r="BQ62" s="368"/>
      <c r="BR62" s="368"/>
      <c r="BS62" s="368"/>
      <c r="BT62" s="368"/>
      <c r="BU62" s="368"/>
      <c r="BV62" s="368"/>
      <c r="BW62" s="368"/>
      <c r="BX62" s="368"/>
      <c r="BY62" s="368"/>
      <c r="BZ62" s="368"/>
      <c r="CA62" s="368"/>
      <c r="CB62" s="368"/>
      <c r="CC62" s="368"/>
      <c r="CD62" s="368"/>
      <c r="CE62" s="368"/>
      <c r="CF62" s="368"/>
      <c r="CG62" s="368"/>
      <c r="CH62" s="368"/>
      <c r="CI62" s="368"/>
      <c r="CJ62" s="368"/>
      <c r="CK62" s="368"/>
      <c r="CL62" s="368"/>
      <c r="CM62" s="368"/>
      <c r="CN62" s="368"/>
      <c r="CO62" s="368"/>
      <c r="CP62" s="368"/>
      <c r="CQ62" s="368"/>
      <c r="CR62" s="368"/>
      <c r="CS62" s="368"/>
      <c r="CT62" s="368"/>
      <c r="CU62" s="368"/>
      <c r="CV62" s="368"/>
      <c r="CW62" s="368"/>
      <c r="CX62" s="368"/>
      <c r="CY62" s="368"/>
      <c r="CZ62" s="368"/>
      <c r="DA62" s="368"/>
      <c r="DB62" s="368"/>
      <c r="DC62" s="368"/>
      <c r="DD62" s="368"/>
      <c r="DE62" s="368"/>
      <c r="DF62" s="368"/>
      <c r="DG62" s="368"/>
      <c r="DH62" s="368"/>
      <c r="DI62" s="368"/>
      <c r="DJ62" s="368"/>
      <c r="DK62" s="368"/>
      <c r="DL62" s="368"/>
      <c r="DM62" s="368"/>
      <c r="DN62" s="368"/>
      <c r="DO62" s="368"/>
      <c r="DP62" s="368"/>
      <c r="DQ62" s="368"/>
      <c r="DR62" s="368"/>
      <c r="DS62" s="368"/>
      <c r="DT62" s="368"/>
      <c r="DU62" s="368"/>
      <c r="DV62" s="368"/>
      <c r="DW62" s="368"/>
      <c r="DX62" s="368"/>
      <c r="DY62" s="368"/>
      <c r="DZ62" s="368"/>
      <c r="EA62" s="368"/>
      <c r="EB62" s="368"/>
      <c r="EC62" s="368"/>
      <c r="ED62" s="368"/>
      <c r="EE62" s="368"/>
      <c r="EF62" s="368"/>
      <c r="EG62" s="368"/>
      <c r="EH62" s="368"/>
      <c r="EI62" s="368"/>
      <c r="EJ62" s="368"/>
      <c r="EK62" s="368"/>
      <c r="EL62" s="368"/>
      <c r="EM62" s="368"/>
      <c r="EN62" s="368"/>
      <c r="EO62" s="368"/>
      <c r="EP62" s="368"/>
      <c r="EQ62" s="368"/>
      <c r="ER62" s="368"/>
      <c r="ES62" s="368"/>
      <c r="ET62" s="368"/>
      <c r="EU62" s="368"/>
      <c r="EV62" s="368"/>
      <c r="EW62" s="368"/>
      <c r="EX62" s="368"/>
      <c r="EY62" s="368"/>
      <c r="EZ62" s="368"/>
      <c r="FA62" s="368"/>
      <c r="FB62" s="368"/>
      <c r="FC62" s="368"/>
      <c r="FD62" s="368"/>
      <c r="FE62" s="368"/>
      <c r="FF62" s="368"/>
      <c r="FG62" s="368"/>
      <c r="FH62" s="368"/>
      <c r="FI62" s="368"/>
      <c r="FJ62" s="368"/>
      <c r="FK62" s="368"/>
      <c r="FL62" s="368"/>
      <c r="FM62" s="368"/>
      <c r="FN62" s="368"/>
      <c r="FO62" s="368"/>
      <c r="FP62" s="368"/>
      <c r="FQ62" s="368"/>
      <c r="FR62" s="368"/>
      <c r="FS62" s="368"/>
      <c r="FT62" s="368"/>
      <c r="FU62" s="368"/>
      <c r="FV62" s="368"/>
      <c r="FW62" s="368"/>
      <c r="FX62" s="368"/>
      <c r="FY62" s="368"/>
      <c r="FZ62" s="368"/>
      <c r="GA62" s="368"/>
      <c r="GB62" s="368"/>
      <c r="GC62" s="368"/>
      <c r="GD62" s="368"/>
      <c r="GE62" s="368"/>
      <c r="GF62" s="368"/>
      <c r="GG62" s="368"/>
      <c r="GH62" s="368"/>
      <c r="GI62" s="368"/>
      <c r="GJ62" s="368"/>
      <c r="GK62" s="368"/>
      <c r="GL62" s="368"/>
      <c r="GM62" s="368"/>
      <c r="GN62" s="368"/>
      <c r="GO62" s="368"/>
      <c r="GP62" s="368"/>
      <c r="GQ62" s="368"/>
      <c r="GR62" s="368"/>
      <c r="GS62" s="368"/>
      <c r="GT62" s="368"/>
      <c r="GU62" s="368"/>
      <c r="GV62" s="368"/>
      <c r="GW62" s="368"/>
      <c r="GX62" s="368"/>
      <c r="GY62" s="368"/>
      <c r="GZ62" s="368"/>
      <c r="HA62" s="368"/>
      <c r="HB62" s="368"/>
      <c r="HC62" s="368"/>
      <c r="HD62" s="368"/>
      <c r="HE62" s="368"/>
      <c r="HF62" s="368"/>
      <c r="HG62" s="368"/>
      <c r="HH62" s="368"/>
      <c r="HI62" s="368"/>
      <c r="HJ62" s="368"/>
      <c r="HK62" s="368"/>
      <c r="HL62" s="368"/>
      <c r="HM62" s="368"/>
      <c r="HN62" s="368"/>
      <c r="HO62" s="368"/>
      <c r="HP62" s="368"/>
      <c r="HQ62" s="368"/>
      <c r="HR62" s="368"/>
      <c r="HS62" s="368"/>
      <c r="HT62" s="368"/>
      <c r="HU62" s="368"/>
      <c r="HV62" s="368"/>
      <c r="HW62" s="368"/>
      <c r="HX62" s="368"/>
      <c r="HY62" s="368"/>
      <c r="HZ62" s="368"/>
      <c r="IA62" s="368"/>
      <c r="IB62" s="368"/>
      <c r="IC62" s="368"/>
      <c r="ID62" s="368"/>
      <c r="IE62" s="368"/>
      <c r="IF62" s="368"/>
      <c r="IG62" s="368"/>
      <c r="IH62" s="368"/>
      <c r="II62" s="368"/>
      <c r="IJ62" s="368"/>
      <c r="IK62" s="368"/>
      <c r="IL62" s="368"/>
      <c r="IM62" s="368"/>
      <c r="IN62" s="368"/>
      <c r="IO62" s="368"/>
      <c r="IP62" s="368"/>
      <c r="IQ62" s="368"/>
      <c r="IR62" s="368"/>
      <c r="IS62" s="368"/>
      <c r="IT62" s="368"/>
      <c r="IU62" s="368"/>
    </row>
    <row r="63" spans="6:255" ht="20.149999999999999" customHeight="1">
      <c r="F63" s="23"/>
      <c r="G63" s="23"/>
      <c r="H63" s="23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8"/>
      <c r="BG63" s="368"/>
      <c r="BH63" s="368"/>
      <c r="BI63" s="368"/>
      <c r="BJ63" s="368"/>
      <c r="BK63" s="368"/>
      <c r="BL63" s="368"/>
      <c r="BM63" s="368"/>
      <c r="BN63" s="368"/>
      <c r="BO63" s="368"/>
      <c r="BP63" s="368"/>
      <c r="BQ63" s="368"/>
      <c r="BR63" s="368"/>
      <c r="BS63" s="368"/>
      <c r="BT63" s="368"/>
      <c r="BU63" s="368"/>
      <c r="BV63" s="368"/>
      <c r="BW63" s="368"/>
      <c r="BX63" s="368"/>
      <c r="BY63" s="368"/>
      <c r="BZ63" s="368"/>
      <c r="CA63" s="368"/>
      <c r="CB63" s="368"/>
      <c r="CC63" s="368"/>
      <c r="CD63" s="368"/>
      <c r="CE63" s="368"/>
      <c r="CF63" s="368"/>
      <c r="CG63" s="368"/>
      <c r="CH63" s="368"/>
      <c r="CI63" s="368"/>
      <c r="CJ63" s="368"/>
      <c r="CK63" s="368"/>
      <c r="CL63" s="368"/>
      <c r="CM63" s="368"/>
      <c r="CN63" s="368"/>
      <c r="CO63" s="368"/>
      <c r="CP63" s="368"/>
      <c r="CQ63" s="368"/>
      <c r="CR63" s="368"/>
      <c r="CS63" s="368"/>
      <c r="CT63" s="368"/>
      <c r="CU63" s="368"/>
      <c r="CV63" s="368"/>
      <c r="CW63" s="368"/>
      <c r="CX63" s="368"/>
      <c r="CY63" s="368"/>
      <c r="CZ63" s="368"/>
      <c r="DA63" s="368"/>
      <c r="DB63" s="368"/>
      <c r="DC63" s="368"/>
      <c r="DD63" s="368"/>
      <c r="DE63" s="368"/>
      <c r="DF63" s="368"/>
      <c r="DG63" s="368"/>
      <c r="DH63" s="368"/>
      <c r="DI63" s="368"/>
      <c r="DJ63" s="368"/>
      <c r="DK63" s="368"/>
      <c r="DL63" s="368"/>
      <c r="DM63" s="368"/>
      <c r="DN63" s="368"/>
      <c r="DO63" s="368"/>
      <c r="DP63" s="368"/>
      <c r="DQ63" s="368"/>
      <c r="DR63" s="368"/>
      <c r="DS63" s="368"/>
      <c r="DT63" s="368"/>
      <c r="DU63" s="368"/>
      <c r="DV63" s="368"/>
      <c r="DW63" s="368"/>
      <c r="DX63" s="368"/>
      <c r="DY63" s="368"/>
      <c r="DZ63" s="368"/>
      <c r="EA63" s="368"/>
      <c r="EB63" s="368"/>
      <c r="EC63" s="368"/>
      <c r="ED63" s="368"/>
      <c r="EE63" s="368"/>
      <c r="EF63" s="368"/>
      <c r="EG63" s="368"/>
      <c r="EH63" s="368"/>
      <c r="EI63" s="368"/>
      <c r="EJ63" s="368"/>
      <c r="EK63" s="368"/>
      <c r="EL63" s="368"/>
      <c r="EM63" s="368"/>
      <c r="EN63" s="368"/>
      <c r="EO63" s="368"/>
      <c r="EP63" s="368"/>
      <c r="EQ63" s="368"/>
      <c r="ER63" s="368"/>
      <c r="ES63" s="368"/>
      <c r="ET63" s="368"/>
      <c r="EU63" s="368"/>
      <c r="EV63" s="368"/>
      <c r="EW63" s="368"/>
      <c r="EX63" s="368"/>
      <c r="EY63" s="368"/>
      <c r="EZ63" s="368"/>
      <c r="FA63" s="368"/>
      <c r="FB63" s="368"/>
      <c r="FC63" s="368"/>
      <c r="FD63" s="368"/>
      <c r="FE63" s="368"/>
      <c r="FF63" s="368"/>
      <c r="FG63" s="368"/>
      <c r="FH63" s="368"/>
      <c r="FI63" s="368"/>
      <c r="FJ63" s="368"/>
      <c r="FK63" s="368"/>
      <c r="FL63" s="368"/>
      <c r="FM63" s="368"/>
      <c r="FN63" s="368"/>
      <c r="FO63" s="368"/>
      <c r="FP63" s="368"/>
      <c r="FQ63" s="368"/>
      <c r="FR63" s="368"/>
      <c r="FS63" s="368"/>
      <c r="FT63" s="368"/>
      <c r="FU63" s="368"/>
      <c r="FV63" s="368"/>
      <c r="FW63" s="368"/>
      <c r="FX63" s="368"/>
      <c r="FY63" s="368"/>
      <c r="FZ63" s="368"/>
      <c r="GA63" s="368"/>
      <c r="GB63" s="368"/>
      <c r="GC63" s="368"/>
      <c r="GD63" s="368"/>
      <c r="GE63" s="368"/>
      <c r="GF63" s="368"/>
      <c r="GG63" s="368"/>
      <c r="GH63" s="368"/>
      <c r="GI63" s="368"/>
      <c r="GJ63" s="368"/>
      <c r="GK63" s="368"/>
      <c r="GL63" s="368"/>
      <c r="GM63" s="368"/>
      <c r="GN63" s="368"/>
      <c r="GO63" s="368"/>
      <c r="GP63" s="368"/>
      <c r="GQ63" s="368"/>
      <c r="GR63" s="368"/>
      <c r="GS63" s="368"/>
      <c r="GT63" s="368"/>
      <c r="GU63" s="368"/>
      <c r="GV63" s="368"/>
      <c r="GW63" s="368"/>
      <c r="GX63" s="368"/>
      <c r="GY63" s="368"/>
      <c r="GZ63" s="368"/>
      <c r="HA63" s="368"/>
      <c r="HB63" s="368"/>
      <c r="HC63" s="368"/>
      <c r="HD63" s="368"/>
      <c r="HE63" s="368"/>
      <c r="HF63" s="368"/>
      <c r="HG63" s="368"/>
      <c r="HH63" s="368"/>
      <c r="HI63" s="368"/>
      <c r="HJ63" s="368"/>
      <c r="HK63" s="368"/>
      <c r="HL63" s="368"/>
      <c r="HM63" s="368"/>
      <c r="HN63" s="368"/>
      <c r="HO63" s="368"/>
      <c r="HP63" s="368"/>
      <c r="HQ63" s="368"/>
      <c r="HR63" s="368"/>
      <c r="HS63" s="368"/>
      <c r="HT63" s="368"/>
      <c r="HU63" s="368"/>
      <c r="HV63" s="368"/>
      <c r="HW63" s="368"/>
      <c r="HX63" s="368"/>
      <c r="HY63" s="368"/>
      <c r="HZ63" s="368"/>
      <c r="IA63" s="368"/>
      <c r="IB63" s="368"/>
      <c r="IC63" s="368"/>
      <c r="ID63" s="368"/>
      <c r="IE63" s="368"/>
      <c r="IF63" s="368"/>
      <c r="IG63" s="368"/>
      <c r="IH63" s="368"/>
      <c r="II63" s="368"/>
      <c r="IJ63" s="368"/>
      <c r="IK63" s="368"/>
      <c r="IL63" s="368"/>
      <c r="IM63" s="368"/>
      <c r="IN63" s="368"/>
      <c r="IO63" s="368"/>
      <c r="IP63" s="368"/>
      <c r="IQ63" s="368"/>
      <c r="IR63" s="368"/>
      <c r="IS63" s="368"/>
      <c r="IT63" s="368"/>
      <c r="IU63" s="368"/>
    </row>
    <row r="64" spans="6:255" ht="20.149999999999999" customHeight="1">
      <c r="F64" s="23"/>
      <c r="G64" s="23"/>
      <c r="H64" s="23"/>
    </row>
    <row r="65" spans="2:255" ht="20.149999999999999" customHeight="1">
      <c r="F65" s="23"/>
      <c r="G65" s="23"/>
      <c r="H65" s="23"/>
    </row>
    <row r="66" spans="2:255" ht="20.149999999999999" customHeight="1">
      <c r="F66" s="23"/>
      <c r="G66" s="23"/>
      <c r="H66" s="23"/>
    </row>
    <row r="67" spans="2:255" ht="20.149999999999999" customHeight="1">
      <c r="F67" s="23"/>
      <c r="G67" s="23"/>
      <c r="H67" s="23"/>
    </row>
    <row r="68" spans="2:255" ht="20.149999999999999" customHeight="1">
      <c r="B68" s="18" t="str">
        <f>'Lembar Kerja'!B65</f>
        <v>d. Pengukuran Suhu</v>
      </c>
      <c r="E68" s="14"/>
      <c r="F68" s="14"/>
      <c r="G68" s="14"/>
      <c r="H68" s="14"/>
      <c r="I68" s="14"/>
      <c r="J68" s="14"/>
      <c r="K68" s="14"/>
      <c r="N68" s="33"/>
      <c r="O68" s="33"/>
      <c r="P68" s="33"/>
    </row>
    <row r="69" spans="2:255" s="18" customFormat="1" ht="10.15" customHeight="1">
      <c r="B69" s="1022"/>
      <c r="C69" s="1022"/>
      <c r="D69" s="1037"/>
      <c r="E69" s="1037"/>
      <c r="F69" s="1037"/>
      <c r="G69" s="1037"/>
      <c r="H69" s="1037"/>
      <c r="I69" s="1037"/>
      <c r="J69" s="60"/>
      <c r="K69" s="857"/>
      <c r="L69" s="857"/>
      <c r="N69" s="33"/>
      <c r="O69" s="33"/>
      <c r="P69" s="33"/>
      <c r="Q69" s="1022"/>
      <c r="R69" s="1022"/>
      <c r="S69" s="1022"/>
    </row>
    <row r="70" spans="2:255" s="18" customFormat="1" ht="20.149999999999999" customHeight="1">
      <c r="B70" s="1019" t="s">
        <v>60</v>
      </c>
      <c r="C70" s="1019" t="s">
        <v>61</v>
      </c>
      <c r="D70" s="1025" t="s">
        <v>227</v>
      </c>
      <c r="E70" s="1025"/>
      <c r="F70" s="1025"/>
      <c r="G70" s="1025"/>
      <c r="H70" s="1025"/>
      <c r="I70" s="1025"/>
      <c r="J70" s="1025"/>
      <c r="K70" s="1025"/>
      <c r="L70" s="1025"/>
      <c r="M70" s="1025"/>
    </row>
    <row r="71" spans="2:255" s="18" customFormat="1" ht="29.5" customHeight="1">
      <c r="B71" s="1019"/>
      <c r="C71" s="1019"/>
      <c r="D71" s="873" t="s">
        <v>64</v>
      </c>
      <c r="E71" s="873" t="s">
        <v>65</v>
      </c>
      <c r="F71" s="873" t="s">
        <v>66</v>
      </c>
      <c r="G71" s="873" t="s">
        <v>67</v>
      </c>
      <c r="H71" s="873" t="s">
        <v>68</v>
      </c>
      <c r="I71" s="873" t="s">
        <v>69</v>
      </c>
      <c r="J71" s="873" t="s">
        <v>70</v>
      </c>
      <c r="K71" s="873" t="s">
        <v>71</v>
      </c>
      <c r="L71" s="873" t="s">
        <v>72</v>
      </c>
      <c r="M71" s="873" t="s">
        <v>73</v>
      </c>
      <c r="P71" s="890"/>
      <c r="Q71" s="890"/>
      <c r="R71" s="890"/>
      <c r="S71" s="890"/>
    </row>
    <row r="72" spans="2:255" s="33" customFormat="1" ht="20.149999999999999" customHeight="1">
      <c r="B72" s="1020">
        <v>37</v>
      </c>
      <c r="C72" s="29">
        <v>1</v>
      </c>
      <c r="D72" s="903">
        <v>37</v>
      </c>
      <c r="E72" s="903">
        <v>37</v>
      </c>
      <c r="F72" s="903">
        <v>37</v>
      </c>
      <c r="G72" s="903">
        <v>37</v>
      </c>
      <c r="H72" s="903">
        <v>37</v>
      </c>
      <c r="I72" s="903">
        <v>37</v>
      </c>
      <c r="J72" s="903">
        <v>37</v>
      </c>
      <c r="K72" s="903">
        <v>37</v>
      </c>
      <c r="L72" s="903">
        <v>37</v>
      </c>
      <c r="M72" s="903">
        <v>37</v>
      </c>
      <c r="P72" s="890"/>
      <c r="Q72" s="890"/>
      <c r="R72" s="890"/>
      <c r="S72" s="890"/>
    </row>
    <row r="73" spans="2:255" s="33" customFormat="1" ht="20.149999999999999" customHeight="1">
      <c r="B73" s="1020"/>
      <c r="C73" s="29">
        <v>2</v>
      </c>
      <c r="D73" s="903">
        <v>37</v>
      </c>
      <c r="E73" s="903">
        <v>37</v>
      </c>
      <c r="F73" s="903">
        <v>37</v>
      </c>
      <c r="G73" s="903">
        <v>37</v>
      </c>
      <c r="H73" s="903">
        <v>37</v>
      </c>
      <c r="I73" s="903">
        <v>37</v>
      </c>
      <c r="J73" s="903">
        <v>37</v>
      </c>
      <c r="K73" s="903">
        <v>37</v>
      </c>
      <c r="L73" s="903">
        <v>37</v>
      </c>
      <c r="M73" s="903">
        <v>37</v>
      </c>
      <c r="P73" s="890"/>
      <c r="Q73" s="890"/>
      <c r="R73" s="890"/>
      <c r="S73" s="890"/>
    </row>
    <row r="74" spans="2:255" s="33" customFormat="1" ht="20.149999999999999" customHeight="1">
      <c r="B74" s="1020"/>
      <c r="C74" s="29">
        <v>3</v>
      </c>
      <c r="D74" s="903">
        <v>37</v>
      </c>
      <c r="E74" s="903">
        <v>37</v>
      </c>
      <c r="F74" s="903">
        <v>37</v>
      </c>
      <c r="G74" s="903">
        <v>37</v>
      </c>
      <c r="H74" s="903">
        <v>37</v>
      </c>
      <c r="I74" s="903">
        <v>37</v>
      </c>
      <c r="J74" s="903">
        <v>37</v>
      </c>
      <c r="K74" s="903">
        <v>37</v>
      </c>
      <c r="L74" s="903">
        <v>37</v>
      </c>
      <c r="M74" s="903">
        <v>37</v>
      </c>
      <c r="P74" s="890"/>
      <c r="Q74" s="890"/>
      <c r="R74" s="890"/>
      <c r="S74" s="890"/>
    </row>
    <row r="75" spans="2:255" s="33" customFormat="1" ht="20.149999999999999" customHeight="1">
      <c r="B75" s="1020"/>
      <c r="C75" s="29">
        <v>4</v>
      </c>
      <c r="D75" s="903">
        <v>37</v>
      </c>
      <c r="E75" s="903">
        <v>37</v>
      </c>
      <c r="F75" s="903">
        <v>37</v>
      </c>
      <c r="G75" s="903">
        <v>37</v>
      </c>
      <c r="H75" s="903">
        <v>37</v>
      </c>
      <c r="I75" s="903">
        <v>37</v>
      </c>
      <c r="J75" s="903">
        <v>37</v>
      </c>
      <c r="K75" s="903">
        <v>37</v>
      </c>
      <c r="L75" s="903">
        <v>37</v>
      </c>
      <c r="M75" s="903">
        <v>37</v>
      </c>
      <c r="P75" s="890"/>
      <c r="Q75" s="890"/>
      <c r="R75" s="890"/>
      <c r="S75" s="890"/>
    </row>
    <row r="76" spans="2:255" s="891" customFormat="1" ht="20.149999999999999" customHeight="1">
      <c r="B76" s="1020"/>
      <c r="C76" s="29">
        <v>5</v>
      </c>
      <c r="D76" s="903">
        <v>37</v>
      </c>
      <c r="E76" s="903">
        <v>37</v>
      </c>
      <c r="F76" s="903">
        <v>37</v>
      </c>
      <c r="G76" s="903">
        <v>37</v>
      </c>
      <c r="H76" s="903">
        <v>37</v>
      </c>
      <c r="I76" s="903">
        <v>37</v>
      </c>
      <c r="J76" s="903">
        <v>37</v>
      </c>
      <c r="K76" s="903">
        <v>37</v>
      </c>
      <c r="L76" s="903">
        <v>37</v>
      </c>
      <c r="M76" s="903">
        <v>37</v>
      </c>
      <c r="P76" s="890"/>
      <c r="Q76" s="890"/>
      <c r="R76" s="890"/>
      <c r="S76" s="890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</row>
    <row r="77" spans="2:255" s="891" customFormat="1" ht="20.149999999999999" customHeight="1">
      <c r="B77" s="1020"/>
      <c r="C77" s="29">
        <v>6</v>
      </c>
      <c r="D77" s="903">
        <v>37</v>
      </c>
      <c r="E77" s="903">
        <v>37</v>
      </c>
      <c r="F77" s="903">
        <v>37</v>
      </c>
      <c r="G77" s="903">
        <v>37</v>
      </c>
      <c r="H77" s="903">
        <v>37</v>
      </c>
      <c r="I77" s="903">
        <v>37</v>
      </c>
      <c r="J77" s="903">
        <v>37</v>
      </c>
      <c r="K77" s="903">
        <v>37</v>
      </c>
      <c r="L77" s="903">
        <v>37</v>
      </c>
      <c r="M77" s="903">
        <v>37</v>
      </c>
      <c r="P77" s="890"/>
      <c r="Q77" s="890"/>
      <c r="R77" s="890"/>
      <c r="S77" s="890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</row>
    <row r="78" spans="2:255" s="891" customFormat="1" ht="20.149999999999999" customHeight="1">
      <c r="B78" s="1020"/>
      <c r="C78" s="29">
        <v>7</v>
      </c>
      <c r="D78" s="903">
        <v>37</v>
      </c>
      <c r="E78" s="903">
        <v>37</v>
      </c>
      <c r="F78" s="903">
        <v>37</v>
      </c>
      <c r="G78" s="903">
        <v>37</v>
      </c>
      <c r="H78" s="903">
        <v>37</v>
      </c>
      <c r="I78" s="903">
        <v>37</v>
      </c>
      <c r="J78" s="903">
        <v>37</v>
      </c>
      <c r="K78" s="903">
        <v>37</v>
      </c>
      <c r="L78" s="903">
        <v>37</v>
      </c>
      <c r="M78" s="903">
        <v>37</v>
      </c>
      <c r="P78" s="890"/>
      <c r="Q78" s="890"/>
      <c r="R78" s="890"/>
      <c r="S78" s="890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</row>
    <row r="79" spans="2:255" s="891" customFormat="1" ht="20.149999999999999" customHeight="1">
      <c r="B79" s="1020"/>
      <c r="C79" s="29">
        <v>8</v>
      </c>
      <c r="D79" s="903">
        <v>37</v>
      </c>
      <c r="E79" s="903">
        <v>37</v>
      </c>
      <c r="F79" s="903">
        <v>37</v>
      </c>
      <c r="G79" s="903">
        <v>37</v>
      </c>
      <c r="H79" s="903">
        <v>37</v>
      </c>
      <c r="I79" s="903">
        <v>37</v>
      </c>
      <c r="J79" s="903">
        <v>37</v>
      </c>
      <c r="K79" s="903">
        <v>37</v>
      </c>
      <c r="L79" s="903">
        <v>37</v>
      </c>
      <c r="M79" s="903">
        <v>37</v>
      </c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</row>
    <row r="80" spans="2:255" ht="20.149999999999999" customHeight="1">
      <c r="B80" s="1025" t="s">
        <v>228</v>
      </c>
      <c r="C80" s="1025"/>
      <c r="D80" s="1027">
        <v>37</v>
      </c>
      <c r="E80" s="1027"/>
      <c r="F80" s="1027"/>
      <c r="G80" s="1027"/>
      <c r="H80" s="1027"/>
      <c r="I80" s="1027">
        <v>37</v>
      </c>
      <c r="J80" s="1027"/>
      <c r="K80" s="1027"/>
      <c r="L80" s="1027"/>
      <c r="M80" s="1027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8"/>
      <c r="BG80" s="368"/>
      <c r="BH80" s="368"/>
      <c r="BI80" s="368"/>
      <c r="BJ80" s="368"/>
      <c r="BK80" s="368"/>
      <c r="BL80" s="368"/>
      <c r="BM80" s="368"/>
      <c r="BN80" s="368"/>
      <c r="BO80" s="368"/>
      <c r="BP80" s="368"/>
      <c r="BQ80" s="368"/>
      <c r="BR80" s="368"/>
      <c r="BS80" s="368"/>
      <c r="BT80" s="368"/>
      <c r="BU80" s="368"/>
      <c r="BV80" s="368"/>
      <c r="BW80" s="368"/>
      <c r="BX80" s="368"/>
      <c r="BY80" s="368"/>
      <c r="BZ80" s="368"/>
      <c r="CA80" s="368"/>
      <c r="CB80" s="368"/>
      <c r="CC80" s="368"/>
      <c r="CD80" s="368"/>
      <c r="CE80" s="368"/>
      <c r="CF80" s="368"/>
      <c r="CG80" s="368"/>
      <c r="CH80" s="368"/>
      <c r="CI80" s="368"/>
      <c r="CJ80" s="368"/>
      <c r="CK80" s="368"/>
      <c r="CL80" s="368"/>
      <c r="CM80" s="368"/>
      <c r="CN80" s="368"/>
      <c r="CO80" s="368"/>
      <c r="CP80" s="368"/>
      <c r="CQ80" s="368"/>
      <c r="CR80" s="368"/>
      <c r="CS80" s="368"/>
      <c r="CT80" s="368"/>
      <c r="CU80" s="368"/>
      <c r="CV80" s="368"/>
      <c r="CW80" s="368"/>
      <c r="CX80" s="368"/>
      <c r="CY80" s="368"/>
      <c r="CZ80" s="368"/>
      <c r="DA80" s="368"/>
      <c r="DB80" s="368"/>
      <c r="DC80" s="368"/>
      <c r="DD80" s="368"/>
      <c r="DE80" s="368"/>
      <c r="DF80" s="368"/>
      <c r="DG80" s="368"/>
      <c r="DH80" s="368"/>
      <c r="DI80" s="368"/>
      <c r="DJ80" s="368"/>
      <c r="DK80" s="368"/>
      <c r="DL80" s="368"/>
      <c r="DM80" s="368"/>
      <c r="DN80" s="368"/>
      <c r="DO80" s="368"/>
      <c r="DP80" s="368"/>
      <c r="DQ80" s="368"/>
      <c r="DR80" s="368"/>
      <c r="DS80" s="368"/>
      <c r="DT80" s="368"/>
      <c r="DU80" s="368"/>
      <c r="DV80" s="368"/>
      <c r="DW80" s="368"/>
      <c r="DX80" s="368"/>
      <c r="DY80" s="368"/>
      <c r="DZ80" s="368"/>
      <c r="EA80" s="368"/>
      <c r="EB80" s="368"/>
      <c r="EC80" s="368"/>
      <c r="ED80" s="368"/>
      <c r="EE80" s="368"/>
      <c r="EF80" s="368"/>
      <c r="EG80" s="368"/>
      <c r="EH80" s="368"/>
      <c r="EI80" s="368"/>
      <c r="EJ80" s="368"/>
      <c r="EK80" s="368"/>
      <c r="EL80" s="368"/>
      <c r="EM80" s="368"/>
      <c r="EN80" s="368"/>
      <c r="EO80" s="368"/>
      <c r="EP80" s="368"/>
      <c r="EQ80" s="368"/>
      <c r="ER80" s="368"/>
      <c r="ES80" s="368"/>
      <c r="ET80" s="368"/>
      <c r="EU80" s="368"/>
      <c r="EV80" s="368"/>
      <c r="EW80" s="368"/>
      <c r="EX80" s="368"/>
      <c r="EY80" s="368"/>
      <c r="EZ80" s="368"/>
      <c r="FA80" s="368"/>
      <c r="FB80" s="368"/>
      <c r="FC80" s="368"/>
      <c r="FD80" s="368"/>
      <c r="FE80" s="368"/>
      <c r="FF80" s="368"/>
      <c r="FG80" s="368"/>
      <c r="FH80" s="368"/>
      <c r="FI80" s="368"/>
      <c r="FJ80" s="368"/>
      <c r="FK80" s="368"/>
      <c r="FL80" s="368"/>
      <c r="FM80" s="368"/>
      <c r="FN80" s="368"/>
      <c r="FO80" s="368"/>
      <c r="FP80" s="368"/>
      <c r="FQ80" s="368"/>
      <c r="FR80" s="368"/>
      <c r="FS80" s="368"/>
      <c r="FT80" s="368"/>
      <c r="FU80" s="368"/>
      <c r="FV80" s="368"/>
      <c r="FW80" s="368"/>
      <c r="FX80" s="368"/>
      <c r="FY80" s="368"/>
      <c r="FZ80" s="368"/>
      <c r="GA80" s="368"/>
      <c r="GB80" s="368"/>
      <c r="GC80" s="368"/>
      <c r="GD80" s="368"/>
      <c r="GE80" s="368"/>
      <c r="GF80" s="368"/>
      <c r="GG80" s="368"/>
      <c r="GH80" s="368"/>
      <c r="GI80" s="368"/>
      <c r="GJ80" s="368"/>
      <c r="GK80" s="368"/>
      <c r="GL80" s="368"/>
      <c r="GM80" s="368"/>
      <c r="GN80" s="368"/>
      <c r="GO80" s="368"/>
      <c r="GP80" s="368"/>
      <c r="GQ80" s="368"/>
      <c r="GR80" s="368"/>
      <c r="GS80" s="368"/>
      <c r="GT80" s="368"/>
      <c r="GU80" s="368"/>
      <c r="GV80" s="368"/>
      <c r="GW80" s="368"/>
      <c r="GX80" s="368"/>
      <c r="GY80" s="368"/>
      <c r="GZ80" s="368"/>
      <c r="HA80" s="368"/>
      <c r="HB80" s="368"/>
      <c r="HC80" s="368"/>
      <c r="HD80" s="368"/>
      <c r="HE80" s="368"/>
      <c r="HF80" s="368"/>
      <c r="HG80" s="368"/>
      <c r="HH80" s="368"/>
      <c r="HI80" s="368"/>
      <c r="HJ80" s="368"/>
      <c r="HK80" s="368"/>
      <c r="HL80" s="368"/>
      <c r="HM80" s="368"/>
      <c r="HN80" s="368"/>
      <c r="HO80" s="368"/>
      <c r="HP80" s="368"/>
      <c r="HQ80" s="368"/>
      <c r="HR80" s="368"/>
      <c r="HS80" s="368"/>
      <c r="HT80" s="368"/>
      <c r="HU80" s="368"/>
      <c r="HV80" s="368"/>
      <c r="HW80" s="368"/>
      <c r="HX80" s="368"/>
      <c r="HY80" s="368"/>
      <c r="HZ80" s="368"/>
      <c r="IA80" s="368"/>
      <c r="IB80" s="368"/>
      <c r="IC80" s="368"/>
      <c r="ID80" s="368"/>
      <c r="IE80" s="368"/>
      <c r="IF80" s="368"/>
      <c r="IG80" s="368"/>
      <c r="IH80" s="368"/>
      <c r="II80" s="368"/>
      <c r="IJ80" s="368"/>
      <c r="IK80" s="368"/>
      <c r="IL80" s="368"/>
      <c r="IM80" s="368"/>
      <c r="IN80" s="368"/>
      <c r="IO80" s="368"/>
      <c r="IP80" s="368"/>
      <c r="IQ80" s="368"/>
      <c r="IR80" s="368"/>
      <c r="IS80" s="368"/>
      <c r="IT80" s="368"/>
      <c r="IU80" s="368"/>
    </row>
    <row r="81" spans="2:255" ht="20.149999999999999" customHeight="1">
      <c r="B81" s="1025" t="s">
        <v>229</v>
      </c>
      <c r="C81" s="1025"/>
      <c r="D81" s="1028">
        <f>MAX(D17:E17)</f>
        <v>25.2</v>
      </c>
      <c r="E81" s="1028"/>
      <c r="F81" s="1028"/>
      <c r="G81" s="1028"/>
      <c r="H81" s="1028"/>
      <c r="I81" s="1028">
        <f>MIN(D17:E17)</f>
        <v>25</v>
      </c>
      <c r="J81" s="1029"/>
      <c r="K81" s="1029"/>
      <c r="L81" s="1029"/>
      <c r="M81" s="1029"/>
      <c r="O81" s="18">
        <v>1</v>
      </c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8"/>
      <c r="BG81" s="368"/>
      <c r="BH81" s="368"/>
      <c r="BI81" s="368"/>
      <c r="BJ81" s="368"/>
      <c r="BK81" s="368"/>
      <c r="BL81" s="368"/>
      <c r="BM81" s="368"/>
      <c r="BN81" s="368"/>
      <c r="BO81" s="368"/>
      <c r="BP81" s="368"/>
      <c r="BQ81" s="368"/>
      <c r="BR81" s="368"/>
      <c r="BS81" s="368"/>
      <c r="BT81" s="368"/>
      <c r="BU81" s="368"/>
      <c r="BV81" s="368"/>
      <c r="BW81" s="368"/>
      <c r="BX81" s="368"/>
      <c r="BY81" s="368"/>
      <c r="BZ81" s="368"/>
      <c r="CA81" s="368"/>
      <c r="CB81" s="368"/>
      <c r="CC81" s="368"/>
      <c r="CD81" s="368"/>
      <c r="CE81" s="368"/>
      <c r="CF81" s="368"/>
      <c r="CG81" s="368"/>
      <c r="CH81" s="368"/>
      <c r="CI81" s="368"/>
      <c r="CJ81" s="368"/>
      <c r="CK81" s="368"/>
      <c r="CL81" s="368"/>
      <c r="CM81" s="368"/>
      <c r="CN81" s="368"/>
      <c r="CO81" s="368"/>
      <c r="CP81" s="368"/>
      <c r="CQ81" s="368"/>
      <c r="CR81" s="368"/>
      <c r="CS81" s="368"/>
      <c r="CT81" s="368"/>
      <c r="CU81" s="368"/>
      <c r="CV81" s="368"/>
      <c r="CW81" s="368"/>
      <c r="CX81" s="368"/>
      <c r="CY81" s="368"/>
      <c r="CZ81" s="368"/>
      <c r="DA81" s="368"/>
      <c r="DB81" s="368"/>
      <c r="DC81" s="368"/>
      <c r="DD81" s="368"/>
      <c r="DE81" s="368"/>
      <c r="DF81" s="368"/>
      <c r="DG81" s="368"/>
      <c r="DH81" s="368"/>
      <c r="DI81" s="368"/>
      <c r="DJ81" s="368"/>
      <c r="DK81" s="368"/>
      <c r="DL81" s="368"/>
      <c r="DM81" s="368"/>
      <c r="DN81" s="368"/>
      <c r="DO81" s="368"/>
      <c r="DP81" s="368"/>
      <c r="DQ81" s="368"/>
      <c r="DR81" s="368"/>
      <c r="DS81" s="368"/>
      <c r="DT81" s="368"/>
      <c r="DU81" s="368"/>
      <c r="DV81" s="368"/>
      <c r="DW81" s="368"/>
      <c r="DX81" s="368"/>
      <c r="DY81" s="368"/>
      <c r="DZ81" s="368"/>
      <c r="EA81" s="368"/>
      <c r="EB81" s="368"/>
      <c r="EC81" s="368"/>
      <c r="ED81" s="368"/>
      <c r="EE81" s="368"/>
      <c r="EF81" s="368"/>
      <c r="EG81" s="368"/>
      <c r="EH81" s="368"/>
      <c r="EI81" s="368"/>
      <c r="EJ81" s="368"/>
      <c r="EK81" s="368"/>
      <c r="EL81" s="368"/>
      <c r="EM81" s="368"/>
      <c r="EN81" s="368"/>
      <c r="EO81" s="368"/>
      <c r="EP81" s="368"/>
      <c r="EQ81" s="368"/>
      <c r="ER81" s="368"/>
      <c r="ES81" s="368"/>
      <c r="ET81" s="368"/>
      <c r="EU81" s="368"/>
      <c r="EV81" s="368"/>
      <c r="EW81" s="368"/>
      <c r="EX81" s="368"/>
      <c r="EY81" s="368"/>
      <c r="EZ81" s="368"/>
      <c r="FA81" s="368"/>
      <c r="FB81" s="368"/>
      <c r="FC81" s="368"/>
      <c r="FD81" s="368"/>
      <c r="FE81" s="368"/>
      <c r="FF81" s="368"/>
      <c r="FG81" s="368"/>
      <c r="FH81" s="368"/>
      <c r="FI81" s="368"/>
      <c r="FJ81" s="368"/>
      <c r="FK81" s="368"/>
      <c r="FL81" s="368"/>
      <c r="FM81" s="368"/>
      <c r="FN81" s="368"/>
      <c r="FO81" s="368"/>
      <c r="FP81" s="368"/>
      <c r="FQ81" s="368"/>
      <c r="FR81" s="368"/>
      <c r="FS81" s="368"/>
      <c r="FT81" s="368"/>
      <c r="FU81" s="368"/>
      <c r="FV81" s="368"/>
      <c r="FW81" s="368"/>
      <c r="FX81" s="368"/>
      <c r="FY81" s="368"/>
      <c r="FZ81" s="368"/>
      <c r="GA81" s="368"/>
      <c r="GB81" s="368"/>
      <c r="GC81" s="368"/>
      <c r="GD81" s="368"/>
      <c r="GE81" s="368"/>
      <c r="GF81" s="368"/>
      <c r="GG81" s="368"/>
      <c r="GH81" s="368"/>
      <c r="GI81" s="368"/>
      <c r="GJ81" s="368"/>
      <c r="GK81" s="368"/>
      <c r="GL81" s="368"/>
      <c r="GM81" s="368"/>
      <c r="GN81" s="368"/>
      <c r="GO81" s="368"/>
      <c r="GP81" s="368"/>
      <c r="GQ81" s="368"/>
      <c r="GR81" s="368"/>
      <c r="GS81" s="368"/>
      <c r="GT81" s="368"/>
      <c r="GU81" s="368"/>
      <c r="GV81" s="368"/>
      <c r="GW81" s="368"/>
      <c r="GX81" s="368"/>
      <c r="GY81" s="368"/>
      <c r="GZ81" s="368"/>
      <c r="HA81" s="368"/>
      <c r="HB81" s="368"/>
      <c r="HC81" s="368"/>
      <c r="HD81" s="368"/>
      <c r="HE81" s="368"/>
      <c r="HF81" s="368"/>
      <c r="HG81" s="368"/>
      <c r="HH81" s="368"/>
      <c r="HI81" s="368"/>
      <c r="HJ81" s="368"/>
      <c r="HK81" s="368"/>
      <c r="HL81" s="368"/>
      <c r="HM81" s="368"/>
      <c r="HN81" s="368"/>
      <c r="HO81" s="368"/>
      <c r="HP81" s="368"/>
      <c r="HQ81" s="368"/>
      <c r="HR81" s="368"/>
      <c r="HS81" s="368"/>
      <c r="HT81" s="368"/>
      <c r="HU81" s="368"/>
      <c r="HV81" s="368"/>
      <c r="HW81" s="368"/>
      <c r="HX81" s="368"/>
      <c r="HY81" s="368"/>
      <c r="HZ81" s="368"/>
      <c r="IA81" s="368"/>
      <c r="IB81" s="368"/>
      <c r="IC81" s="368"/>
      <c r="ID81" s="368"/>
      <c r="IE81" s="368"/>
      <c r="IF81" s="368"/>
      <c r="IG81" s="368"/>
      <c r="IH81" s="368"/>
      <c r="II81" s="368"/>
      <c r="IJ81" s="368"/>
      <c r="IK81" s="368"/>
      <c r="IL81" s="368"/>
      <c r="IM81" s="368"/>
      <c r="IN81" s="368"/>
      <c r="IO81" s="368"/>
      <c r="IP81" s="368"/>
      <c r="IQ81" s="368"/>
      <c r="IR81" s="368"/>
      <c r="IS81" s="368"/>
      <c r="IT81" s="368"/>
      <c r="IU81" s="368"/>
    </row>
    <row r="82" spans="2:255" ht="20.149999999999999" customHeight="1">
      <c r="L82" s="38"/>
      <c r="M82" s="38"/>
      <c r="P82" s="18">
        <f>(37.2+37.2)/2</f>
        <v>37.200000000000003</v>
      </c>
      <c r="V82" s="368"/>
      <c r="W82" s="368"/>
      <c r="X82" s="368"/>
      <c r="Y82" s="368"/>
      <c r="Z82" s="368"/>
      <c r="AA82" s="368"/>
      <c r="AB82" s="368"/>
      <c r="AC82" s="368"/>
      <c r="AD82" s="368"/>
      <c r="AE82" s="368"/>
      <c r="AF82" s="368"/>
      <c r="AG82" s="368"/>
      <c r="AH82" s="368"/>
      <c r="AI82" s="368"/>
      <c r="AJ82" s="368"/>
      <c r="AK82" s="368"/>
      <c r="AL82" s="368"/>
      <c r="AM82" s="368"/>
      <c r="AN82" s="368"/>
      <c r="AO82" s="368"/>
      <c r="AP82" s="368"/>
      <c r="AQ82" s="368"/>
      <c r="AR82" s="368"/>
      <c r="AS82" s="368"/>
      <c r="AT82" s="368"/>
      <c r="AU82" s="368"/>
      <c r="AV82" s="368"/>
      <c r="AW82" s="368"/>
      <c r="AX82" s="368"/>
      <c r="AY82" s="368"/>
      <c r="AZ82" s="368"/>
      <c r="BA82" s="368"/>
      <c r="BB82" s="368"/>
      <c r="BC82" s="368"/>
      <c r="BD82" s="368"/>
      <c r="BE82" s="368"/>
      <c r="BF82" s="368"/>
      <c r="BG82" s="368"/>
      <c r="BH82" s="368"/>
      <c r="BI82" s="368"/>
      <c r="BJ82" s="368"/>
      <c r="BK82" s="368"/>
      <c r="BL82" s="368"/>
      <c r="BM82" s="368"/>
      <c r="BN82" s="368"/>
      <c r="BO82" s="368"/>
      <c r="BP82" s="368"/>
      <c r="BQ82" s="368"/>
      <c r="BR82" s="368"/>
      <c r="BS82" s="368"/>
      <c r="BT82" s="368"/>
      <c r="BU82" s="368"/>
      <c r="BV82" s="368"/>
      <c r="BW82" s="368"/>
      <c r="BX82" s="368"/>
      <c r="BY82" s="368"/>
      <c r="BZ82" s="368"/>
      <c r="CA82" s="368"/>
      <c r="CB82" s="368"/>
      <c r="CC82" s="368"/>
      <c r="CD82" s="368"/>
      <c r="CE82" s="368"/>
      <c r="CF82" s="368"/>
      <c r="CG82" s="368"/>
      <c r="CH82" s="368"/>
      <c r="CI82" s="368"/>
      <c r="CJ82" s="368"/>
      <c r="CK82" s="368"/>
      <c r="CL82" s="368"/>
      <c r="CM82" s="368"/>
      <c r="CN82" s="368"/>
      <c r="CO82" s="368"/>
      <c r="CP82" s="368"/>
      <c r="CQ82" s="368"/>
      <c r="CR82" s="368"/>
      <c r="CS82" s="368"/>
      <c r="CT82" s="368"/>
      <c r="CU82" s="368"/>
      <c r="CV82" s="368"/>
      <c r="CW82" s="368"/>
      <c r="CX82" s="368"/>
      <c r="CY82" s="368"/>
      <c r="CZ82" s="368"/>
      <c r="DA82" s="368"/>
      <c r="DB82" s="368"/>
      <c r="DC82" s="368"/>
      <c r="DD82" s="368"/>
      <c r="DE82" s="368"/>
      <c r="DF82" s="368"/>
      <c r="DG82" s="368"/>
      <c r="DH82" s="368"/>
      <c r="DI82" s="368"/>
      <c r="DJ82" s="368"/>
      <c r="DK82" s="368"/>
      <c r="DL82" s="368"/>
      <c r="DM82" s="368"/>
      <c r="DN82" s="368"/>
      <c r="DO82" s="368"/>
      <c r="DP82" s="368"/>
      <c r="DQ82" s="368"/>
      <c r="DR82" s="368"/>
      <c r="DS82" s="368"/>
      <c r="DT82" s="368"/>
      <c r="DU82" s="368"/>
      <c r="DV82" s="368"/>
      <c r="DW82" s="368"/>
      <c r="DX82" s="368"/>
      <c r="DY82" s="368"/>
      <c r="DZ82" s="368"/>
      <c r="EA82" s="368"/>
      <c r="EB82" s="368"/>
      <c r="EC82" s="368"/>
      <c r="ED82" s="368"/>
      <c r="EE82" s="368"/>
      <c r="EF82" s="368"/>
      <c r="EG82" s="368"/>
      <c r="EH82" s="368"/>
      <c r="EI82" s="368"/>
      <c r="EJ82" s="368"/>
      <c r="EK82" s="368"/>
      <c r="EL82" s="368"/>
      <c r="EM82" s="368"/>
      <c r="EN82" s="368"/>
      <c r="EO82" s="368"/>
      <c r="EP82" s="368"/>
      <c r="EQ82" s="368"/>
      <c r="ER82" s="368"/>
      <c r="ES82" s="368"/>
      <c r="ET82" s="368"/>
      <c r="EU82" s="368"/>
      <c r="EV82" s="368"/>
      <c r="EW82" s="368"/>
      <c r="EX82" s="368"/>
      <c r="EY82" s="368"/>
      <c r="EZ82" s="368"/>
      <c r="FA82" s="368"/>
      <c r="FB82" s="368"/>
      <c r="FC82" s="368"/>
      <c r="FD82" s="368"/>
      <c r="FE82" s="368"/>
      <c r="FF82" s="368"/>
      <c r="FG82" s="368"/>
      <c r="FH82" s="368"/>
      <c r="FI82" s="368"/>
      <c r="FJ82" s="368"/>
      <c r="FK82" s="368"/>
      <c r="FL82" s="368"/>
      <c r="FM82" s="368"/>
      <c r="FN82" s="368"/>
      <c r="FO82" s="368"/>
      <c r="FP82" s="368"/>
      <c r="FQ82" s="368"/>
      <c r="FR82" s="368"/>
      <c r="FS82" s="368"/>
      <c r="FT82" s="368"/>
      <c r="FU82" s="368"/>
      <c r="FV82" s="368"/>
      <c r="FW82" s="368"/>
      <c r="FX82" s="368"/>
      <c r="FY82" s="368"/>
      <c r="FZ82" s="368"/>
      <c r="GA82" s="368"/>
      <c r="GB82" s="368"/>
      <c r="GC82" s="368"/>
      <c r="GD82" s="368"/>
      <c r="GE82" s="368"/>
      <c r="GF82" s="368"/>
      <c r="GG82" s="368"/>
      <c r="GH82" s="368"/>
      <c r="GI82" s="368"/>
      <c r="GJ82" s="368"/>
      <c r="GK82" s="368"/>
      <c r="GL82" s="368"/>
      <c r="GM82" s="368"/>
      <c r="GN82" s="368"/>
      <c r="GO82" s="368"/>
      <c r="GP82" s="368"/>
      <c r="GQ82" s="368"/>
      <c r="GR82" s="368"/>
      <c r="GS82" s="368"/>
      <c r="GT82" s="368"/>
      <c r="GU82" s="368"/>
      <c r="GV82" s="368"/>
      <c r="GW82" s="368"/>
      <c r="GX82" s="368"/>
      <c r="GY82" s="368"/>
      <c r="GZ82" s="368"/>
      <c r="HA82" s="368"/>
      <c r="HB82" s="368"/>
      <c r="HC82" s="368"/>
      <c r="HD82" s="368"/>
      <c r="HE82" s="368"/>
      <c r="HF82" s="368"/>
      <c r="HG82" s="368"/>
      <c r="HH82" s="368"/>
      <c r="HI82" s="368"/>
      <c r="HJ82" s="368"/>
      <c r="HK82" s="368"/>
      <c r="HL82" s="368"/>
      <c r="HM82" s="368"/>
      <c r="HN82" s="368"/>
      <c r="HO82" s="368"/>
      <c r="HP82" s="368"/>
      <c r="HQ82" s="368"/>
      <c r="HR82" s="368"/>
      <c r="HS82" s="368"/>
      <c r="HT82" s="368"/>
      <c r="HU82" s="368"/>
      <c r="HV82" s="368"/>
      <c r="HW82" s="368"/>
      <c r="HX82" s="368"/>
      <c r="HY82" s="368"/>
      <c r="HZ82" s="368"/>
      <c r="IA82" s="368"/>
      <c r="IB82" s="368"/>
      <c r="IC82" s="368"/>
      <c r="ID82" s="368"/>
      <c r="IE82" s="368"/>
      <c r="IF82" s="368"/>
      <c r="IG82" s="368"/>
      <c r="IH82" s="368"/>
      <c r="II82" s="368"/>
      <c r="IJ82" s="368"/>
      <c r="IK82" s="368"/>
      <c r="IL82" s="368"/>
      <c r="IM82" s="368"/>
      <c r="IN82" s="368"/>
      <c r="IO82" s="368"/>
      <c r="IP82" s="368"/>
      <c r="IQ82" s="368"/>
      <c r="IR82" s="368"/>
      <c r="IS82" s="368"/>
      <c r="IT82" s="368"/>
      <c r="IU82" s="368"/>
    </row>
    <row r="83" spans="2:255" ht="20.149999999999999" customHeight="1">
      <c r="B83" s="1019" t="s">
        <v>60</v>
      </c>
      <c r="C83" s="1019" t="s">
        <v>61</v>
      </c>
      <c r="D83" s="1025" t="s">
        <v>227</v>
      </c>
      <c r="E83" s="1025"/>
      <c r="F83" s="1025"/>
      <c r="G83" s="1025"/>
      <c r="H83" s="1025"/>
      <c r="I83" s="1025"/>
      <c r="J83" s="1025"/>
      <c r="K83" s="1025"/>
      <c r="L83" s="1025"/>
      <c r="M83" s="1025"/>
      <c r="N83" s="1032" t="s">
        <v>230</v>
      </c>
      <c r="O83" s="1019" t="s">
        <v>231</v>
      </c>
      <c r="P83" s="1019" t="s">
        <v>232</v>
      </c>
      <c r="R83" s="1019" t="s">
        <v>233</v>
      </c>
      <c r="S83" s="1019" t="s">
        <v>234</v>
      </c>
      <c r="T83" s="1019" t="s">
        <v>235</v>
      </c>
      <c r="U83" s="1022" t="s">
        <v>236</v>
      </c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8"/>
      <c r="BG83" s="368"/>
      <c r="BH83" s="368"/>
      <c r="BI83" s="368"/>
      <c r="BJ83" s="368"/>
      <c r="BK83" s="368"/>
      <c r="BL83" s="368"/>
      <c r="BM83" s="368"/>
      <c r="BN83" s="368"/>
      <c r="BO83" s="368"/>
      <c r="BP83" s="368"/>
      <c r="BQ83" s="368"/>
      <c r="BR83" s="368"/>
      <c r="BS83" s="368"/>
      <c r="BT83" s="368"/>
      <c r="BU83" s="368"/>
      <c r="BV83" s="368"/>
      <c r="BW83" s="368"/>
      <c r="BX83" s="368"/>
      <c r="BY83" s="368"/>
      <c r="BZ83" s="368"/>
      <c r="CA83" s="368"/>
      <c r="CB83" s="368"/>
      <c r="CC83" s="368"/>
      <c r="CD83" s="368"/>
      <c r="CE83" s="368"/>
      <c r="CF83" s="368"/>
      <c r="CG83" s="368"/>
      <c r="CH83" s="368"/>
      <c r="CI83" s="368"/>
      <c r="CJ83" s="368"/>
      <c r="CK83" s="368"/>
      <c r="CL83" s="368"/>
      <c r="CM83" s="368"/>
      <c r="CN83" s="368"/>
      <c r="CO83" s="368"/>
      <c r="CP83" s="368"/>
      <c r="CQ83" s="368"/>
      <c r="CR83" s="368"/>
      <c r="CS83" s="368"/>
      <c r="CT83" s="368"/>
      <c r="CU83" s="368"/>
      <c r="CV83" s="368"/>
      <c r="CW83" s="368"/>
      <c r="CX83" s="368"/>
      <c r="CY83" s="368"/>
      <c r="CZ83" s="368"/>
      <c r="DA83" s="368"/>
      <c r="DB83" s="368"/>
      <c r="DC83" s="368"/>
      <c r="DD83" s="368"/>
      <c r="DE83" s="368"/>
      <c r="DF83" s="368"/>
      <c r="DG83" s="368"/>
      <c r="DH83" s="368"/>
      <c r="DI83" s="368"/>
      <c r="DJ83" s="368"/>
      <c r="DK83" s="368"/>
      <c r="DL83" s="368"/>
      <c r="DM83" s="368"/>
      <c r="DN83" s="368"/>
      <c r="DO83" s="368"/>
      <c r="DP83" s="368"/>
      <c r="DQ83" s="368"/>
      <c r="DR83" s="368"/>
      <c r="DS83" s="368"/>
      <c r="DT83" s="368"/>
      <c r="DU83" s="368"/>
      <c r="DV83" s="368"/>
      <c r="DW83" s="368"/>
      <c r="DX83" s="368"/>
      <c r="DY83" s="368"/>
      <c r="DZ83" s="368"/>
      <c r="EA83" s="368"/>
      <c r="EB83" s="368"/>
      <c r="EC83" s="368"/>
      <c r="ED83" s="368"/>
      <c r="EE83" s="368"/>
      <c r="EF83" s="368"/>
      <c r="EG83" s="368"/>
      <c r="EH83" s="368"/>
      <c r="EI83" s="368"/>
      <c r="EJ83" s="368"/>
      <c r="EK83" s="368"/>
      <c r="EL83" s="368"/>
      <c r="EM83" s="368"/>
      <c r="EN83" s="368"/>
      <c r="EO83" s="368"/>
      <c r="EP83" s="368"/>
      <c r="EQ83" s="368"/>
      <c r="ER83" s="368"/>
      <c r="ES83" s="368"/>
      <c r="ET83" s="368"/>
      <c r="EU83" s="368"/>
      <c r="EV83" s="368"/>
      <c r="EW83" s="368"/>
      <c r="EX83" s="368"/>
      <c r="EY83" s="368"/>
      <c r="EZ83" s="368"/>
      <c r="FA83" s="368"/>
      <c r="FB83" s="368"/>
      <c r="FC83" s="368"/>
      <c r="FD83" s="368"/>
      <c r="FE83" s="368"/>
      <c r="FF83" s="368"/>
      <c r="FG83" s="368"/>
      <c r="FH83" s="368"/>
      <c r="FI83" s="368"/>
      <c r="FJ83" s="368"/>
      <c r="FK83" s="368"/>
      <c r="FL83" s="368"/>
      <c r="FM83" s="368"/>
      <c r="FN83" s="368"/>
      <c r="FO83" s="368"/>
      <c r="FP83" s="368"/>
      <c r="FQ83" s="368"/>
      <c r="FR83" s="368"/>
      <c r="FS83" s="368"/>
      <c r="FT83" s="368"/>
      <c r="FU83" s="368"/>
      <c r="FV83" s="368"/>
      <c r="FW83" s="368"/>
      <c r="FX83" s="368"/>
      <c r="FY83" s="368"/>
      <c r="FZ83" s="368"/>
      <c r="GA83" s="368"/>
      <c r="GB83" s="368"/>
      <c r="GC83" s="368"/>
      <c r="GD83" s="368"/>
      <c r="GE83" s="368"/>
      <c r="GF83" s="368"/>
      <c r="GG83" s="368"/>
      <c r="GH83" s="368"/>
      <c r="GI83" s="368"/>
      <c r="GJ83" s="368"/>
      <c r="GK83" s="368"/>
      <c r="GL83" s="368"/>
      <c r="GM83" s="368"/>
      <c r="GN83" s="368"/>
      <c r="GO83" s="368"/>
      <c r="GP83" s="368"/>
      <c r="GQ83" s="368"/>
      <c r="GR83" s="368"/>
      <c r="GS83" s="368"/>
      <c r="GT83" s="368"/>
      <c r="GU83" s="368"/>
      <c r="GV83" s="368"/>
      <c r="GW83" s="368"/>
      <c r="GX83" s="368"/>
      <c r="GY83" s="368"/>
      <c r="GZ83" s="368"/>
      <c r="HA83" s="368"/>
      <c r="HB83" s="368"/>
      <c r="HC83" s="368"/>
      <c r="HD83" s="368"/>
      <c r="HE83" s="368"/>
      <c r="HF83" s="368"/>
      <c r="HG83" s="368"/>
      <c r="HH83" s="368"/>
      <c r="HI83" s="368"/>
      <c r="HJ83" s="368"/>
      <c r="HK83" s="368"/>
      <c r="HL83" s="368"/>
      <c r="HM83" s="368"/>
      <c r="HN83" s="368"/>
      <c r="HO83" s="368"/>
      <c r="HP83" s="368"/>
      <c r="HQ83" s="368"/>
      <c r="HR83" s="368"/>
      <c r="HS83" s="368"/>
      <c r="HT83" s="368"/>
      <c r="HU83" s="368"/>
      <c r="HV83" s="368"/>
      <c r="HW83" s="368"/>
      <c r="HX83" s="368"/>
      <c r="HY83" s="368"/>
      <c r="HZ83" s="368"/>
      <c r="IA83" s="368"/>
      <c r="IB83" s="368"/>
      <c r="IC83" s="368"/>
      <c r="ID83" s="368"/>
      <c r="IE83" s="368"/>
      <c r="IF83" s="368"/>
      <c r="IG83" s="368"/>
      <c r="IH83" s="368"/>
      <c r="II83" s="368"/>
      <c r="IJ83" s="368"/>
      <c r="IK83" s="368"/>
      <c r="IL83" s="368"/>
      <c r="IM83" s="368"/>
      <c r="IN83" s="368"/>
      <c r="IO83" s="368"/>
      <c r="IP83" s="368"/>
      <c r="IQ83" s="368"/>
      <c r="IR83" s="368"/>
      <c r="IS83" s="368"/>
      <c r="IT83" s="368"/>
      <c r="IU83" s="368"/>
    </row>
    <row r="84" spans="2:255" ht="19.5" customHeight="1">
      <c r="B84" s="1019"/>
      <c r="C84" s="1019"/>
      <c r="D84" s="873" t="s">
        <v>64</v>
      </c>
      <c r="E84" s="873" t="s">
        <v>65</v>
      </c>
      <c r="F84" s="873" t="s">
        <v>66</v>
      </c>
      <c r="G84" s="873" t="s">
        <v>67</v>
      </c>
      <c r="H84" s="873" t="s">
        <v>68</v>
      </c>
      <c r="I84" s="873" t="s">
        <v>69</v>
      </c>
      <c r="J84" s="873" t="s">
        <v>70</v>
      </c>
      <c r="K84" s="873" t="s">
        <v>71</v>
      </c>
      <c r="L84" s="873" t="s">
        <v>72</v>
      </c>
      <c r="M84" s="873" t="s">
        <v>73</v>
      </c>
      <c r="N84" s="1032"/>
      <c r="O84" s="1019"/>
      <c r="P84" s="1019"/>
      <c r="R84" s="1019"/>
      <c r="S84" s="1019"/>
      <c r="T84" s="1019"/>
      <c r="U84" s="1022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8"/>
      <c r="BG84" s="368"/>
      <c r="BH84" s="368"/>
      <c r="BI84" s="368"/>
      <c r="BJ84" s="368"/>
      <c r="BK84" s="368"/>
      <c r="BL84" s="368"/>
      <c r="BM84" s="368"/>
      <c r="BN84" s="368"/>
      <c r="BO84" s="368"/>
      <c r="BP84" s="368"/>
      <c r="BQ84" s="368"/>
      <c r="BR84" s="368"/>
      <c r="BS84" s="368"/>
      <c r="BT84" s="368"/>
      <c r="BU84" s="368"/>
      <c r="BV84" s="368"/>
      <c r="BW84" s="368"/>
      <c r="BX84" s="368"/>
      <c r="BY84" s="368"/>
      <c r="BZ84" s="368"/>
      <c r="CA84" s="368"/>
      <c r="CB84" s="368"/>
      <c r="CC84" s="368"/>
      <c r="CD84" s="368"/>
      <c r="CE84" s="368"/>
      <c r="CF84" s="368"/>
      <c r="CG84" s="368"/>
      <c r="CH84" s="368"/>
      <c r="CI84" s="368"/>
      <c r="CJ84" s="368"/>
      <c r="CK84" s="368"/>
      <c r="CL84" s="368"/>
      <c r="CM84" s="368"/>
      <c r="CN84" s="368"/>
      <c r="CO84" s="368"/>
      <c r="CP84" s="368"/>
      <c r="CQ84" s="368"/>
      <c r="CR84" s="368"/>
      <c r="CS84" s="368"/>
      <c r="CT84" s="368"/>
      <c r="CU84" s="368"/>
      <c r="CV84" s="368"/>
      <c r="CW84" s="368"/>
      <c r="CX84" s="368"/>
      <c r="CY84" s="368"/>
      <c r="CZ84" s="368"/>
      <c r="DA84" s="368"/>
      <c r="DB84" s="368"/>
      <c r="DC84" s="368"/>
      <c r="DD84" s="368"/>
      <c r="DE84" s="368"/>
      <c r="DF84" s="368"/>
      <c r="DG84" s="368"/>
      <c r="DH84" s="368"/>
      <c r="DI84" s="368"/>
      <c r="DJ84" s="368"/>
      <c r="DK84" s="368"/>
      <c r="DL84" s="368"/>
      <c r="DM84" s="368"/>
      <c r="DN84" s="368"/>
      <c r="DO84" s="368"/>
      <c r="DP84" s="368"/>
      <c r="DQ84" s="368"/>
      <c r="DR84" s="368"/>
      <c r="DS84" s="368"/>
      <c r="DT84" s="368"/>
      <c r="DU84" s="368"/>
      <c r="DV84" s="368"/>
      <c r="DW84" s="368"/>
      <c r="DX84" s="368"/>
      <c r="DY84" s="368"/>
      <c r="DZ84" s="368"/>
      <c r="EA84" s="368"/>
      <c r="EB84" s="368"/>
      <c r="EC84" s="368"/>
      <c r="ED84" s="368"/>
      <c r="EE84" s="368"/>
      <c r="EF84" s="368"/>
      <c r="EG84" s="368"/>
      <c r="EH84" s="368"/>
      <c r="EI84" s="368"/>
      <c r="EJ84" s="368"/>
      <c r="EK84" s="368"/>
      <c r="EL84" s="368"/>
      <c r="EM84" s="368"/>
      <c r="EN84" s="368"/>
      <c r="EO84" s="368"/>
      <c r="EP84" s="368"/>
      <c r="EQ84" s="368"/>
      <c r="ER84" s="368"/>
      <c r="ES84" s="368"/>
      <c r="ET84" s="368"/>
      <c r="EU84" s="368"/>
      <c r="EV84" s="368"/>
      <c r="EW84" s="368"/>
      <c r="EX84" s="368"/>
      <c r="EY84" s="368"/>
      <c r="EZ84" s="368"/>
      <c r="FA84" s="368"/>
      <c r="FB84" s="368"/>
      <c r="FC84" s="368"/>
      <c r="FD84" s="368"/>
      <c r="FE84" s="368"/>
      <c r="FF84" s="368"/>
      <c r="FG84" s="368"/>
      <c r="FH84" s="368"/>
      <c r="FI84" s="368"/>
      <c r="FJ84" s="368"/>
      <c r="FK84" s="368"/>
      <c r="FL84" s="368"/>
      <c r="FM84" s="368"/>
      <c r="FN84" s="368"/>
      <c r="FO84" s="368"/>
      <c r="FP84" s="368"/>
      <c r="FQ84" s="368"/>
      <c r="FR84" s="368"/>
      <c r="FS84" s="368"/>
      <c r="FT84" s="368"/>
      <c r="FU84" s="368"/>
      <c r="FV84" s="368"/>
      <c r="FW84" s="368"/>
      <c r="FX84" s="368"/>
      <c r="FY84" s="368"/>
      <c r="FZ84" s="368"/>
      <c r="GA84" s="368"/>
      <c r="GB84" s="368"/>
      <c r="GC84" s="368"/>
      <c r="GD84" s="368"/>
      <c r="GE84" s="368"/>
      <c r="GF84" s="368"/>
      <c r="GG84" s="368"/>
      <c r="GH84" s="368"/>
      <c r="GI84" s="368"/>
      <c r="GJ84" s="368"/>
      <c r="GK84" s="368"/>
      <c r="GL84" s="368"/>
      <c r="GM84" s="368"/>
      <c r="GN84" s="368"/>
      <c r="GO84" s="368"/>
      <c r="GP84" s="368"/>
      <c r="GQ84" s="368"/>
      <c r="GR84" s="368"/>
      <c r="GS84" s="368"/>
      <c r="GT84" s="368"/>
      <c r="GU84" s="368"/>
      <c r="GV84" s="368"/>
      <c r="GW84" s="368"/>
      <c r="GX84" s="368"/>
      <c r="GY84" s="368"/>
      <c r="GZ84" s="368"/>
      <c r="HA84" s="368"/>
      <c r="HB84" s="368"/>
      <c r="HC84" s="368"/>
      <c r="HD84" s="368"/>
      <c r="HE84" s="368"/>
      <c r="HF84" s="368"/>
      <c r="HG84" s="368"/>
      <c r="HH84" s="368"/>
      <c r="HI84" s="368"/>
      <c r="HJ84" s="368"/>
      <c r="HK84" s="368"/>
      <c r="HL84" s="368"/>
      <c r="HM84" s="368"/>
      <c r="HN84" s="368"/>
      <c r="HO84" s="368"/>
      <c r="HP84" s="368"/>
      <c r="HQ84" s="368"/>
      <c r="HR84" s="368"/>
      <c r="HS84" s="368"/>
      <c r="HT84" s="368"/>
      <c r="HU84" s="368"/>
      <c r="HV84" s="368"/>
      <c r="HW84" s="368"/>
      <c r="HX84" s="368"/>
      <c r="HY84" s="368"/>
      <c r="HZ84" s="368"/>
      <c r="IA84" s="368"/>
      <c r="IB84" s="368"/>
      <c r="IC84" s="368"/>
      <c r="ID84" s="368"/>
      <c r="IE84" s="368"/>
      <c r="IF84" s="368"/>
      <c r="IG84" s="368"/>
      <c r="IH84" s="368"/>
      <c r="II84" s="368"/>
      <c r="IJ84" s="368"/>
      <c r="IK84" s="368"/>
      <c r="IL84" s="368"/>
      <c r="IM84" s="368"/>
      <c r="IN84" s="368"/>
      <c r="IO84" s="368"/>
      <c r="IP84" s="368"/>
      <c r="IQ84" s="368"/>
      <c r="IR84" s="368"/>
      <c r="IS84" s="368"/>
      <c r="IT84" s="368"/>
      <c r="IU84" s="368"/>
    </row>
    <row r="85" spans="2:255" ht="20.149999999999999" customHeight="1">
      <c r="B85" s="1055">
        <f>B72</f>
        <v>37</v>
      </c>
      <c r="C85" s="29">
        <v>1</v>
      </c>
      <c r="D85" s="31">
        <f ca="1">'Data Standar'!D298</f>
        <v>37.21</v>
      </c>
      <c r="E85" s="31">
        <f ca="1">'Data Standar'!J298</f>
        <v>37.21</v>
      </c>
      <c r="F85" s="31">
        <f ca="1">'Data Standar'!D311</f>
        <v>37.21</v>
      </c>
      <c r="G85" s="31">
        <f ca="1">'Data Standar'!J311</f>
        <v>37.21</v>
      </c>
      <c r="H85" s="31">
        <f ca="1">'Data Standar'!D324</f>
        <v>37.21</v>
      </c>
      <c r="I85" s="31">
        <f ca="1">'Data Standar'!J324</f>
        <v>37.21</v>
      </c>
      <c r="J85" s="31">
        <f ca="1">'Data Standar'!D337</f>
        <v>37.21</v>
      </c>
      <c r="K85" s="31">
        <f ca="1">'Data Standar'!J337</f>
        <v>37.21</v>
      </c>
      <c r="L85" s="31">
        <f ca="1">'Data Standar'!D350</f>
        <v>37.21</v>
      </c>
      <c r="M85" s="31">
        <f ca="1">'Data Standar'!J350</f>
        <v>37.21</v>
      </c>
      <c r="N85" s="31">
        <f t="shared" ref="N85:N92" ca="1" si="1">IFERROR(STDEV(D85:M85),0)</f>
        <v>7.4897780662969626E-15</v>
      </c>
      <c r="O85" s="31">
        <f ca="1">MAX(D85:M85)-MIN(D85:M85)</f>
        <v>0</v>
      </c>
      <c r="P85" s="31">
        <f ca="1">AVERAGE(D85:M85)</f>
        <v>37.209999999999994</v>
      </c>
      <c r="R85" s="29">
        <f>36.03-35.94</f>
        <v>9.0000000000003411E-2</v>
      </c>
      <c r="S85" s="259">
        <f>(36.03+35.94)/2</f>
        <v>35.984999999999999</v>
      </c>
      <c r="T85" s="29">
        <f>35.99+0.13</f>
        <v>36.120000000000005</v>
      </c>
      <c r="U85" s="892"/>
      <c r="V85" s="368"/>
      <c r="W85" s="368"/>
      <c r="X85" s="368"/>
      <c r="Y85" s="368"/>
      <c r="Z85" s="368"/>
      <c r="AA85" s="368"/>
      <c r="AB85" s="368"/>
      <c r="AC85" s="368"/>
      <c r="AD85" s="368"/>
      <c r="AE85" s="368"/>
      <c r="AF85" s="368"/>
      <c r="AG85" s="368"/>
      <c r="AH85" s="368"/>
      <c r="AI85" s="368"/>
      <c r="AJ85" s="368"/>
      <c r="AK85" s="368"/>
      <c r="AL85" s="368"/>
      <c r="AM85" s="368"/>
      <c r="AN85" s="368"/>
      <c r="AO85" s="368"/>
      <c r="AP85" s="368"/>
      <c r="AQ85" s="368"/>
      <c r="AR85" s="368"/>
      <c r="AS85" s="368"/>
      <c r="AT85" s="368"/>
      <c r="AU85" s="368"/>
      <c r="AV85" s="368"/>
      <c r="AW85" s="368"/>
      <c r="AX85" s="368"/>
      <c r="AY85" s="368"/>
      <c r="AZ85" s="368"/>
      <c r="BA85" s="368"/>
      <c r="BB85" s="368"/>
      <c r="BC85" s="368"/>
      <c r="BD85" s="368"/>
      <c r="BE85" s="368"/>
      <c r="BF85" s="368"/>
      <c r="BG85" s="368"/>
      <c r="BH85" s="368"/>
      <c r="BI85" s="368"/>
      <c r="BJ85" s="368"/>
      <c r="BK85" s="368"/>
      <c r="BL85" s="368"/>
      <c r="BM85" s="368"/>
      <c r="BN85" s="368"/>
      <c r="BO85" s="368"/>
      <c r="BP85" s="368"/>
      <c r="BQ85" s="368"/>
      <c r="BR85" s="368"/>
      <c r="BS85" s="368"/>
      <c r="BT85" s="368"/>
      <c r="BU85" s="368"/>
      <c r="BV85" s="368"/>
      <c r="BW85" s="368"/>
      <c r="BX85" s="368"/>
      <c r="BY85" s="368"/>
      <c r="BZ85" s="368"/>
      <c r="CA85" s="368"/>
      <c r="CB85" s="368"/>
      <c r="CC85" s="368"/>
      <c r="CD85" s="368"/>
      <c r="CE85" s="368"/>
      <c r="CF85" s="368"/>
      <c r="CG85" s="368"/>
      <c r="CH85" s="368"/>
      <c r="CI85" s="368"/>
      <c r="CJ85" s="368"/>
      <c r="CK85" s="368"/>
      <c r="CL85" s="368"/>
      <c r="CM85" s="368"/>
      <c r="CN85" s="368"/>
      <c r="CO85" s="368"/>
      <c r="CP85" s="368"/>
      <c r="CQ85" s="368"/>
      <c r="CR85" s="368"/>
      <c r="CS85" s="368"/>
      <c r="CT85" s="368"/>
      <c r="CU85" s="368"/>
      <c r="CV85" s="368"/>
      <c r="CW85" s="368"/>
      <c r="CX85" s="368"/>
      <c r="CY85" s="368"/>
      <c r="CZ85" s="368"/>
      <c r="DA85" s="368"/>
      <c r="DB85" s="368"/>
      <c r="DC85" s="368"/>
      <c r="DD85" s="368"/>
      <c r="DE85" s="368"/>
      <c r="DF85" s="368"/>
      <c r="DG85" s="368"/>
      <c r="DH85" s="368"/>
      <c r="DI85" s="368"/>
      <c r="DJ85" s="368"/>
      <c r="DK85" s="368"/>
      <c r="DL85" s="368"/>
      <c r="DM85" s="368"/>
      <c r="DN85" s="368"/>
      <c r="DO85" s="368"/>
      <c r="DP85" s="368"/>
      <c r="DQ85" s="368"/>
      <c r="DR85" s="368"/>
      <c r="DS85" s="368"/>
      <c r="DT85" s="368"/>
      <c r="DU85" s="368"/>
      <c r="DV85" s="368"/>
      <c r="DW85" s="368"/>
      <c r="DX85" s="368"/>
      <c r="DY85" s="368"/>
      <c r="DZ85" s="368"/>
      <c r="EA85" s="368"/>
      <c r="EB85" s="368"/>
      <c r="EC85" s="368"/>
      <c r="ED85" s="368"/>
      <c r="EE85" s="368"/>
      <c r="EF85" s="368"/>
      <c r="EG85" s="368"/>
      <c r="EH85" s="368"/>
      <c r="EI85" s="368"/>
      <c r="EJ85" s="368"/>
      <c r="EK85" s="368"/>
      <c r="EL85" s="368"/>
      <c r="EM85" s="368"/>
      <c r="EN85" s="368"/>
      <c r="EO85" s="368"/>
      <c r="EP85" s="368"/>
      <c r="EQ85" s="368"/>
      <c r="ER85" s="368"/>
      <c r="ES85" s="368"/>
      <c r="ET85" s="368"/>
      <c r="EU85" s="368"/>
      <c r="EV85" s="368"/>
      <c r="EW85" s="368"/>
      <c r="EX85" s="368"/>
      <c r="EY85" s="368"/>
      <c r="EZ85" s="368"/>
      <c r="FA85" s="368"/>
      <c r="FB85" s="368"/>
      <c r="FC85" s="368"/>
      <c r="FD85" s="368"/>
      <c r="FE85" s="368"/>
      <c r="FF85" s="368"/>
      <c r="FG85" s="368"/>
      <c r="FH85" s="368"/>
      <c r="FI85" s="368"/>
      <c r="FJ85" s="368"/>
      <c r="FK85" s="368"/>
      <c r="FL85" s="368"/>
      <c r="FM85" s="368"/>
      <c r="FN85" s="368"/>
      <c r="FO85" s="368"/>
      <c r="FP85" s="368"/>
      <c r="FQ85" s="368"/>
      <c r="FR85" s="368"/>
      <c r="FS85" s="368"/>
      <c r="FT85" s="368"/>
      <c r="FU85" s="368"/>
      <c r="FV85" s="368"/>
      <c r="FW85" s="368"/>
      <c r="FX85" s="368"/>
      <c r="FY85" s="368"/>
      <c r="FZ85" s="368"/>
      <c r="GA85" s="368"/>
      <c r="GB85" s="368"/>
      <c r="GC85" s="368"/>
      <c r="GD85" s="368"/>
      <c r="GE85" s="368"/>
      <c r="GF85" s="368"/>
      <c r="GG85" s="368"/>
      <c r="GH85" s="368"/>
      <c r="GI85" s="368"/>
      <c r="GJ85" s="368"/>
      <c r="GK85" s="368"/>
      <c r="GL85" s="368"/>
      <c r="GM85" s="368"/>
      <c r="GN85" s="368"/>
      <c r="GO85" s="368"/>
      <c r="GP85" s="368"/>
      <c r="GQ85" s="368"/>
      <c r="GR85" s="368"/>
      <c r="GS85" s="368"/>
      <c r="GT85" s="368"/>
      <c r="GU85" s="368"/>
      <c r="GV85" s="368"/>
      <c r="GW85" s="368"/>
      <c r="GX85" s="368"/>
      <c r="GY85" s="368"/>
      <c r="GZ85" s="368"/>
      <c r="HA85" s="368"/>
      <c r="HB85" s="368"/>
      <c r="HC85" s="368"/>
      <c r="HD85" s="368"/>
      <c r="HE85" s="368"/>
      <c r="HF85" s="368"/>
      <c r="HG85" s="368"/>
      <c r="HH85" s="368"/>
      <c r="HI85" s="368"/>
      <c r="HJ85" s="368"/>
      <c r="HK85" s="368"/>
      <c r="HL85" s="368"/>
      <c r="HM85" s="368"/>
      <c r="HN85" s="368"/>
      <c r="HO85" s="368"/>
      <c r="HP85" s="368"/>
      <c r="HQ85" s="368"/>
      <c r="HR85" s="368"/>
      <c r="HS85" s="368"/>
      <c r="HT85" s="368"/>
      <c r="HU85" s="368"/>
      <c r="HV85" s="368"/>
      <c r="HW85" s="368"/>
      <c r="HX85" s="368"/>
      <c r="HY85" s="368"/>
      <c r="HZ85" s="368"/>
      <c r="IA85" s="368"/>
      <c r="IB85" s="368"/>
      <c r="IC85" s="368"/>
      <c r="ID85" s="368"/>
      <c r="IE85" s="368"/>
      <c r="IF85" s="368"/>
      <c r="IG85" s="368"/>
      <c r="IH85" s="368"/>
      <c r="II85" s="368"/>
      <c r="IJ85" s="368"/>
      <c r="IK85" s="368"/>
      <c r="IL85" s="368"/>
      <c r="IM85" s="368"/>
      <c r="IN85" s="368"/>
      <c r="IO85" s="368"/>
      <c r="IP85" s="368"/>
      <c r="IQ85" s="368"/>
      <c r="IR85" s="368"/>
      <c r="IS85" s="368"/>
      <c r="IT85" s="368"/>
      <c r="IU85" s="368"/>
    </row>
    <row r="86" spans="2:255" ht="20.149999999999999" customHeight="1">
      <c r="B86" s="1055"/>
      <c r="C86" s="29">
        <v>2</v>
      </c>
      <c r="D86" s="31">
        <f ca="1">'Data Standar'!D299</f>
        <v>37.21</v>
      </c>
      <c r="E86" s="31">
        <f ca="1">'Data Standar'!J299</f>
        <v>37.21</v>
      </c>
      <c r="F86" s="31">
        <f ca="1">'Data Standar'!D312</f>
        <v>37.21</v>
      </c>
      <c r="G86" s="31">
        <f ca="1">'Data Standar'!J312</f>
        <v>37.21</v>
      </c>
      <c r="H86" s="31">
        <f ca="1">'Data Standar'!D325</f>
        <v>37.21</v>
      </c>
      <c r="I86" s="31">
        <f ca="1">'Data Standar'!J325</f>
        <v>37.21</v>
      </c>
      <c r="J86" s="31">
        <f ca="1">'Data Standar'!D338</f>
        <v>37.21</v>
      </c>
      <c r="K86" s="31">
        <f ca="1">'Data Standar'!J338</f>
        <v>37.21</v>
      </c>
      <c r="L86" s="31">
        <f ca="1">'Data Standar'!D351</f>
        <v>37.21</v>
      </c>
      <c r="M86" s="31">
        <f ca="1">'Data Standar'!J351</f>
        <v>37.21</v>
      </c>
      <c r="N86" s="31">
        <f t="shared" ca="1" si="1"/>
        <v>7.4897780662969626E-15</v>
      </c>
      <c r="O86" s="31">
        <f t="shared" ref="O86:O94" ca="1" si="2">MAX(D86:M86)-MIN(D86:M86)</f>
        <v>0</v>
      </c>
      <c r="P86" s="31">
        <f t="shared" ref="P86:P94" ca="1" si="3">AVERAGE(D86:M86)</f>
        <v>37.209999999999994</v>
      </c>
      <c r="R86" s="29">
        <f>36.12-35.97</f>
        <v>0.14999999999999858</v>
      </c>
      <c r="S86" s="259">
        <f>(36.12+35.97)/2</f>
        <v>36.045000000000002</v>
      </c>
      <c r="T86" s="29">
        <f>36.05+0.14</f>
        <v>36.19</v>
      </c>
      <c r="U86" s="892"/>
      <c r="V86" s="368"/>
      <c r="W86" s="368"/>
      <c r="X86" s="368"/>
      <c r="Y86" s="368"/>
      <c r="Z86" s="368"/>
      <c r="AA86" s="368"/>
      <c r="AB86" s="368"/>
      <c r="AC86" s="368"/>
      <c r="AD86" s="368"/>
      <c r="AE86" s="368"/>
      <c r="AF86" s="368"/>
      <c r="AG86" s="368"/>
      <c r="AH86" s="368"/>
      <c r="AI86" s="368"/>
      <c r="AJ86" s="368"/>
      <c r="AK86" s="368"/>
      <c r="AL86" s="368"/>
      <c r="AM86" s="368"/>
      <c r="AN86" s="368"/>
      <c r="AO86" s="368"/>
      <c r="AP86" s="368"/>
      <c r="AQ86" s="368"/>
      <c r="AR86" s="368"/>
      <c r="AS86" s="368"/>
      <c r="AT86" s="368"/>
      <c r="AU86" s="368"/>
      <c r="AV86" s="368"/>
      <c r="AW86" s="368"/>
      <c r="AX86" s="368"/>
      <c r="AY86" s="368"/>
      <c r="AZ86" s="368"/>
      <c r="BA86" s="368"/>
      <c r="BB86" s="368"/>
      <c r="BC86" s="368"/>
      <c r="BD86" s="368"/>
      <c r="BE86" s="368"/>
      <c r="BF86" s="368"/>
      <c r="BG86" s="368"/>
      <c r="BH86" s="368"/>
      <c r="BI86" s="368"/>
      <c r="BJ86" s="368"/>
      <c r="BK86" s="368"/>
      <c r="BL86" s="368"/>
      <c r="BM86" s="368"/>
      <c r="BN86" s="368"/>
      <c r="BO86" s="368"/>
      <c r="BP86" s="368"/>
      <c r="BQ86" s="368"/>
      <c r="BR86" s="368"/>
      <c r="BS86" s="368"/>
      <c r="BT86" s="368"/>
      <c r="BU86" s="368"/>
      <c r="BV86" s="368"/>
      <c r="BW86" s="368"/>
      <c r="BX86" s="368"/>
      <c r="BY86" s="368"/>
      <c r="BZ86" s="368"/>
      <c r="CA86" s="368"/>
      <c r="CB86" s="368"/>
      <c r="CC86" s="368"/>
      <c r="CD86" s="368"/>
      <c r="CE86" s="368"/>
      <c r="CF86" s="368"/>
      <c r="CG86" s="368"/>
      <c r="CH86" s="368"/>
      <c r="CI86" s="368"/>
      <c r="CJ86" s="368"/>
      <c r="CK86" s="368"/>
      <c r="CL86" s="368"/>
      <c r="CM86" s="368"/>
      <c r="CN86" s="368"/>
      <c r="CO86" s="368"/>
      <c r="CP86" s="368"/>
      <c r="CQ86" s="368"/>
      <c r="CR86" s="368"/>
      <c r="CS86" s="368"/>
      <c r="CT86" s="368"/>
      <c r="CU86" s="368"/>
      <c r="CV86" s="368"/>
      <c r="CW86" s="368"/>
      <c r="CX86" s="368"/>
      <c r="CY86" s="368"/>
      <c r="CZ86" s="368"/>
      <c r="DA86" s="368"/>
      <c r="DB86" s="368"/>
      <c r="DC86" s="368"/>
      <c r="DD86" s="368"/>
      <c r="DE86" s="368"/>
      <c r="DF86" s="368"/>
      <c r="DG86" s="368"/>
      <c r="DH86" s="368"/>
      <c r="DI86" s="368"/>
      <c r="DJ86" s="368"/>
      <c r="DK86" s="368"/>
      <c r="DL86" s="368"/>
      <c r="DM86" s="368"/>
      <c r="DN86" s="368"/>
      <c r="DO86" s="368"/>
      <c r="DP86" s="368"/>
      <c r="DQ86" s="368"/>
      <c r="DR86" s="368"/>
      <c r="DS86" s="368"/>
      <c r="DT86" s="368"/>
      <c r="DU86" s="368"/>
      <c r="DV86" s="368"/>
      <c r="DW86" s="368"/>
      <c r="DX86" s="368"/>
      <c r="DY86" s="368"/>
      <c r="DZ86" s="368"/>
      <c r="EA86" s="368"/>
      <c r="EB86" s="368"/>
      <c r="EC86" s="368"/>
      <c r="ED86" s="368"/>
      <c r="EE86" s="368"/>
      <c r="EF86" s="368"/>
      <c r="EG86" s="368"/>
      <c r="EH86" s="368"/>
      <c r="EI86" s="368"/>
      <c r="EJ86" s="368"/>
      <c r="EK86" s="368"/>
      <c r="EL86" s="368"/>
      <c r="EM86" s="368"/>
      <c r="EN86" s="368"/>
      <c r="EO86" s="368"/>
      <c r="EP86" s="368"/>
      <c r="EQ86" s="368"/>
      <c r="ER86" s="368"/>
      <c r="ES86" s="368"/>
      <c r="ET86" s="368"/>
      <c r="EU86" s="368"/>
      <c r="EV86" s="368"/>
      <c r="EW86" s="368"/>
      <c r="EX86" s="368"/>
      <c r="EY86" s="368"/>
      <c r="EZ86" s="368"/>
      <c r="FA86" s="368"/>
      <c r="FB86" s="368"/>
      <c r="FC86" s="368"/>
      <c r="FD86" s="368"/>
      <c r="FE86" s="368"/>
      <c r="FF86" s="368"/>
      <c r="FG86" s="368"/>
      <c r="FH86" s="368"/>
      <c r="FI86" s="368"/>
      <c r="FJ86" s="368"/>
      <c r="FK86" s="368"/>
      <c r="FL86" s="368"/>
      <c r="FM86" s="368"/>
      <c r="FN86" s="368"/>
      <c r="FO86" s="368"/>
      <c r="FP86" s="368"/>
      <c r="FQ86" s="368"/>
      <c r="FR86" s="368"/>
      <c r="FS86" s="368"/>
      <c r="FT86" s="368"/>
      <c r="FU86" s="368"/>
      <c r="FV86" s="368"/>
      <c r="FW86" s="368"/>
      <c r="FX86" s="368"/>
      <c r="FY86" s="368"/>
      <c r="FZ86" s="368"/>
      <c r="GA86" s="368"/>
      <c r="GB86" s="368"/>
      <c r="GC86" s="368"/>
      <c r="GD86" s="368"/>
      <c r="GE86" s="368"/>
      <c r="GF86" s="368"/>
      <c r="GG86" s="368"/>
      <c r="GH86" s="368"/>
      <c r="GI86" s="368"/>
      <c r="GJ86" s="368"/>
      <c r="GK86" s="368"/>
      <c r="GL86" s="368"/>
      <c r="GM86" s="368"/>
      <c r="GN86" s="368"/>
      <c r="GO86" s="368"/>
      <c r="GP86" s="368"/>
      <c r="GQ86" s="368"/>
      <c r="GR86" s="368"/>
      <c r="GS86" s="368"/>
      <c r="GT86" s="368"/>
      <c r="GU86" s="368"/>
      <c r="GV86" s="368"/>
      <c r="GW86" s="368"/>
      <c r="GX86" s="368"/>
      <c r="GY86" s="368"/>
      <c r="GZ86" s="368"/>
      <c r="HA86" s="368"/>
      <c r="HB86" s="368"/>
      <c r="HC86" s="368"/>
      <c r="HD86" s="368"/>
      <c r="HE86" s="368"/>
      <c r="HF86" s="368"/>
      <c r="HG86" s="368"/>
      <c r="HH86" s="368"/>
      <c r="HI86" s="368"/>
      <c r="HJ86" s="368"/>
      <c r="HK86" s="368"/>
      <c r="HL86" s="368"/>
      <c r="HM86" s="368"/>
      <c r="HN86" s="368"/>
      <c r="HO86" s="368"/>
      <c r="HP86" s="368"/>
      <c r="HQ86" s="368"/>
      <c r="HR86" s="368"/>
      <c r="HS86" s="368"/>
      <c r="HT86" s="368"/>
      <c r="HU86" s="368"/>
      <c r="HV86" s="368"/>
      <c r="HW86" s="368"/>
      <c r="HX86" s="368"/>
      <c r="HY86" s="368"/>
      <c r="HZ86" s="368"/>
      <c r="IA86" s="368"/>
      <c r="IB86" s="368"/>
      <c r="IC86" s="368"/>
      <c r="ID86" s="368"/>
      <c r="IE86" s="368"/>
      <c r="IF86" s="368"/>
      <c r="IG86" s="368"/>
      <c r="IH86" s="368"/>
      <c r="II86" s="368"/>
      <c r="IJ86" s="368"/>
      <c r="IK86" s="368"/>
      <c r="IL86" s="368"/>
      <c r="IM86" s="368"/>
      <c r="IN86" s="368"/>
      <c r="IO86" s="368"/>
      <c r="IP86" s="368"/>
      <c r="IQ86" s="368"/>
      <c r="IR86" s="368"/>
      <c r="IS86" s="368"/>
      <c r="IT86" s="368"/>
      <c r="IU86" s="368"/>
    </row>
    <row r="87" spans="2:255" ht="20.149999999999999" customHeight="1">
      <c r="B87" s="1055"/>
      <c r="C87" s="29">
        <v>3</v>
      </c>
      <c r="D87" s="31">
        <f ca="1">'Data Standar'!D300</f>
        <v>37.18</v>
      </c>
      <c r="E87" s="31">
        <f ca="1">'Data Standar'!J300</f>
        <v>37.18</v>
      </c>
      <c r="F87" s="31">
        <f ca="1">'Data Standar'!D313</f>
        <v>37.18</v>
      </c>
      <c r="G87" s="31">
        <f ca="1">'Data Standar'!J313</f>
        <v>37.18</v>
      </c>
      <c r="H87" s="31">
        <f ca="1">'Data Standar'!D326</f>
        <v>37.18</v>
      </c>
      <c r="I87" s="31">
        <f ca="1">'Data Standar'!J326</f>
        <v>37.18</v>
      </c>
      <c r="J87" s="31">
        <f ca="1">'Data Standar'!D339</f>
        <v>37.18</v>
      </c>
      <c r="K87" s="31">
        <f ca="1">'Data Standar'!J339</f>
        <v>37.18</v>
      </c>
      <c r="L87" s="31">
        <f ca="1">'Data Standar'!D352</f>
        <v>37.18</v>
      </c>
      <c r="M87" s="31">
        <f ca="1">'Data Standar'!J352</f>
        <v>37.18</v>
      </c>
      <c r="N87" s="31">
        <f t="shared" ca="1" si="1"/>
        <v>0</v>
      </c>
      <c r="O87" s="31">
        <f t="shared" ca="1" si="2"/>
        <v>0</v>
      </c>
      <c r="P87" s="31">
        <f t="shared" ca="1" si="3"/>
        <v>37.18</v>
      </c>
      <c r="R87" s="29">
        <f>36.07-35.95</f>
        <v>0.11999999999999744</v>
      </c>
      <c r="S87" s="259">
        <f>(36.07+35.95)/2</f>
        <v>36.010000000000005</v>
      </c>
      <c r="T87" s="29">
        <f>36.01+0.14</f>
        <v>36.15</v>
      </c>
      <c r="U87" s="892"/>
      <c r="V87" s="368"/>
      <c r="W87" s="368"/>
      <c r="X87" s="368"/>
      <c r="Y87" s="368"/>
      <c r="Z87" s="368"/>
      <c r="AA87" s="368"/>
      <c r="AB87" s="368"/>
      <c r="AC87" s="368"/>
      <c r="AD87" s="368"/>
      <c r="AE87" s="368"/>
      <c r="AF87" s="368"/>
      <c r="AG87" s="368"/>
      <c r="AH87" s="368"/>
      <c r="AI87" s="368"/>
      <c r="AJ87" s="368"/>
      <c r="AK87" s="368"/>
      <c r="AL87" s="368"/>
      <c r="AM87" s="368"/>
      <c r="AN87" s="368"/>
      <c r="AO87" s="368"/>
      <c r="AP87" s="368"/>
      <c r="AQ87" s="368"/>
      <c r="AR87" s="368"/>
      <c r="AS87" s="368"/>
      <c r="AT87" s="368"/>
      <c r="AU87" s="368"/>
      <c r="AV87" s="368"/>
      <c r="AW87" s="368"/>
      <c r="AX87" s="368"/>
      <c r="AY87" s="368"/>
      <c r="AZ87" s="368"/>
      <c r="BA87" s="368"/>
      <c r="BB87" s="368"/>
      <c r="BC87" s="368"/>
      <c r="BD87" s="368"/>
      <c r="BE87" s="368"/>
      <c r="BF87" s="368"/>
      <c r="BG87" s="368"/>
      <c r="BH87" s="368"/>
      <c r="BI87" s="368"/>
      <c r="BJ87" s="368"/>
      <c r="BK87" s="368"/>
      <c r="BL87" s="368"/>
      <c r="BM87" s="368"/>
      <c r="BN87" s="368"/>
      <c r="BO87" s="368"/>
      <c r="BP87" s="368"/>
      <c r="BQ87" s="368"/>
      <c r="BR87" s="368"/>
      <c r="BS87" s="368"/>
      <c r="BT87" s="368"/>
      <c r="BU87" s="368"/>
      <c r="BV87" s="368"/>
      <c r="BW87" s="368"/>
      <c r="BX87" s="368"/>
      <c r="BY87" s="368"/>
      <c r="BZ87" s="368"/>
      <c r="CA87" s="368"/>
      <c r="CB87" s="368"/>
      <c r="CC87" s="368"/>
      <c r="CD87" s="368"/>
      <c r="CE87" s="368"/>
      <c r="CF87" s="368"/>
      <c r="CG87" s="368"/>
      <c r="CH87" s="368"/>
      <c r="CI87" s="368"/>
      <c r="CJ87" s="368"/>
      <c r="CK87" s="368"/>
      <c r="CL87" s="368"/>
      <c r="CM87" s="368"/>
      <c r="CN87" s="368"/>
      <c r="CO87" s="368"/>
      <c r="CP87" s="368"/>
      <c r="CQ87" s="368"/>
      <c r="CR87" s="368"/>
      <c r="CS87" s="368"/>
      <c r="CT87" s="368"/>
      <c r="CU87" s="368"/>
      <c r="CV87" s="368"/>
      <c r="CW87" s="368"/>
      <c r="CX87" s="368"/>
      <c r="CY87" s="368"/>
      <c r="CZ87" s="368"/>
      <c r="DA87" s="368"/>
      <c r="DB87" s="368"/>
      <c r="DC87" s="368"/>
      <c r="DD87" s="368"/>
      <c r="DE87" s="368"/>
      <c r="DF87" s="368"/>
      <c r="DG87" s="368"/>
      <c r="DH87" s="368"/>
      <c r="DI87" s="368"/>
      <c r="DJ87" s="368"/>
      <c r="DK87" s="368"/>
      <c r="DL87" s="368"/>
      <c r="DM87" s="368"/>
      <c r="DN87" s="368"/>
      <c r="DO87" s="368"/>
      <c r="DP87" s="368"/>
      <c r="DQ87" s="368"/>
      <c r="DR87" s="368"/>
      <c r="DS87" s="368"/>
      <c r="DT87" s="368"/>
      <c r="DU87" s="368"/>
      <c r="DV87" s="368"/>
      <c r="DW87" s="368"/>
      <c r="DX87" s="368"/>
      <c r="DY87" s="368"/>
      <c r="DZ87" s="368"/>
      <c r="EA87" s="368"/>
      <c r="EB87" s="368"/>
      <c r="EC87" s="368"/>
      <c r="ED87" s="368"/>
      <c r="EE87" s="368"/>
      <c r="EF87" s="368"/>
      <c r="EG87" s="368"/>
      <c r="EH87" s="368"/>
      <c r="EI87" s="368"/>
      <c r="EJ87" s="368"/>
      <c r="EK87" s="368"/>
      <c r="EL87" s="368"/>
      <c r="EM87" s="368"/>
      <c r="EN87" s="368"/>
      <c r="EO87" s="368"/>
      <c r="EP87" s="368"/>
      <c r="EQ87" s="368"/>
      <c r="ER87" s="368"/>
      <c r="ES87" s="368"/>
      <c r="ET87" s="368"/>
      <c r="EU87" s="368"/>
      <c r="EV87" s="368"/>
      <c r="EW87" s="368"/>
      <c r="EX87" s="368"/>
      <c r="EY87" s="368"/>
      <c r="EZ87" s="368"/>
      <c r="FA87" s="368"/>
      <c r="FB87" s="368"/>
      <c r="FC87" s="368"/>
      <c r="FD87" s="368"/>
      <c r="FE87" s="368"/>
      <c r="FF87" s="368"/>
      <c r="FG87" s="368"/>
      <c r="FH87" s="368"/>
      <c r="FI87" s="368"/>
      <c r="FJ87" s="368"/>
      <c r="FK87" s="368"/>
      <c r="FL87" s="368"/>
      <c r="FM87" s="368"/>
      <c r="FN87" s="368"/>
      <c r="FO87" s="368"/>
      <c r="FP87" s="368"/>
      <c r="FQ87" s="368"/>
      <c r="FR87" s="368"/>
      <c r="FS87" s="368"/>
      <c r="FT87" s="368"/>
      <c r="FU87" s="368"/>
      <c r="FV87" s="368"/>
      <c r="FW87" s="368"/>
      <c r="FX87" s="368"/>
      <c r="FY87" s="368"/>
      <c r="FZ87" s="368"/>
      <c r="GA87" s="368"/>
      <c r="GB87" s="368"/>
      <c r="GC87" s="368"/>
      <c r="GD87" s="368"/>
      <c r="GE87" s="368"/>
      <c r="GF87" s="368"/>
      <c r="GG87" s="368"/>
      <c r="GH87" s="368"/>
      <c r="GI87" s="368"/>
      <c r="GJ87" s="368"/>
      <c r="GK87" s="368"/>
      <c r="GL87" s="368"/>
      <c r="GM87" s="368"/>
      <c r="GN87" s="368"/>
      <c r="GO87" s="368"/>
      <c r="GP87" s="368"/>
      <c r="GQ87" s="368"/>
      <c r="GR87" s="368"/>
      <c r="GS87" s="368"/>
      <c r="GT87" s="368"/>
      <c r="GU87" s="368"/>
      <c r="GV87" s="368"/>
      <c r="GW87" s="368"/>
      <c r="GX87" s="368"/>
      <c r="GY87" s="368"/>
      <c r="GZ87" s="368"/>
      <c r="HA87" s="368"/>
      <c r="HB87" s="368"/>
      <c r="HC87" s="368"/>
      <c r="HD87" s="368"/>
      <c r="HE87" s="368"/>
      <c r="HF87" s="368"/>
      <c r="HG87" s="368"/>
      <c r="HH87" s="368"/>
      <c r="HI87" s="368"/>
      <c r="HJ87" s="368"/>
      <c r="HK87" s="368"/>
      <c r="HL87" s="368"/>
      <c r="HM87" s="368"/>
      <c r="HN87" s="368"/>
      <c r="HO87" s="368"/>
      <c r="HP87" s="368"/>
      <c r="HQ87" s="368"/>
      <c r="HR87" s="368"/>
      <c r="HS87" s="368"/>
      <c r="HT87" s="368"/>
      <c r="HU87" s="368"/>
      <c r="HV87" s="368"/>
      <c r="HW87" s="368"/>
      <c r="HX87" s="368"/>
      <c r="HY87" s="368"/>
      <c r="HZ87" s="368"/>
      <c r="IA87" s="368"/>
      <c r="IB87" s="368"/>
      <c r="IC87" s="368"/>
      <c r="ID87" s="368"/>
      <c r="IE87" s="368"/>
      <c r="IF87" s="368"/>
      <c r="IG87" s="368"/>
      <c r="IH87" s="368"/>
      <c r="II87" s="368"/>
      <c r="IJ87" s="368"/>
      <c r="IK87" s="368"/>
      <c r="IL87" s="368"/>
      <c r="IM87" s="368"/>
      <c r="IN87" s="368"/>
      <c r="IO87" s="368"/>
      <c r="IP87" s="368"/>
      <c r="IQ87" s="368"/>
      <c r="IR87" s="368"/>
      <c r="IS87" s="368"/>
      <c r="IT87" s="368"/>
      <c r="IU87" s="368"/>
    </row>
    <row r="88" spans="2:255" ht="20.149999999999999" customHeight="1">
      <c r="B88" s="1055"/>
      <c r="C88" s="29">
        <v>4</v>
      </c>
      <c r="D88" s="31">
        <f ca="1">'Data Standar'!D301</f>
        <v>37.17</v>
      </c>
      <c r="E88" s="31">
        <f ca="1">'Data Standar'!J301</f>
        <v>37.17</v>
      </c>
      <c r="F88" s="31">
        <f ca="1">'Data Standar'!D314</f>
        <v>37.17</v>
      </c>
      <c r="G88" s="31">
        <f ca="1">'Data Standar'!J314</f>
        <v>37.17</v>
      </c>
      <c r="H88" s="31">
        <f ca="1">'Data Standar'!D327</f>
        <v>37.17</v>
      </c>
      <c r="I88" s="31">
        <f ca="1">'Data Standar'!J327</f>
        <v>37.17</v>
      </c>
      <c r="J88" s="31">
        <f ca="1">'Data Standar'!D340</f>
        <v>37.17</v>
      </c>
      <c r="K88" s="31">
        <f ca="1">'Data Standar'!J340</f>
        <v>37.17</v>
      </c>
      <c r="L88" s="31">
        <f ca="1">'Data Standar'!D353</f>
        <v>37.17</v>
      </c>
      <c r="M88" s="31">
        <f ca="1">'Data Standar'!J353</f>
        <v>37.17</v>
      </c>
      <c r="N88" s="31">
        <f t="shared" ca="1" si="1"/>
        <v>7.4897780662969626E-15</v>
      </c>
      <c r="O88" s="31">
        <f t="shared" ca="1" si="2"/>
        <v>0</v>
      </c>
      <c r="P88" s="31">
        <f t="shared" ca="1" si="3"/>
        <v>37.170000000000009</v>
      </c>
      <c r="R88" s="29">
        <f>36.08-35.96</f>
        <v>0.11999999999999744</v>
      </c>
      <c r="S88" s="259">
        <f>(36.08+35.96)/2</f>
        <v>36.019999999999996</v>
      </c>
      <c r="T88" s="31">
        <f>36.02+0.14</f>
        <v>36.160000000000004</v>
      </c>
      <c r="U88" s="892"/>
      <c r="V88" s="368"/>
      <c r="W88" s="368"/>
      <c r="X88" s="368"/>
      <c r="Y88" s="368"/>
      <c r="Z88" s="368"/>
      <c r="AA88" s="368"/>
      <c r="AB88" s="368"/>
      <c r="AC88" s="368"/>
      <c r="AD88" s="368"/>
      <c r="AE88" s="368"/>
      <c r="AF88" s="368"/>
      <c r="AG88" s="368"/>
      <c r="AH88" s="368"/>
      <c r="AI88" s="368"/>
      <c r="AJ88" s="368"/>
      <c r="AK88" s="368"/>
      <c r="AL88" s="368"/>
      <c r="AM88" s="368"/>
      <c r="AN88" s="368"/>
      <c r="AO88" s="368"/>
      <c r="AP88" s="368"/>
      <c r="AQ88" s="368"/>
      <c r="AR88" s="368"/>
      <c r="AS88" s="368"/>
      <c r="AT88" s="368"/>
      <c r="AU88" s="368"/>
      <c r="AV88" s="368"/>
      <c r="AW88" s="368"/>
      <c r="AX88" s="368"/>
      <c r="AY88" s="368"/>
      <c r="AZ88" s="368"/>
      <c r="BA88" s="368"/>
      <c r="BB88" s="368"/>
      <c r="BC88" s="368"/>
      <c r="BD88" s="368"/>
      <c r="BE88" s="368"/>
      <c r="BF88" s="368"/>
      <c r="BG88" s="368"/>
      <c r="BH88" s="368"/>
      <c r="BI88" s="368"/>
      <c r="BJ88" s="368"/>
      <c r="BK88" s="368"/>
      <c r="BL88" s="368"/>
      <c r="BM88" s="368"/>
      <c r="BN88" s="368"/>
      <c r="BO88" s="368"/>
      <c r="BP88" s="368"/>
      <c r="BQ88" s="368"/>
      <c r="BR88" s="368"/>
      <c r="BS88" s="368"/>
      <c r="BT88" s="368"/>
      <c r="BU88" s="368"/>
      <c r="BV88" s="368"/>
      <c r="BW88" s="368"/>
      <c r="BX88" s="368"/>
      <c r="BY88" s="368"/>
      <c r="BZ88" s="368"/>
      <c r="CA88" s="368"/>
      <c r="CB88" s="368"/>
      <c r="CC88" s="368"/>
      <c r="CD88" s="368"/>
      <c r="CE88" s="368"/>
      <c r="CF88" s="368"/>
      <c r="CG88" s="368"/>
      <c r="CH88" s="368"/>
      <c r="CI88" s="368"/>
      <c r="CJ88" s="368"/>
      <c r="CK88" s="368"/>
      <c r="CL88" s="368"/>
      <c r="CM88" s="368"/>
      <c r="CN88" s="368"/>
      <c r="CO88" s="368"/>
      <c r="CP88" s="368"/>
      <c r="CQ88" s="368"/>
      <c r="CR88" s="368"/>
      <c r="CS88" s="368"/>
      <c r="CT88" s="368"/>
      <c r="CU88" s="368"/>
      <c r="CV88" s="368"/>
      <c r="CW88" s="368"/>
      <c r="CX88" s="368"/>
      <c r="CY88" s="368"/>
      <c r="CZ88" s="368"/>
      <c r="DA88" s="368"/>
      <c r="DB88" s="368"/>
      <c r="DC88" s="368"/>
      <c r="DD88" s="368"/>
      <c r="DE88" s="368"/>
      <c r="DF88" s="368"/>
      <c r="DG88" s="368"/>
      <c r="DH88" s="368"/>
      <c r="DI88" s="368"/>
      <c r="DJ88" s="368"/>
      <c r="DK88" s="368"/>
      <c r="DL88" s="368"/>
      <c r="DM88" s="368"/>
      <c r="DN88" s="368"/>
      <c r="DO88" s="368"/>
      <c r="DP88" s="368"/>
      <c r="DQ88" s="368"/>
      <c r="DR88" s="368"/>
      <c r="DS88" s="368"/>
      <c r="DT88" s="368"/>
      <c r="DU88" s="368"/>
      <c r="DV88" s="368"/>
      <c r="DW88" s="368"/>
      <c r="DX88" s="368"/>
      <c r="DY88" s="368"/>
      <c r="DZ88" s="368"/>
      <c r="EA88" s="368"/>
      <c r="EB88" s="368"/>
      <c r="EC88" s="368"/>
      <c r="ED88" s="368"/>
      <c r="EE88" s="368"/>
      <c r="EF88" s="368"/>
      <c r="EG88" s="368"/>
      <c r="EH88" s="368"/>
      <c r="EI88" s="368"/>
      <c r="EJ88" s="368"/>
      <c r="EK88" s="368"/>
      <c r="EL88" s="368"/>
      <c r="EM88" s="368"/>
      <c r="EN88" s="368"/>
      <c r="EO88" s="368"/>
      <c r="EP88" s="368"/>
      <c r="EQ88" s="368"/>
      <c r="ER88" s="368"/>
      <c r="ES88" s="368"/>
      <c r="ET88" s="368"/>
      <c r="EU88" s="368"/>
      <c r="EV88" s="368"/>
      <c r="EW88" s="368"/>
      <c r="EX88" s="368"/>
      <c r="EY88" s="368"/>
      <c r="EZ88" s="368"/>
      <c r="FA88" s="368"/>
      <c r="FB88" s="368"/>
      <c r="FC88" s="368"/>
      <c r="FD88" s="368"/>
      <c r="FE88" s="368"/>
      <c r="FF88" s="368"/>
      <c r="FG88" s="368"/>
      <c r="FH88" s="368"/>
      <c r="FI88" s="368"/>
      <c r="FJ88" s="368"/>
      <c r="FK88" s="368"/>
      <c r="FL88" s="368"/>
      <c r="FM88" s="368"/>
      <c r="FN88" s="368"/>
      <c r="FO88" s="368"/>
      <c r="FP88" s="368"/>
      <c r="FQ88" s="368"/>
      <c r="FR88" s="368"/>
      <c r="FS88" s="368"/>
      <c r="FT88" s="368"/>
      <c r="FU88" s="368"/>
      <c r="FV88" s="368"/>
      <c r="FW88" s="368"/>
      <c r="FX88" s="368"/>
      <c r="FY88" s="368"/>
      <c r="FZ88" s="368"/>
      <c r="GA88" s="368"/>
      <c r="GB88" s="368"/>
      <c r="GC88" s="368"/>
      <c r="GD88" s="368"/>
      <c r="GE88" s="368"/>
      <c r="GF88" s="368"/>
      <c r="GG88" s="368"/>
      <c r="GH88" s="368"/>
      <c r="GI88" s="368"/>
      <c r="GJ88" s="368"/>
      <c r="GK88" s="368"/>
      <c r="GL88" s="368"/>
      <c r="GM88" s="368"/>
      <c r="GN88" s="368"/>
      <c r="GO88" s="368"/>
      <c r="GP88" s="368"/>
      <c r="GQ88" s="368"/>
      <c r="GR88" s="368"/>
      <c r="GS88" s="368"/>
      <c r="GT88" s="368"/>
      <c r="GU88" s="368"/>
      <c r="GV88" s="368"/>
      <c r="GW88" s="368"/>
      <c r="GX88" s="368"/>
      <c r="GY88" s="368"/>
      <c r="GZ88" s="368"/>
      <c r="HA88" s="368"/>
      <c r="HB88" s="368"/>
      <c r="HC88" s="368"/>
      <c r="HD88" s="368"/>
      <c r="HE88" s="368"/>
      <c r="HF88" s="368"/>
      <c r="HG88" s="368"/>
      <c r="HH88" s="368"/>
      <c r="HI88" s="368"/>
      <c r="HJ88" s="368"/>
      <c r="HK88" s="368"/>
      <c r="HL88" s="368"/>
      <c r="HM88" s="368"/>
      <c r="HN88" s="368"/>
      <c r="HO88" s="368"/>
      <c r="HP88" s="368"/>
      <c r="HQ88" s="368"/>
      <c r="HR88" s="368"/>
      <c r="HS88" s="368"/>
      <c r="HT88" s="368"/>
      <c r="HU88" s="368"/>
      <c r="HV88" s="368"/>
      <c r="HW88" s="368"/>
      <c r="HX88" s="368"/>
      <c r="HY88" s="368"/>
      <c r="HZ88" s="368"/>
      <c r="IA88" s="368"/>
      <c r="IB88" s="368"/>
      <c r="IC88" s="368"/>
      <c r="ID88" s="368"/>
      <c r="IE88" s="368"/>
      <c r="IF88" s="368"/>
      <c r="IG88" s="368"/>
      <c r="IH88" s="368"/>
      <c r="II88" s="368"/>
      <c r="IJ88" s="368"/>
      <c r="IK88" s="368"/>
      <c r="IL88" s="368"/>
      <c r="IM88" s="368"/>
      <c r="IN88" s="368"/>
      <c r="IO88" s="368"/>
      <c r="IP88" s="368"/>
      <c r="IQ88" s="368"/>
      <c r="IR88" s="368"/>
      <c r="IS88" s="368"/>
      <c r="IT88" s="368"/>
      <c r="IU88" s="368"/>
    </row>
    <row r="89" spans="2:255" ht="20.149999999999999" customHeight="1">
      <c r="B89" s="1055"/>
      <c r="C89" s="29">
        <v>5</v>
      </c>
      <c r="D89" s="31">
        <f ca="1">'Data Standar'!D302</f>
        <v>37.18</v>
      </c>
      <c r="E89" s="31">
        <f ca="1">'Data Standar'!J302</f>
        <v>37.18</v>
      </c>
      <c r="F89" s="31">
        <f ca="1">'Data Standar'!D315</f>
        <v>37.18</v>
      </c>
      <c r="G89" s="31">
        <f ca="1">'Data Standar'!J315</f>
        <v>37.18</v>
      </c>
      <c r="H89" s="31">
        <f ca="1">'Data Standar'!D328</f>
        <v>37.18</v>
      </c>
      <c r="I89" s="31">
        <f ca="1">'Data Standar'!J328</f>
        <v>37.18</v>
      </c>
      <c r="J89" s="31">
        <f ca="1">'Data Standar'!D341</f>
        <v>37.18</v>
      </c>
      <c r="K89" s="31">
        <f ca="1">'Data Standar'!J341</f>
        <v>37.18</v>
      </c>
      <c r="L89" s="31">
        <f ca="1">'Data Standar'!D354</f>
        <v>37.18</v>
      </c>
      <c r="M89" s="31">
        <f ca="1">'Data Standar'!J354</f>
        <v>37.18</v>
      </c>
      <c r="N89" s="31">
        <f t="shared" ca="1" si="1"/>
        <v>0</v>
      </c>
      <c r="O89" s="31">
        <f t="shared" ca="1" si="2"/>
        <v>0</v>
      </c>
      <c r="P89" s="31">
        <f t="shared" ca="1" si="3"/>
        <v>37.18</v>
      </c>
      <c r="R89" s="29">
        <f>36.04-35.95</f>
        <v>8.9999999999996305E-2</v>
      </c>
      <c r="S89" s="259">
        <f>(36.04+35.95)/2</f>
        <v>35.995000000000005</v>
      </c>
      <c r="T89" s="29">
        <f>36+0.13</f>
        <v>36.130000000000003</v>
      </c>
      <c r="U89" s="892"/>
      <c r="V89" s="368"/>
      <c r="W89" s="368"/>
      <c r="X89" s="368"/>
      <c r="Y89" s="368"/>
      <c r="Z89" s="368"/>
      <c r="AA89" s="368"/>
      <c r="AB89" s="368"/>
      <c r="AC89" s="368"/>
      <c r="AD89" s="368"/>
      <c r="AE89" s="368"/>
      <c r="AF89" s="368"/>
      <c r="AG89" s="368"/>
      <c r="AH89" s="368"/>
      <c r="AI89" s="368"/>
      <c r="AJ89" s="368"/>
      <c r="AK89" s="368"/>
      <c r="AL89" s="368"/>
      <c r="AM89" s="368"/>
      <c r="AN89" s="368"/>
      <c r="AO89" s="368"/>
      <c r="AP89" s="368"/>
      <c r="AQ89" s="368"/>
      <c r="AR89" s="368"/>
      <c r="AS89" s="368"/>
      <c r="AT89" s="368"/>
      <c r="AU89" s="368"/>
      <c r="AV89" s="368"/>
      <c r="AW89" s="368"/>
      <c r="AX89" s="368"/>
      <c r="AY89" s="368"/>
      <c r="AZ89" s="368"/>
      <c r="BA89" s="368"/>
      <c r="BB89" s="368"/>
      <c r="BC89" s="368"/>
      <c r="BD89" s="368"/>
      <c r="BE89" s="368"/>
      <c r="BF89" s="368"/>
      <c r="BG89" s="368"/>
      <c r="BH89" s="368"/>
      <c r="BI89" s="368"/>
      <c r="BJ89" s="368"/>
      <c r="BK89" s="368"/>
      <c r="BL89" s="368"/>
      <c r="BM89" s="368"/>
      <c r="BN89" s="368"/>
      <c r="BO89" s="368"/>
      <c r="BP89" s="368"/>
      <c r="BQ89" s="368"/>
      <c r="BR89" s="368"/>
      <c r="BS89" s="368"/>
      <c r="BT89" s="368"/>
      <c r="BU89" s="368"/>
      <c r="BV89" s="368"/>
      <c r="BW89" s="368"/>
      <c r="BX89" s="368"/>
      <c r="BY89" s="368"/>
      <c r="BZ89" s="368"/>
      <c r="CA89" s="368"/>
      <c r="CB89" s="368"/>
      <c r="CC89" s="368"/>
      <c r="CD89" s="368"/>
      <c r="CE89" s="368"/>
      <c r="CF89" s="368"/>
      <c r="CG89" s="368"/>
      <c r="CH89" s="368"/>
      <c r="CI89" s="368"/>
      <c r="CJ89" s="368"/>
      <c r="CK89" s="368"/>
      <c r="CL89" s="368"/>
      <c r="CM89" s="368"/>
      <c r="CN89" s="368"/>
      <c r="CO89" s="368"/>
      <c r="CP89" s="368"/>
      <c r="CQ89" s="368"/>
      <c r="CR89" s="368"/>
      <c r="CS89" s="368"/>
      <c r="CT89" s="368"/>
      <c r="CU89" s="368"/>
      <c r="CV89" s="368"/>
      <c r="CW89" s="368"/>
      <c r="CX89" s="368"/>
      <c r="CY89" s="368"/>
      <c r="CZ89" s="368"/>
      <c r="DA89" s="368"/>
      <c r="DB89" s="368"/>
      <c r="DC89" s="368"/>
      <c r="DD89" s="368"/>
      <c r="DE89" s="368"/>
      <c r="DF89" s="368"/>
      <c r="DG89" s="368"/>
      <c r="DH89" s="368"/>
      <c r="DI89" s="368"/>
      <c r="DJ89" s="368"/>
      <c r="DK89" s="368"/>
      <c r="DL89" s="368"/>
      <c r="DM89" s="368"/>
      <c r="DN89" s="368"/>
      <c r="DO89" s="368"/>
      <c r="DP89" s="368"/>
      <c r="DQ89" s="368"/>
      <c r="DR89" s="368"/>
      <c r="DS89" s="368"/>
      <c r="DT89" s="368"/>
      <c r="DU89" s="368"/>
      <c r="DV89" s="368"/>
      <c r="DW89" s="368"/>
      <c r="DX89" s="368"/>
      <c r="DY89" s="368"/>
      <c r="DZ89" s="368"/>
      <c r="EA89" s="368"/>
      <c r="EB89" s="368"/>
      <c r="EC89" s="368"/>
      <c r="ED89" s="368"/>
      <c r="EE89" s="368"/>
      <c r="EF89" s="368"/>
      <c r="EG89" s="368"/>
      <c r="EH89" s="368"/>
      <c r="EI89" s="368"/>
      <c r="EJ89" s="368"/>
      <c r="EK89" s="368"/>
      <c r="EL89" s="368"/>
      <c r="EM89" s="368"/>
      <c r="EN89" s="368"/>
      <c r="EO89" s="368"/>
      <c r="EP89" s="368"/>
      <c r="EQ89" s="368"/>
      <c r="ER89" s="368"/>
      <c r="ES89" s="368"/>
      <c r="ET89" s="368"/>
      <c r="EU89" s="368"/>
      <c r="EV89" s="368"/>
      <c r="EW89" s="368"/>
      <c r="EX89" s="368"/>
      <c r="EY89" s="368"/>
      <c r="EZ89" s="368"/>
      <c r="FA89" s="368"/>
      <c r="FB89" s="368"/>
      <c r="FC89" s="368"/>
      <c r="FD89" s="368"/>
      <c r="FE89" s="368"/>
      <c r="FF89" s="368"/>
      <c r="FG89" s="368"/>
      <c r="FH89" s="368"/>
      <c r="FI89" s="368"/>
      <c r="FJ89" s="368"/>
      <c r="FK89" s="368"/>
      <c r="FL89" s="368"/>
      <c r="FM89" s="368"/>
      <c r="FN89" s="368"/>
      <c r="FO89" s="368"/>
      <c r="FP89" s="368"/>
      <c r="FQ89" s="368"/>
      <c r="FR89" s="368"/>
      <c r="FS89" s="368"/>
      <c r="FT89" s="368"/>
      <c r="FU89" s="368"/>
      <c r="FV89" s="368"/>
      <c r="FW89" s="368"/>
      <c r="FX89" s="368"/>
      <c r="FY89" s="368"/>
      <c r="FZ89" s="368"/>
      <c r="GA89" s="368"/>
      <c r="GB89" s="368"/>
      <c r="GC89" s="368"/>
      <c r="GD89" s="368"/>
      <c r="GE89" s="368"/>
      <c r="GF89" s="368"/>
      <c r="GG89" s="368"/>
      <c r="GH89" s="368"/>
      <c r="GI89" s="368"/>
      <c r="GJ89" s="368"/>
      <c r="GK89" s="368"/>
      <c r="GL89" s="368"/>
      <c r="GM89" s="368"/>
      <c r="GN89" s="368"/>
      <c r="GO89" s="368"/>
      <c r="GP89" s="368"/>
      <c r="GQ89" s="368"/>
      <c r="GR89" s="368"/>
      <c r="GS89" s="368"/>
      <c r="GT89" s="368"/>
      <c r="GU89" s="368"/>
      <c r="GV89" s="368"/>
      <c r="GW89" s="368"/>
      <c r="GX89" s="368"/>
      <c r="GY89" s="368"/>
      <c r="GZ89" s="368"/>
      <c r="HA89" s="368"/>
      <c r="HB89" s="368"/>
      <c r="HC89" s="368"/>
      <c r="HD89" s="368"/>
      <c r="HE89" s="368"/>
      <c r="HF89" s="368"/>
      <c r="HG89" s="368"/>
      <c r="HH89" s="368"/>
      <c r="HI89" s="368"/>
      <c r="HJ89" s="368"/>
      <c r="HK89" s="368"/>
      <c r="HL89" s="368"/>
      <c r="HM89" s="368"/>
      <c r="HN89" s="368"/>
      <c r="HO89" s="368"/>
      <c r="HP89" s="368"/>
      <c r="HQ89" s="368"/>
      <c r="HR89" s="368"/>
      <c r="HS89" s="368"/>
      <c r="HT89" s="368"/>
      <c r="HU89" s="368"/>
      <c r="HV89" s="368"/>
      <c r="HW89" s="368"/>
      <c r="HX89" s="368"/>
      <c r="HY89" s="368"/>
      <c r="HZ89" s="368"/>
      <c r="IA89" s="368"/>
      <c r="IB89" s="368"/>
      <c r="IC89" s="368"/>
      <c r="ID89" s="368"/>
      <c r="IE89" s="368"/>
      <c r="IF89" s="368"/>
      <c r="IG89" s="368"/>
      <c r="IH89" s="368"/>
      <c r="II89" s="368"/>
      <c r="IJ89" s="368"/>
      <c r="IK89" s="368"/>
      <c r="IL89" s="368"/>
      <c r="IM89" s="368"/>
      <c r="IN89" s="368"/>
      <c r="IO89" s="368"/>
      <c r="IP89" s="368"/>
      <c r="IQ89" s="368"/>
      <c r="IR89" s="368"/>
      <c r="IS89" s="368"/>
      <c r="IT89" s="368"/>
      <c r="IU89" s="368"/>
    </row>
    <row r="90" spans="2:255" ht="20.149999999999999" customHeight="1">
      <c r="B90" s="1055"/>
      <c r="C90" s="29">
        <v>6</v>
      </c>
      <c r="D90" s="31">
        <f ca="1">'Data Standar'!D303</f>
        <v>37.19</v>
      </c>
      <c r="E90" s="31">
        <f ca="1">'Data Standar'!J303</f>
        <v>37.19</v>
      </c>
      <c r="F90" s="31">
        <f ca="1">'Data Standar'!D316</f>
        <v>37.19</v>
      </c>
      <c r="G90" s="31">
        <f ca="1">'Data Standar'!J316</f>
        <v>37.19</v>
      </c>
      <c r="H90" s="31">
        <f ca="1">'Data Standar'!D329</f>
        <v>37.19</v>
      </c>
      <c r="I90" s="31">
        <f ca="1">'Data Standar'!J329</f>
        <v>37.19</v>
      </c>
      <c r="J90" s="31">
        <f ca="1">'Data Standar'!D342</f>
        <v>37.19</v>
      </c>
      <c r="K90" s="31">
        <f ca="1">'Data Standar'!J342</f>
        <v>37.19</v>
      </c>
      <c r="L90" s="31">
        <f ca="1">'Data Standar'!D355</f>
        <v>37.19</v>
      </c>
      <c r="M90" s="31">
        <f ca="1">'Data Standar'!J355</f>
        <v>37.19</v>
      </c>
      <c r="N90" s="31">
        <f t="shared" ca="1" si="1"/>
        <v>0</v>
      </c>
      <c r="O90" s="31">
        <f t="shared" ca="1" si="2"/>
        <v>0</v>
      </c>
      <c r="P90" s="31">
        <f t="shared" ca="1" si="3"/>
        <v>37.19</v>
      </c>
      <c r="R90" s="29">
        <f>36.15-36.03</f>
        <v>0.11999999999999744</v>
      </c>
      <c r="S90" s="29">
        <f>(36.15+36.03)/2</f>
        <v>36.090000000000003</v>
      </c>
      <c r="T90" s="29">
        <f>36.09+0.14</f>
        <v>36.230000000000004</v>
      </c>
      <c r="U90" s="892"/>
      <c r="V90" s="368"/>
      <c r="W90" s="368"/>
      <c r="X90" s="368"/>
      <c r="Y90" s="368"/>
      <c r="Z90" s="368"/>
      <c r="AA90" s="368"/>
      <c r="AB90" s="368"/>
      <c r="AC90" s="368"/>
      <c r="AD90" s="368"/>
      <c r="AE90" s="368"/>
      <c r="AF90" s="368"/>
      <c r="AG90" s="368"/>
      <c r="AH90" s="368"/>
      <c r="AI90" s="368"/>
      <c r="AJ90" s="368"/>
      <c r="AK90" s="368"/>
      <c r="AL90" s="368"/>
      <c r="AM90" s="368"/>
      <c r="AN90" s="368"/>
      <c r="AO90" s="368"/>
      <c r="AP90" s="368"/>
      <c r="AQ90" s="368"/>
      <c r="AR90" s="368"/>
      <c r="AS90" s="368"/>
      <c r="AT90" s="368"/>
      <c r="AU90" s="368"/>
      <c r="AV90" s="368"/>
      <c r="AW90" s="368"/>
      <c r="AX90" s="368"/>
      <c r="AY90" s="368"/>
      <c r="AZ90" s="368"/>
      <c r="BA90" s="368"/>
      <c r="BB90" s="368"/>
      <c r="BC90" s="368"/>
      <c r="BD90" s="368"/>
      <c r="BE90" s="368"/>
      <c r="BF90" s="368"/>
      <c r="BG90" s="368"/>
      <c r="BH90" s="368"/>
      <c r="BI90" s="368"/>
      <c r="BJ90" s="368"/>
      <c r="BK90" s="368"/>
      <c r="BL90" s="368"/>
      <c r="BM90" s="368"/>
      <c r="BN90" s="368"/>
      <c r="BO90" s="368"/>
      <c r="BP90" s="368"/>
      <c r="BQ90" s="368"/>
      <c r="BR90" s="368"/>
      <c r="BS90" s="368"/>
      <c r="BT90" s="368"/>
      <c r="BU90" s="368"/>
      <c r="BV90" s="368"/>
      <c r="BW90" s="368"/>
      <c r="BX90" s="368"/>
      <c r="BY90" s="368"/>
      <c r="BZ90" s="368"/>
      <c r="CA90" s="368"/>
      <c r="CB90" s="368"/>
      <c r="CC90" s="368"/>
      <c r="CD90" s="368"/>
      <c r="CE90" s="368"/>
      <c r="CF90" s="368"/>
      <c r="CG90" s="368"/>
      <c r="CH90" s="368"/>
      <c r="CI90" s="368"/>
      <c r="CJ90" s="368"/>
      <c r="CK90" s="368"/>
      <c r="CL90" s="368"/>
      <c r="CM90" s="368"/>
      <c r="CN90" s="368"/>
      <c r="CO90" s="368"/>
      <c r="CP90" s="368"/>
      <c r="CQ90" s="368"/>
      <c r="CR90" s="368"/>
      <c r="CS90" s="368"/>
      <c r="CT90" s="368"/>
      <c r="CU90" s="368"/>
      <c r="CV90" s="368"/>
      <c r="CW90" s="368"/>
      <c r="CX90" s="368"/>
      <c r="CY90" s="368"/>
      <c r="CZ90" s="368"/>
      <c r="DA90" s="368"/>
      <c r="DB90" s="368"/>
      <c r="DC90" s="368"/>
      <c r="DD90" s="368"/>
      <c r="DE90" s="368"/>
      <c r="DF90" s="368"/>
      <c r="DG90" s="368"/>
      <c r="DH90" s="368"/>
      <c r="DI90" s="368"/>
      <c r="DJ90" s="368"/>
      <c r="DK90" s="368"/>
      <c r="DL90" s="368"/>
      <c r="DM90" s="368"/>
      <c r="DN90" s="368"/>
      <c r="DO90" s="368"/>
      <c r="DP90" s="368"/>
      <c r="DQ90" s="368"/>
      <c r="DR90" s="368"/>
      <c r="DS90" s="368"/>
      <c r="DT90" s="368"/>
      <c r="DU90" s="368"/>
      <c r="DV90" s="368"/>
      <c r="DW90" s="368"/>
      <c r="DX90" s="368"/>
      <c r="DY90" s="368"/>
      <c r="DZ90" s="368"/>
      <c r="EA90" s="368"/>
      <c r="EB90" s="368"/>
      <c r="EC90" s="368"/>
      <c r="ED90" s="368"/>
      <c r="EE90" s="368"/>
      <c r="EF90" s="368"/>
      <c r="EG90" s="368"/>
      <c r="EH90" s="368"/>
      <c r="EI90" s="368"/>
      <c r="EJ90" s="368"/>
      <c r="EK90" s="368"/>
      <c r="EL90" s="368"/>
      <c r="EM90" s="368"/>
      <c r="EN90" s="368"/>
      <c r="EO90" s="368"/>
      <c r="EP90" s="368"/>
      <c r="EQ90" s="368"/>
      <c r="ER90" s="368"/>
      <c r="ES90" s="368"/>
      <c r="ET90" s="368"/>
      <c r="EU90" s="368"/>
      <c r="EV90" s="368"/>
      <c r="EW90" s="368"/>
      <c r="EX90" s="368"/>
      <c r="EY90" s="368"/>
      <c r="EZ90" s="368"/>
      <c r="FA90" s="368"/>
      <c r="FB90" s="368"/>
      <c r="FC90" s="368"/>
      <c r="FD90" s="368"/>
      <c r="FE90" s="368"/>
      <c r="FF90" s="368"/>
      <c r="FG90" s="368"/>
      <c r="FH90" s="368"/>
      <c r="FI90" s="368"/>
      <c r="FJ90" s="368"/>
      <c r="FK90" s="368"/>
      <c r="FL90" s="368"/>
      <c r="FM90" s="368"/>
      <c r="FN90" s="368"/>
      <c r="FO90" s="368"/>
      <c r="FP90" s="368"/>
      <c r="FQ90" s="368"/>
      <c r="FR90" s="368"/>
      <c r="FS90" s="368"/>
      <c r="FT90" s="368"/>
      <c r="FU90" s="368"/>
      <c r="FV90" s="368"/>
      <c r="FW90" s="368"/>
      <c r="FX90" s="368"/>
      <c r="FY90" s="368"/>
      <c r="FZ90" s="368"/>
      <c r="GA90" s="368"/>
      <c r="GB90" s="368"/>
      <c r="GC90" s="368"/>
      <c r="GD90" s="368"/>
      <c r="GE90" s="368"/>
      <c r="GF90" s="368"/>
      <c r="GG90" s="368"/>
      <c r="GH90" s="368"/>
      <c r="GI90" s="368"/>
      <c r="GJ90" s="368"/>
      <c r="GK90" s="368"/>
      <c r="GL90" s="368"/>
      <c r="GM90" s="368"/>
      <c r="GN90" s="368"/>
      <c r="GO90" s="368"/>
      <c r="GP90" s="368"/>
      <c r="GQ90" s="368"/>
      <c r="GR90" s="368"/>
      <c r="GS90" s="368"/>
      <c r="GT90" s="368"/>
      <c r="GU90" s="368"/>
      <c r="GV90" s="368"/>
      <c r="GW90" s="368"/>
      <c r="GX90" s="368"/>
      <c r="GY90" s="368"/>
      <c r="GZ90" s="368"/>
      <c r="HA90" s="368"/>
      <c r="HB90" s="368"/>
      <c r="HC90" s="368"/>
      <c r="HD90" s="368"/>
      <c r="HE90" s="368"/>
      <c r="HF90" s="368"/>
      <c r="HG90" s="368"/>
      <c r="HH90" s="368"/>
      <c r="HI90" s="368"/>
      <c r="HJ90" s="368"/>
      <c r="HK90" s="368"/>
      <c r="HL90" s="368"/>
      <c r="HM90" s="368"/>
      <c r="HN90" s="368"/>
      <c r="HO90" s="368"/>
      <c r="HP90" s="368"/>
      <c r="HQ90" s="368"/>
      <c r="HR90" s="368"/>
      <c r="HS90" s="368"/>
      <c r="HT90" s="368"/>
      <c r="HU90" s="368"/>
      <c r="HV90" s="368"/>
      <c r="HW90" s="368"/>
      <c r="HX90" s="368"/>
      <c r="HY90" s="368"/>
      <c r="HZ90" s="368"/>
      <c r="IA90" s="368"/>
      <c r="IB90" s="368"/>
      <c r="IC90" s="368"/>
      <c r="ID90" s="368"/>
      <c r="IE90" s="368"/>
      <c r="IF90" s="368"/>
      <c r="IG90" s="368"/>
      <c r="IH90" s="368"/>
      <c r="II90" s="368"/>
      <c r="IJ90" s="368"/>
      <c r="IK90" s="368"/>
      <c r="IL90" s="368"/>
      <c r="IM90" s="368"/>
      <c r="IN90" s="368"/>
      <c r="IO90" s="368"/>
      <c r="IP90" s="368"/>
      <c r="IQ90" s="368"/>
      <c r="IR90" s="368"/>
      <c r="IS90" s="368"/>
      <c r="IT90" s="368"/>
      <c r="IU90" s="368"/>
    </row>
    <row r="91" spans="2:255" ht="20.149999999999999" customHeight="1">
      <c r="B91" s="1055"/>
      <c r="C91" s="29">
        <v>7</v>
      </c>
      <c r="D91" s="31">
        <f ca="1">'Data Standar'!D304</f>
        <v>37.200000000000003</v>
      </c>
      <c r="E91" s="31">
        <f ca="1">'Data Standar'!J304</f>
        <v>37.200000000000003</v>
      </c>
      <c r="F91" s="31">
        <f ca="1">'Data Standar'!D317</f>
        <v>37.200000000000003</v>
      </c>
      <c r="G91" s="31">
        <f ca="1">'Data Standar'!J317</f>
        <v>37.200000000000003</v>
      </c>
      <c r="H91" s="31">
        <f ca="1">'Data Standar'!D330</f>
        <v>37.200000000000003</v>
      </c>
      <c r="I91" s="31">
        <f ca="1">'Data Standar'!J330</f>
        <v>37.200000000000003</v>
      </c>
      <c r="J91" s="31">
        <f ca="1">'Data Standar'!D343</f>
        <v>37.200000000000003</v>
      </c>
      <c r="K91" s="31">
        <f ca="1">'Data Standar'!J343</f>
        <v>37.200000000000003</v>
      </c>
      <c r="L91" s="31">
        <f ca="1">'Data Standar'!D356</f>
        <v>37.200000000000003</v>
      </c>
      <c r="M91" s="31">
        <f ca="1">'Data Standar'!J356</f>
        <v>37.200000000000003</v>
      </c>
      <c r="N91" s="31">
        <f t="shared" ca="1" si="1"/>
        <v>7.4897780662969626E-15</v>
      </c>
      <c r="O91" s="31">
        <f t="shared" ca="1" si="2"/>
        <v>0</v>
      </c>
      <c r="P91" s="31">
        <f t="shared" ca="1" si="3"/>
        <v>37.199999999999996</v>
      </c>
      <c r="R91" s="29">
        <f>36.07-35.97</f>
        <v>0.10000000000000142</v>
      </c>
      <c r="S91" s="259">
        <f>(36.07+35.97)/2</f>
        <v>36.019999999999996</v>
      </c>
      <c r="T91" s="29">
        <f>36.02+0.19</f>
        <v>36.21</v>
      </c>
      <c r="U91" s="892"/>
      <c r="V91" s="368"/>
      <c r="W91" s="368"/>
      <c r="X91" s="368"/>
      <c r="Y91" s="368"/>
      <c r="Z91" s="368"/>
      <c r="AA91" s="368"/>
      <c r="AB91" s="368"/>
      <c r="AC91" s="368"/>
      <c r="AD91" s="368"/>
      <c r="AE91" s="368"/>
      <c r="AF91" s="368"/>
      <c r="AG91" s="368"/>
      <c r="AH91" s="368"/>
      <c r="AI91" s="368"/>
      <c r="AJ91" s="368"/>
      <c r="AK91" s="368"/>
      <c r="AL91" s="368"/>
      <c r="AM91" s="368"/>
      <c r="AN91" s="368"/>
      <c r="AO91" s="368"/>
      <c r="AP91" s="368"/>
      <c r="AQ91" s="368"/>
      <c r="AR91" s="368"/>
      <c r="AS91" s="368"/>
      <c r="AT91" s="368"/>
      <c r="AU91" s="368"/>
      <c r="AV91" s="368"/>
      <c r="AW91" s="368"/>
      <c r="AX91" s="368"/>
      <c r="AY91" s="368"/>
      <c r="AZ91" s="368"/>
      <c r="BA91" s="368"/>
      <c r="BB91" s="368"/>
      <c r="BC91" s="368"/>
      <c r="BD91" s="368"/>
      <c r="BE91" s="368"/>
      <c r="BF91" s="368"/>
      <c r="BG91" s="368"/>
      <c r="BH91" s="368"/>
      <c r="BI91" s="368"/>
      <c r="BJ91" s="368"/>
      <c r="BK91" s="368"/>
      <c r="BL91" s="368"/>
      <c r="BM91" s="368"/>
      <c r="BN91" s="368"/>
      <c r="BO91" s="368"/>
      <c r="BP91" s="368"/>
      <c r="BQ91" s="368"/>
      <c r="BR91" s="368"/>
      <c r="BS91" s="368"/>
      <c r="BT91" s="368"/>
      <c r="BU91" s="368"/>
      <c r="BV91" s="368"/>
      <c r="BW91" s="368"/>
      <c r="BX91" s="368"/>
      <c r="BY91" s="368"/>
      <c r="BZ91" s="368"/>
      <c r="CA91" s="368"/>
      <c r="CB91" s="368"/>
      <c r="CC91" s="368"/>
      <c r="CD91" s="368"/>
      <c r="CE91" s="368"/>
      <c r="CF91" s="368"/>
      <c r="CG91" s="368"/>
      <c r="CH91" s="368"/>
      <c r="CI91" s="368"/>
      <c r="CJ91" s="368"/>
      <c r="CK91" s="368"/>
      <c r="CL91" s="368"/>
      <c r="CM91" s="368"/>
      <c r="CN91" s="368"/>
      <c r="CO91" s="368"/>
      <c r="CP91" s="368"/>
      <c r="CQ91" s="368"/>
      <c r="CR91" s="368"/>
      <c r="CS91" s="368"/>
      <c r="CT91" s="368"/>
      <c r="CU91" s="368"/>
      <c r="CV91" s="368"/>
      <c r="CW91" s="368"/>
      <c r="CX91" s="368"/>
      <c r="CY91" s="368"/>
      <c r="CZ91" s="368"/>
      <c r="DA91" s="368"/>
      <c r="DB91" s="368"/>
      <c r="DC91" s="368"/>
      <c r="DD91" s="368"/>
      <c r="DE91" s="368"/>
      <c r="DF91" s="368"/>
      <c r="DG91" s="368"/>
      <c r="DH91" s="368"/>
      <c r="DI91" s="368"/>
      <c r="DJ91" s="368"/>
      <c r="DK91" s="368"/>
      <c r="DL91" s="368"/>
      <c r="DM91" s="368"/>
      <c r="DN91" s="368"/>
      <c r="DO91" s="368"/>
      <c r="DP91" s="368"/>
      <c r="DQ91" s="368"/>
      <c r="DR91" s="368"/>
      <c r="DS91" s="368"/>
      <c r="DT91" s="368"/>
      <c r="DU91" s="368"/>
      <c r="DV91" s="368"/>
      <c r="DW91" s="368"/>
      <c r="DX91" s="368"/>
      <c r="DY91" s="368"/>
      <c r="DZ91" s="368"/>
      <c r="EA91" s="368"/>
      <c r="EB91" s="368"/>
      <c r="EC91" s="368"/>
      <c r="ED91" s="368"/>
      <c r="EE91" s="368"/>
      <c r="EF91" s="368"/>
      <c r="EG91" s="368"/>
      <c r="EH91" s="368"/>
      <c r="EI91" s="368"/>
      <c r="EJ91" s="368"/>
      <c r="EK91" s="368"/>
      <c r="EL91" s="368"/>
      <c r="EM91" s="368"/>
      <c r="EN91" s="368"/>
      <c r="EO91" s="368"/>
      <c r="EP91" s="368"/>
      <c r="EQ91" s="368"/>
      <c r="ER91" s="368"/>
      <c r="ES91" s="368"/>
      <c r="ET91" s="368"/>
      <c r="EU91" s="368"/>
      <c r="EV91" s="368"/>
      <c r="EW91" s="368"/>
      <c r="EX91" s="368"/>
      <c r="EY91" s="368"/>
      <c r="EZ91" s="368"/>
      <c r="FA91" s="368"/>
      <c r="FB91" s="368"/>
      <c r="FC91" s="368"/>
      <c r="FD91" s="368"/>
      <c r="FE91" s="368"/>
      <c r="FF91" s="368"/>
      <c r="FG91" s="368"/>
      <c r="FH91" s="368"/>
      <c r="FI91" s="368"/>
      <c r="FJ91" s="368"/>
      <c r="FK91" s="368"/>
      <c r="FL91" s="368"/>
      <c r="FM91" s="368"/>
      <c r="FN91" s="368"/>
      <c r="FO91" s="368"/>
      <c r="FP91" s="368"/>
      <c r="FQ91" s="368"/>
      <c r="FR91" s="368"/>
      <c r="FS91" s="368"/>
      <c r="FT91" s="368"/>
      <c r="FU91" s="368"/>
      <c r="FV91" s="368"/>
      <c r="FW91" s="368"/>
      <c r="FX91" s="368"/>
      <c r="FY91" s="368"/>
      <c r="FZ91" s="368"/>
      <c r="GA91" s="368"/>
      <c r="GB91" s="368"/>
      <c r="GC91" s="368"/>
      <c r="GD91" s="368"/>
      <c r="GE91" s="368"/>
      <c r="GF91" s="368"/>
      <c r="GG91" s="368"/>
      <c r="GH91" s="368"/>
      <c r="GI91" s="368"/>
      <c r="GJ91" s="368"/>
      <c r="GK91" s="368"/>
      <c r="GL91" s="368"/>
      <c r="GM91" s="368"/>
      <c r="GN91" s="368"/>
      <c r="GO91" s="368"/>
      <c r="GP91" s="368"/>
      <c r="GQ91" s="368"/>
      <c r="GR91" s="368"/>
      <c r="GS91" s="368"/>
      <c r="GT91" s="368"/>
      <c r="GU91" s="368"/>
      <c r="GV91" s="368"/>
      <c r="GW91" s="368"/>
      <c r="GX91" s="368"/>
      <c r="GY91" s="368"/>
      <c r="GZ91" s="368"/>
      <c r="HA91" s="368"/>
      <c r="HB91" s="368"/>
      <c r="HC91" s="368"/>
      <c r="HD91" s="368"/>
      <c r="HE91" s="368"/>
      <c r="HF91" s="368"/>
      <c r="HG91" s="368"/>
      <c r="HH91" s="368"/>
      <c r="HI91" s="368"/>
      <c r="HJ91" s="368"/>
      <c r="HK91" s="368"/>
      <c r="HL91" s="368"/>
      <c r="HM91" s="368"/>
      <c r="HN91" s="368"/>
      <c r="HO91" s="368"/>
      <c r="HP91" s="368"/>
      <c r="HQ91" s="368"/>
      <c r="HR91" s="368"/>
      <c r="HS91" s="368"/>
      <c r="HT91" s="368"/>
      <c r="HU91" s="368"/>
      <c r="HV91" s="368"/>
      <c r="HW91" s="368"/>
      <c r="HX91" s="368"/>
      <c r="HY91" s="368"/>
      <c r="HZ91" s="368"/>
      <c r="IA91" s="368"/>
      <c r="IB91" s="368"/>
      <c r="IC91" s="368"/>
      <c r="ID91" s="368"/>
      <c r="IE91" s="368"/>
      <c r="IF91" s="368"/>
      <c r="IG91" s="368"/>
      <c r="IH91" s="368"/>
      <c r="II91" s="368"/>
      <c r="IJ91" s="368"/>
      <c r="IK91" s="368"/>
      <c r="IL91" s="368"/>
      <c r="IM91" s="368"/>
      <c r="IN91" s="368"/>
      <c r="IO91" s="368"/>
      <c r="IP91" s="368"/>
      <c r="IQ91" s="368"/>
      <c r="IR91" s="368"/>
      <c r="IS91" s="368"/>
      <c r="IT91" s="368"/>
      <c r="IU91" s="368"/>
    </row>
    <row r="92" spans="2:255" ht="20.149999999999999" customHeight="1">
      <c r="B92" s="1055"/>
      <c r="C92" s="861">
        <v>8</v>
      </c>
      <c r="D92" s="874">
        <f ca="1">'Data Standar'!D305</f>
        <v>37.19</v>
      </c>
      <c r="E92" s="874">
        <f ca="1">'Data Standar'!J305</f>
        <v>37.19</v>
      </c>
      <c r="F92" s="874">
        <f ca="1">'Data Standar'!D318</f>
        <v>37.19</v>
      </c>
      <c r="G92" s="874">
        <f ca="1">'Data Standar'!J318</f>
        <v>37.19</v>
      </c>
      <c r="H92" s="874">
        <f ca="1">'Data Standar'!D331</f>
        <v>37.19</v>
      </c>
      <c r="I92" s="874">
        <f ca="1">'Data Standar'!J331</f>
        <v>37.19</v>
      </c>
      <c r="J92" s="874">
        <f ca="1">'Data Standar'!D344</f>
        <v>37.19</v>
      </c>
      <c r="K92" s="874">
        <f ca="1">'Data Standar'!J344</f>
        <v>37.19</v>
      </c>
      <c r="L92" s="874">
        <f ca="1">'Data Standar'!D357</f>
        <v>37.19</v>
      </c>
      <c r="M92" s="874">
        <f ca="1">'Data Standar'!J357</f>
        <v>37.19</v>
      </c>
      <c r="N92" s="874">
        <f t="shared" ca="1" si="1"/>
        <v>0</v>
      </c>
      <c r="O92" s="874">
        <f t="shared" ca="1" si="2"/>
        <v>0</v>
      </c>
      <c r="P92" s="874">
        <f t="shared" ca="1" si="3"/>
        <v>37.19</v>
      </c>
      <c r="R92" s="31">
        <f>36.2-36.11</f>
        <v>9.0000000000003411E-2</v>
      </c>
      <c r="S92" s="31">
        <f>(36.2+36.11)/2</f>
        <v>36.155000000000001</v>
      </c>
      <c r="T92" s="31">
        <f>36.16+0.16</f>
        <v>36.319999999999993</v>
      </c>
      <c r="U92" s="892"/>
      <c r="V92" s="368"/>
      <c r="W92" s="368"/>
      <c r="X92" s="368"/>
      <c r="Y92" s="368"/>
      <c r="Z92" s="368"/>
      <c r="AA92" s="368"/>
      <c r="AB92" s="368"/>
      <c r="AC92" s="368"/>
      <c r="AD92" s="368"/>
      <c r="AE92" s="368"/>
      <c r="AF92" s="368"/>
      <c r="AG92" s="368"/>
      <c r="AH92" s="368"/>
      <c r="AI92" s="368"/>
      <c r="AJ92" s="368"/>
      <c r="AK92" s="368"/>
      <c r="AL92" s="368"/>
      <c r="AM92" s="368"/>
      <c r="AN92" s="368"/>
      <c r="AO92" s="368"/>
      <c r="AP92" s="368"/>
      <c r="AQ92" s="368"/>
      <c r="AR92" s="368"/>
      <c r="AS92" s="368"/>
      <c r="AT92" s="368"/>
      <c r="AU92" s="368"/>
      <c r="AV92" s="368"/>
      <c r="AW92" s="368"/>
      <c r="AX92" s="368"/>
      <c r="AY92" s="368"/>
      <c r="AZ92" s="368"/>
      <c r="BA92" s="368"/>
      <c r="BB92" s="368"/>
      <c r="BC92" s="368"/>
      <c r="BD92" s="368"/>
      <c r="BE92" s="368"/>
      <c r="BF92" s="368"/>
      <c r="BG92" s="368"/>
      <c r="BH92" s="368"/>
      <c r="BI92" s="368"/>
      <c r="BJ92" s="368"/>
      <c r="BK92" s="368"/>
      <c r="BL92" s="368"/>
      <c r="BM92" s="368"/>
      <c r="BN92" s="368"/>
      <c r="BO92" s="368"/>
      <c r="BP92" s="368"/>
      <c r="BQ92" s="368"/>
      <c r="BR92" s="368"/>
      <c r="BS92" s="368"/>
      <c r="BT92" s="368"/>
      <c r="BU92" s="368"/>
      <c r="BV92" s="368"/>
      <c r="BW92" s="368"/>
      <c r="BX92" s="368"/>
      <c r="BY92" s="368"/>
      <c r="BZ92" s="368"/>
      <c r="CA92" s="368"/>
      <c r="CB92" s="368"/>
      <c r="CC92" s="368"/>
      <c r="CD92" s="368"/>
      <c r="CE92" s="368"/>
      <c r="CF92" s="368"/>
      <c r="CG92" s="368"/>
      <c r="CH92" s="368"/>
      <c r="CI92" s="368"/>
      <c r="CJ92" s="368"/>
      <c r="CK92" s="368"/>
      <c r="CL92" s="368"/>
      <c r="CM92" s="368"/>
      <c r="CN92" s="368"/>
      <c r="CO92" s="368"/>
      <c r="CP92" s="368"/>
      <c r="CQ92" s="368"/>
      <c r="CR92" s="368"/>
      <c r="CS92" s="368"/>
      <c r="CT92" s="368"/>
      <c r="CU92" s="368"/>
      <c r="CV92" s="368"/>
      <c r="CW92" s="368"/>
      <c r="CX92" s="368"/>
      <c r="CY92" s="368"/>
      <c r="CZ92" s="368"/>
      <c r="DA92" s="368"/>
      <c r="DB92" s="368"/>
      <c r="DC92" s="368"/>
      <c r="DD92" s="368"/>
      <c r="DE92" s="368"/>
      <c r="DF92" s="368"/>
      <c r="DG92" s="368"/>
      <c r="DH92" s="368"/>
      <c r="DI92" s="368"/>
      <c r="DJ92" s="368"/>
      <c r="DK92" s="368"/>
      <c r="DL92" s="368"/>
      <c r="DM92" s="368"/>
      <c r="DN92" s="368"/>
      <c r="DO92" s="368"/>
      <c r="DP92" s="368"/>
      <c r="DQ92" s="368"/>
      <c r="DR92" s="368"/>
      <c r="DS92" s="368"/>
      <c r="DT92" s="368"/>
      <c r="DU92" s="368"/>
      <c r="DV92" s="368"/>
      <c r="DW92" s="368"/>
      <c r="DX92" s="368"/>
      <c r="DY92" s="368"/>
      <c r="DZ92" s="368"/>
      <c r="EA92" s="368"/>
      <c r="EB92" s="368"/>
      <c r="EC92" s="368"/>
      <c r="ED92" s="368"/>
      <c r="EE92" s="368"/>
      <c r="EF92" s="368"/>
      <c r="EG92" s="368"/>
      <c r="EH92" s="368"/>
      <c r="EI92" s="368"/>
      <c r="EJ92" s="368"/>
      <c r="EK92" s="368"/>
      <c r="EL92" s="368"/>
      <c r="EM92" s="368"/>
      <c r="EN92" s="368"/>
      <c r="EO92" s="368"/>
      <c r="EP92" s="368"/>
      <c r="EQ92" s="368"/>
      <c r="ER92" s="368"/>
      <c r="ES92" s="368"/>
      <c r="ET92" s="368"/>
      <c r="EU92" s="368"/>
      <c r="EV92" s="368"/>
      <c r="EW92" s="368"/>
      <c r="EX92" s="368"/>
      <c r="EY92" s="368"/>
      <c r="EZ92" s="368"/>
      <c r="FA92" s="368"/>
      <c r="FB92" s="368"/>
      <c r="FC92" s="368"/>
      <c r="FD92" s="368"/>
      <c r="FE92" s="368"/>
      <c r="FF92" s="368"/>
      <c r="FG92" s="368"/>
      <c r="FH92" s="368"/>
      <c r="FI92" s="368"/>
      <c r="FJ92" s="368"/>
      <c r="FK92" s="368"/>
      <c r="FL92" s="368"/>
      <c r="FM92" s="368"/>
      <c r="FN92" s="368"/>
      <c r="FO92" s="368"/>
      <c r="FP92" s="368"/>
      <c r="FQ92" s="368"/>
      <c r="FR92" s="368"/>
      <c r="FS92" s="368"/>
      <c r="FT92" s="368"/>
      <c r="FU92" s="368"/>
      <c r="FV92" s="368"/>
      <c r="FW92" s="368"/>
      <c r="FX92" s="368"/>
      <c r="FY92" s="368"/>
      <c r="FZ92" s="368"/>
      <c r="GA92" s="368"/>
      <c r="GB92" s="368"/>
      <c r="GC92" s="368"/>
      <c r="GD92" s="368"/>
      <c r="GE92" s="368"/>
      <c r="GF92" s="368"/>
      <c r="GG92" s="368"/>
      <c r="GH92" s="368"/>
      <c r="GI92" s="368"/>
      <c r="GJ92" s="368"/>
      <c r="GK92" s="368"/>
      <c r="GL92" s="368"/>
      <c r="GM92" s="368"/>
      <c r="GN92" s="368"/>
      <c r="GO92" s="368"/>
      <c r="GP92" s="368"/>
      <c r="GQ92" s="368"/>
      <c r="GR92" s="368"/>
      <c r="GS92" s="368"/>
      <c r="GT92" s="368"/>
      <c r="GU92" s="368"/>
      <c r="GV92" s="368"/>
      <c r="GW92" s="368"/>
      <c r="GX92" s="368"/>
      <c r="GY92" s="368"/>
      <c r="GZ92" s="368"/>
      <c r="HA92" s="368"/>
      <c r="HB92" s="368"/>
      <c r="HC92" s="368"/>
      <c r="HD92" s="368"/>
      <c r="HE92" s="368"/>
      <c r="HF92" s="368"/>
      <c r="HG92" s="368"/>
      <c r="HH92" s="368"/>
      <c r="HI92" s="368"/>
      <c r="HJ92" s="368"/>
      <c r="HK92" s="368"/>
      <c r="HL92" s="368"/>
      <c r="HM92" s="368"/>
      <c r="HN92" s="368"/>
      <c r="HO92" s="368"/>
      <c r="HP92" s="368"/>
      <c r="HQ92" s="368"/>
      <c r="HR92" s="368"/>
      <c r="HS92" s="368"/>
      <c r="HT92" s="368"/>
      <c r="HU92" s="368"/>
      <c r="HV92" s="368"/>
      <c r="HW92" s="368"/>
      <c r="HX92" s="368"/>
      <c r="HY92" s="368"/>
      <c r="HZ92" s="368"/>
      <c r="IA92" s="368"/>
      <c r="IB92" s="368"/>
      <c r="IC92" s="368"/>
      <c r="ID92" s="368"/>
      <c r="IE92" s="368"/>
      <c r="IF92" s="368"/>
      <c r="IG92" s="368"/>
      <c r="IH92" s="368"/>
      <c r="II92" s="368"/>
      <c r="IJ92" s="368"/>
      <c r="IK92" s="368"/>
      <c r="IL92" s="368"/>
      <c r="IM92" s="368"/>
      <c r="IN92" s="368"/>
      <c r="IO92" s="368"/>
      <c r="IP92" s="368"/>
      <c r="IQ92" s="368"/>
      <c r="IR92" s="368"/>
      <c r="IS92" s="368"/>
      <c r="IT92" s="368"/>
      <c r="IU92" s="368"/>
    </row>
    <row r="93" spans="2:255" ht="20.149999999999999" customHeight="1">
      <c r="B93" s="1025" t="s">
        <v>228</v>
      </c>
      <c r="C93" s="1025"/>
      <c r="D93" s="1036">
        <f>D80</f>
        <v>37</v>
      </c>
      <c r="E93" s="1036"/>
      <c r="F93" s="1036"/>
      <c r="G93" s="1036"/>
      <c r="H93" s="1036"/>
      <c r="I93" s="1036">
        <f>I80</f>
        <v>37</v>
      </c>
      <c r="J93" s="1036"/>
      <c r="K93" s="1036"/>
      <c r="L93" s="1036"/>
      <c r="M93" s="1036"/>
      <c r="N93" s="1030">
        <f ca="1">IFERROR(MAX(N85:N92),0)</f>
        <v>7.4897780662969626E-15</v>
      </c>
      <c r="O93" s="31">
        <f t="shared" si="2"/>
        <v>0</v>
      </c>
      <c r="P93" s="31">
        <f>AVERAGE(D93:M93)</f>
        <v>37</v>
      </c>
      <c r="R93" s="31">
        <f>37-37</f>
        <v>0</v>
      </c>
      <c r="S93" s="31">
        <f>(37+37)/2</f>
        <v>37</v>
      </c>
      <c r="T93" s="29"/>
      <c r="U93" s="892"/>
      <c r="V93" s="368"/>
      <c r="W93" s="368"/>
      <c r="X93" s="368"/>
      <c r="Y93" s="368"/>
      <c r="Z93" s="368"/>
      <c r="AA93" s="368"/>
      <c r="AB93" s="368"/>
      <c r="AC93" s="368"/>
      <c r="AD93" s="368"/>
      <c r="AE93" s="368"/>
      <c r="AF93" s="368"/>
      <c r="AG93" s="368"/>
      <c r="AH93" s="368"/>
      <c r="AI93" s="368"/>
      <c r="AJ93" s="368"/>
      <c r="AK93" s="368"/>
      <c r="AL93" s="368"/>
      <c r="AM93" s="368"/>
      <c r="AN93" s="368"/>
      <c r="AO93" s="368"/>
      <c r="AP93" s="368"/>
      <c r="AQ93" s="368"/>
      <c r="AR93" s="368"/>
      <c r="AS93" s="368"/>
      <c r="AT93" s="368"/>
      <c r="AU93" s="368"/>
      <c r="AV93" s="368"/>
      <c r="AW93" s="368"/>
      <c r="AX93" s="368"/>
      <c r="AY93" s="368"/>
      <c r="AZ93" s="368"/>
      <c r="BA93" s="368"/>
      <c r="BB93" s="368"/>
      <c r="BC93" s="368"/>
      <c r="BD93" s="368"/>
      <c r="BE93" s="368"/>
      <c r="BF93" s="368"/>
      <c r="BG93" s="368"/>
      <c r="BH93" s="368"/>
      <c r="BI93" s="368"/>
      <c r="BJ93" s="368"/>
      <c r="BK93" s="368"/>
      <c r="BL93" s="368"/>
      <c r="BM93" s="368"/>
      <c r="BN93" s="368"/>
      <c r="BO93" s="368"/>
      <c r="BP93" s="368"/>
      <c r="BQ93" s="368"/>
      <c r="BR93" s="368"/>
      <c r="BS93" s="368"/>
      <c r="BT93" s="368"/>
      <c r="BU93" s="368"/>
      <c r="BV93" s="368"/>
      <c r="BW93" s="368"/>
      <c r="BX93" s="368"/>
      <c r="BY93" s="368"/>
      <c r="BZ93" s="368"/>
      <c r="CA93" s="368"/>
      <c r="CB93" s="368"/>
      <c r="CC93" s="368"/>
      <c r="CD93" s="368"/>
      <c r="CE93" s="368"/>
      <c r="CF93" s="368"/>
      <c r="CG93" s="368"/>
      <c r="CH93" s="368"/>
      <c r="CI93" s="368"/>
      <c r="CJ93" s="368"/>
      <c r="CK93" s="368"/>
      <c r="CL93" s="368"/>
      <c r="CM93" s="368"/>
      <c r="CN93" s="368"/>
      <c r="CO93" s="368"/>
      <c r="CP93" s="368"/>
      <c r="CQ93" s="368"/>
      <c r="CR93" s="368"/>
      <c r="CS93" s="368"/>
      <c r="CT93" s="368"/>
      <c r="CU93" s="368"/>
      <c r="CV93" s="368"/>
      <c r="CW93" s="368"/>
      <c r="CX93" s="368"/>
      <c r="CY93" s="368"/>
      <c r="CZ93" s="368"/>
      <c r="DA93" s="368"/>
      <c r="DB93" s="368"/>
      <c r="DC93" s="368"/>
      <c r="DD93" s="368"/>
      <c r="DE93" s="368"/>
      <c r="DF93" s="368"/>
      <c r="DG93" s="368"/>
      <c r="DH93" s="368"/>
      <c r="DI93" s="368"/>
      <c r="DJ93" s="368"/>
      <c r="DK93" s="368"/>
      <c r="DL93" s="368"/>
      <c r="DM93" s="368"/>
      <c r="DN93" s="368"/>
      <c r="DO93" s="368"/>
      <c r="DP93" s="368"/>
      <c r="DQ93" s="368"/>
      <c r="DR93" s="368"/>
      <c r="DS93" s="368"/>
      <c r="DT93" s="368"/>
      <c r="DU93" s="368"/>
      <c r="DV93" s="368"/>
      <c r="DW93" s="368"/>
      <c r="DX93" s="368"/>
      <c r="DY93" s="368"/>
      <c r="DZ93" s="368"/>
      <c r="EA93" s="368"/>
      <c r="EB93" s="368"/>
      <c r="EC93" s="368"/>
      <c r="ED93" s="368"/>
      <c r="EE93" s="368"/>
      <c r="EF93" s="368"/>
      <c r="EG93" s="368"/>
      <c r="EH93" s="368"/>
      <c r="EI93" s="368"/>
      <c r="EJ93" s="368"/>
      <c r="EK93" s="368"/>
      <c r="EL93" s="368"/>
      <c r="EM93" s="368"/>
      <c r="EN93" s="368"/>
      <c r="EO93" s="368"/>
      <c r="EP93" s="368"/>
      <c r="EQ93" s="368"/>
      <c r="ER93" s="368"/>
      <c r="ES93" s="368"/>
      <c r="ET93" s="368"/>
      <c r="EU93" s="368"/>
      <c r="EV93" s="368"/>
      <c r="EW93" s="368"/>
      <c r="EX93" s="368"/>
      <c r="EY93" s="368"/>
      <c r="EZ93" s="368"/>
      <c r="FA93" s="368"/>
      <c r="FB93" s="368"/>
      <c r="FC93" s="368"/>
      <c r="FD93" s="368"/>
      <c r="FE93" s="368"/>
      <c r="FF93" s="368"/>
      <c r="FG93" s="368"/>
      <c r="FH93" s="368"/>
      <c r="FI93" s="368"/>
      <c r="FJ93" s="368"/>
      <c r="FK93" s="368"/>
      <c r="FL93" s="368"/>
      <c r="FM93" s="368"/>
      <c r="FN93" s="368"/>
      <c r="FO93" s="368"/>
      <c r="FP93" s="368"/>
      <c r="FQ93" s="368"/>
      <c r="FR93" s="368"/>
      <c r="FS93" s="368"/>
      <c r="FT93" s="368"/>
      <c r="FU93" s="368"/>
      <c r="FV93" s="368"/>
      <c r="FW93" s="368"/>
      <c r="FX93" s="368"/>
      <c r="FY93" s="368"/>
      <c r="FZ93" s="368"/>
      <c r="GA93" s="368"/>
      <c r="GB93" s="368"/>
      <c r="GC93" s="368"/>
      <c r="GD93" s="368"/>
      <c r="GE93" s="368"/>
      <c r="GF93" s="368"/>
      <c r="GG93" s="368"/>
      <c r="GH93" s="368"/>
      <c r="GI93" s="368"/>
      <c r="GJ93" s="368"/>
      <c r="GK93" s="368"/>
      <c r="GL93" s="368"/>
      <c r="GM93" s="368"/>
      <c r="GN93" s="368"/>
      <c r="GO93" s="368"/>
      <c r="GP93" s="368"/>
      <c r="GQ93" s="368"/>
      <c r="GR93" s="368"/>
      <c r="GS93" s="368"/>
      <c r="GT93" s="368"/>
      <c r="GU93" s="368"/>
      <c r="GV93" s="368"/>
      <c r="GW93" s="368"/>
      <c r="GX93" s="368"/>
      <c r="GY93" s="368"/>
      <c r="GZ93" s="368"/>
      <c r="HA93" s="368"/>
      <c r="HB93" s="368"/>
      <c r="HC93" s="368"/>
      <c r="HD93" s="368"/>
      <c r="HE93" s="368"/>
      <c r="HF93" s="368"/>
      <c r="HG93" s="368"/>
      <c r="HH93" s="368"/>
      <c r="HI93" s="368"/>
      <c r="HJ93" s="368"/>
      <c r="HK93" s="368"/>
      <c r="HL93" s="368"/>
      <c r="HM93" s="368"/>
      <c r="HN93" s="368"/>
      <c r="HO93" s="368"/>
      <c r="HP93" s="368"/>
      <c r="HQ93" s="368"/>
      <c r="HR93" s="368"/>
      <c r="HS93" s="368"/>
      <c r="HT93" s="368"/>
      <c r="HU93" s="368"/>
      <c r="HV93" s="368"/>
      <c r="HW93" s="368"/>
      <c r="HX93" s="368"/>
      <c r="HY93" s="368"/>
      <c r="HZ93" s="368"/>
      <c r="IA93" s="368"/>
      <c r="IB93" s="368"/>
      <c r="IC93" s="368"/>
      <c r="ID93" s="368"/>
      <c r="IE93" s="368"/>
      <c r="IF93" s="368"/>
      <c r="IG93" s="368"/>
      <c r="IH93" s="368"/>
      <c r="II93" s="368"/>
      <c r="IJ93" s="368"/>
      <c r="IK93" s="368"/>
      <c r="IL93" s="368"/>
      <c r="IM93" s="368"/>
      <c r="IN93" s="368"/>
      <c r="IO93" s="368"/>
      <c r="IP93" s="368"/>
      <c r="IQ93" s="368"/>
      <c r="IR93" s="368"/>
      <c r="IS93" s="368"/>
      <c r="IT93" s="368"/>
      <c r="IU93" s="368"/>
    </row>
    <row r="94" spans="2:255" ht="20.149999999999999" customHeight="1">
      <c r="B94" s="1025" t="s">
        <v>229</v>
      </c>
      <c r="C94" s="1025"/>
      <c r="D94" s="1036">
        <f>D81</f>
        <v>25.2</v>
      </c>
      <c r="E94" s="1036"/>
      <c r="F94" s="1036"/>
      <c r="G94" s="1036"/>
      <c r="H94" s="1036"/>
      <c r="I94" s="1036">
        <f>I81</f>
        <v>25</v>
      </c>
      <c r="J94" s="1036"/>
      <c r="K94" s="1036"/>
      <c r="L94" s="1036"/>
      <c r="M94" s="1036"/>
      <c r="N94" s="1031"/>
      <c r="O94" s="31">
        <f t="shared" si="2"/>
        <v>0.19999999999999929</v>
      </c>
      <c r="P94" s="31">
        <f t="shared" si="3"/>
        <v>25.1</v>
      </c>
      <c r="R94" s="31">
        <f>25.2-25</f>
        <v>0.19999999999999929</v>
      </c>
      <c r="S94" s="31">
        <f>(25.2+25)/2</f>
        <v>25.1</v>
      </c>
      <c r="T94" s="29"/>
      <c r="U94" s="892"/>
      <c r="V94" s="368"/>
      <c r="W94" s="368"/>
      <c r="X94" s="368"/>
      <c r="Y94" s="368"/>
      <c r="Z94" s="368"/>
      <c r="AA94" s="368"/>
      <c r="AB94" s="368"/>
      <c r="AC94" s="368"/>
      <c r="AD94" s="368"/>
      <c r="AE94" s="368"/>
      <c r="AF94" s="368"/>
      <c r="AG94" s="368"/>
      <c r="AH94" s="368"/>
      <c r="AI94" s="368"/>
      <c r="AJ94" s="368"/>
      <c r="AK94" s="368"/>
      <c r="AL94" s="368"/>
      <c r="AM94" s="368"/>
      <c r="AN94" s="368"/>
      <c r="AO94" s="368"/>
      <c r="AP94" s="368"/>
      <c r="AQ94" s="368"/>
      <c r="AR94" s="368"/>
      <c r="AS94" s="368"/>
      <c r="AT94" s="368"/>
      <c r="AU94" s="368"/>
      <c r="AV94" s="368"/>
      <c r="AW94" s="368"/>
      <c r="AX94" s="368"/>
      <c r="AY94" s="368"/>
      <c r="AZ94" s="368"/>
      <c r="BA94" s="368"/>
      <c r="BB94" s="368"/>
      <c r="BC94" s="368"/>
      <c r="BD94" s="368"/>
      <c r="BE94" s="368"/>
      <c r="BF94" s="368"/>
      <c r="BG94" s="368"/>
      <c r="BH94" s="368"/>
      <c r="BI94" s="368"/>
      <c r="BJ94" s="368"/>
      <c r="BK94" s="368"/>
      <c r="BL94" s="368"/>
      <c r="BM94" s="368"/>
      <c r="BN94" s="368"/>
      <c r="BO94" s="368"/>
      <c r="BP94" s="368"/>
      <c r="BQ94" s="368"/>
      <c r="BR94" s="368"/>
      <c r="BS94" s="368"/>
      <c r="BT94" s="368"/>
      <c r="BU94" s="368"/>
      <c r="BV94" s="368"/>
      <c r="BW94" s="368"/>
      <c r="BX94" s="368"/>
      <c r="BY94" s="368"/>
      <c r="BZ94" s="368"/>
      <c r="CA94" s="368"/>
      <c r="CB94" s="368"/>
      <c r="CC94" s="368"/>
      <c r="CD94" s="368"/>
      <c r="CE94" s="368"/>
      <c r="CF94" s="368"/>
      <c r="CG94" s="368"/>
      <c r="CH94" s="368"/>
      <c r="CI94" s="368"/>
      <c r="CJ94" s="368"/>
      <c r="CK94" s="368"/>
      <c r="CL94" s="368"/>
      <c r="CM94" s="368"/>
      <c r="CN94" s="368"/>
      <c r="CO94" s="368"/>
      <c r="CP94" s="368"/>
      <c r="CQ94" s="368"/>
      <c r="CR94" s="368"/>
      <c r="CS94" s="368"/>
      <c r="CT94" s="368"/>
      <c r="CU94" s="368"/>
      <c r="CV94" s="368"/>
      <c r="CW94" s="368"/>
      <c r="CX94" s="368"/>
      <c r="CY94" s="368"/>
      <c r="CZ94" s="368"/>
      <c r="DA94" s="368"/>
      <c r="DB94" s="368"/>
      <c r="DC94" s="368"/>
      <c r="DD94" s="368"/>
      <c r="DE94" s="368"/>
      <c r="DF94" s="368"/>
      <c r="DG94" s="368"/>
      <c r="DH94" s="368"/>
      <c r="DI94" s="368"/>
      <c r="DJ94" s="368"/>
      <c r="DK94" s="368"/>
      <c r="DL94" s="368"/>
      <c r="DM94" s="368"/>
      <c r="DN94" s="368"/>
      <c r="DO94" s="368"/>
      <c r="DP94" s="368"/>
      <c r="DQ94" s="368"/>
      <c r="DR94" s="368"/>
      <c r="DS94" s="368"/>
      <c r="DT94" s="368"/>
      <c r="DU94" s="368"/>
      <c r="DV94" s="368"/>
      <c r="DW94" s="368"/>
      <c r="DX94" s="368"/>
      <c r="DY94" s="368"/>
      <c r="DZ94" s="368"/>
      <c r="EA94" s="368"/>
      <c r="EB94" s="368"/>
      <c r="EC94" s="368"/>
      <c r="ED94" s="368"/>
      <c r="EE94" s="368"/>
      <c r="EF94" s="368"/>
      <c r="EG94" s="368"/>
      <c r="EH94" s="368"/>
      <c r="EI94" s="368"/>
      <c r="EJ94" s="368"/>
      <c r="EK94" s="368"/>
      <c r="EL94" s="368"/>
      <c r="EM94" s="368"/>
      <c r="EN94" s="368"/>
      <c r="EO94" s="368"/>
      <c r="EP94" s="368"/>
      <c r="EQ94" s="368"/>
      <c r="ER94" s="368"/>
      <c r="ES94" s="368"/>
      <c r="ET94" s="368"/>
      <c r="EU94" s="368"/>
      <c r="EV94" s="368"/>
      <c r="EW94" s="368"/>
      <c r="EX94" s="368"/>
      <c r="EY94" s="368"/>
      <c r="EZ94" s="368"/>
      <c r="FA94" s="368"/>
      <c r="FB94" s="368"/>
      <c r="FC94" s="368"/>
      <c r="FD94" s="368"/>
      <c r="FE94" s="368"/>
      <c r="FF94" s="368"/>
      <c r="FG94" s="368"/>
      <c r="FH94" s="368"/>
      <c r="FI94" s="368"/>
      <c r="FJ94" s="368"/>
      <c r="FK94" s="368"/>
      <c r="FL94" s="368"/>
      <c r="FM94" s="368"/>
      <c r="FN94" s="368"/>
      <c r="FO94" s="368"/>
      <c r="FP94" s="368"/>
      <c r="FQ94" s="368"/>
      <c r="FR94" s="368"/>
      <c r="FS94" s="368"/>
      <c r="FT94" s="368"/>
      <c r="FU94" s="368"/>
      <c r="FV94" s="368"/>
      <c r="FW94" s="368"/>
      <c r="FX94" s="368"/>
      <c r="FY94" s="368"/>
      <c r="FZ94" s="368"/>
      <c r="GA94" s="368"/>
      <c r="GB94" s="368"/>
      <c r="GC94" s="368"/>
      <c r="GD94" s="368"/>
      <c r="GE94" s="368"/>
      <c r="GF94" s="368"/>
      <c r="GG94" s="368"/>
      <c r="GH94" s="368"/>
      <c r="GI94" s="368"/>
      <c r="GJ94" s="368"/>
      <c r="GK94" s="368"/>
      <c r="GL94" s="368"/>
      <c r="GM94" s="368"/>
      <c r="GN94" s="368"/>
      <c r="GO94" s="368"/>
      <c r="GP94" s="368"/>
      <c r="GQ94" s="368"/>
      <c r="GR94" s="368"/>
      <c r="GS94" s="368"/>
      <c r="GT94" s="368"/>
      <c r="GU94" s="368"/>
      <c r="GV94" s="368"/>
      <c r="GW94" s="368"/>
      <c r="GX94" s="368"/>
      <c r="GY94" s="368"/>
      <c r="GZ94" s="368"/>
      <c r="HA94" s="368"/>
      <c r="HB94" s="368"/>
      <c r="HC94" s="368"/>
      <c r="HD94" s="368"/>
      <c r="HE94" s="368"/>
      <c r="HF94" s="368"/>
      <c r="HG94" s="368"/>
      <c r="HH94" s="368"/>
      <c r="HI94" s="368"/>
      <c r="HJ94" s="368"/>
      <c r="HK94" s="368"/>
      <c r="HL94" s="368"/>
      <c r="HM94" s="368"/>
      <c r="HN94" s="368"/>
      <c r="HO94" s="368"/>
      <c r="HP94" s="368"/>
      <c r="HQ94" s="368"/>
      <c r="HR94" s="368"/>
      <c r="HS94" s="368"/>
      <c r="HT94" s="368"/>
      <c r="HU94" s="368"/>
      <c r="HV94" s="368"/>
      <c r="HW94" s="368"/>
      <c r="HX94" s="368"/>
      <c r="HY94" s="368"/>
      <c r="HZ94" s="368"/>
      <c r="IA94" s="368"/>
      <c r="IB94" s="368"/>
      <c r="IC94" s="368"/>
      <c r="ID94" s="368"/>
      <c r="IE94" s="368"/>
      <c r="IF94" s="368"/>
      <c r="IG94" s="368"/>
      <c r="IH94" s="368"/>
      <c r="II94" s="368"/>
      <c r="IJ94" s="368"/>
      <c r="IK94" s="368"/>
      <c r="IL94" s="368"/>
      <c r="IM94" s="368"/>
      <c r="IN94" s="368"/>
      <c r="IO94" s="368"/>
      <c r="IP94" s="368"/>
      <c r="IQ94" s="368"/>
      <c r="IR94" s="368"/>
      <c r="IS94" s="368"/>
      <c r="IT94" s="368"/>
      <c r="IU94" s="368"/>
    </row>
    <row r="95" spans="2:255" ht="20.149999999999999" customHeight="1">
      <c r="B95" s="64">
        <v>1</v>
      </c>
      <c r="C95" s="46"/>
      <c r="D95" s="1033" t="s">
        <v>237</v>
      </c>
      <c r="E95" s="1033"/>
      <c r="F95" s="1033"/>
      <c r="G95" s="1033"/>
      <c r="H95" s="1033"/>
      <c r="I95" s="1033"/>
      <c r="J95" s="1033"/>
      <c r="K95" s="1033"/>
      <c r="L95" s="1052">
        <f>P93</f>
        <v>37</v>
      </c>
      <c r="M95" s="1052"/>
      <c r="P95" s="18">
        <f>37.57-37.13</f>
        <v>0.43999999999999773</v>
      </c>
      <c r="V95" s="368"/>
      <c r="W95" s="368"/>
      <c r="X95" s="368"/>
      <c r="Y95" s="368"/>
      <c r="Z95" s="368"/>
      <c r="AA95" s="368"/>
      <c r="AB95" s="368"/>
      <c r="AC95" s="368"/>
      <c r="AD95" s="368"/>
      <c r="AE95" s="368"/>
      <c r="AF95" s="368"/>
      <c r="AG95" s="368"/>
      <c r="AH95" s="368"/>
      <c r="AI95" s="368"/>
      <c r="AJ95" s="368"/>
      <c r="AK95" s="368"/>
      <c r="AL95" s="368"/>
      <c r="AM95" s="368"/>
      <c r="AN95" s="368"/>
      <c r="AO95" s="368"/>
      <c r="AP95" s="368"/>
      <c r="AQ95" s="368"/>
      <c r="AR95" s="368"/>
      <c r="AS95" s="368"/>
      <c r="AT95" s="368"/>
      <c r="AU95" s="368"/>
      <c r="AV95" s="368"/>
      <c r="AW95" s="368"/>
      <c r="AX95" s="368"/>
      <c r="AY95" s="368"/>
      <c r="AZ95" s="368"/>
      <c r="BA95" s="368"/>
      <c r="BB95" s="368"/>
      <c r="BC95" s="368"/>
      <c r="BD95" s="368"/>
      <c r="BE95" s="368"/>
      <c r="BF95" s="368"/>
      <c r="BG95" s="368"/>
      <c r="BH95" s="368"/>
      <c r="BI95" s="368"/>
      <c r="BJ95" s="368"/>
      <c r="BK95" s="368"/>
      <c r="BL95" s="368"/>
      <c r="BM95" s="368"/>
      <c r="BN95" s="368"/>
      <c r="BO95" s="368"/>
      <c r="BP95" s="368"/>
      <c r="BQ95" s="368"/>
      <c r="BR95" s="368"/>
      <c r="BS95" s="368"/>
      <c r="BT95" s="368"/>
      <c r="BU95" s="368"/>
      <c r="BV95" s="368"/>
      <c r="BW95" s="368"/>
      <c r="BX95" s="368"/>
      <c r="BY95" s="368"/>
      <c r="BZ95" s="368"/>
      <c r="CA95" s="368"/>
      <c r="CB95" s="368"/>
      <c r="CC95" s="368"/>
      <c r="CD95" s="368"/>
      <c r="CE95" s="368"/>
      <c r="CF95" s="368"/>
      <c r="CG95" s="368"/>
      <c r="CH95" s="368"/>
      <c r="CI95" s="368"/>
      <c r="CJ95" s="368"/>
      <c r="CK95" s="368"/>
      <c r="CL95" s="368"/>
      <c r="CM95" s="368"/>
      <c r="CN95" s="368"/>
      <c r="CO95" s="368"/>
      <c r="CP95" s="368"/>
      <c r="CQ95" s="368"/>
      <c r="CR95" s="368"/>
      <c r="CS95" s="368"/>
      <c r="CT95" s="368"/>
      <c r="CU95" s="368"/>
      <c r="CV95" s="368"/>
      <c r="CW95" s="368"/>
      <c r="CX95" s="368"/>
      <c r="CY95" s="368"/>
      <c r="CZ95" s="368"/>
      <c r="DA95" s="368"/>
      <c r="DB95" s="368"/>
      <c r="DC95" s="368"/>
      <c r="DD95" s="368"/>
      <c r="DE95" s="368"/>
      <c r="DF95" s="368"/>
      <c r="DG95" s="368"/>
      <c r="DH95" s="368"/>
      <c r="DI95" s="368"/>
      <c r="DJ95" s="368"/>
      <c r="DK95" s="368"/>
      <c r="DL95" s="368"/>
      <c r="DM95" s="368"/>
      <c r="DN95" s="368"/>
      <c r="DO95" s="368"/>
      <c r="DP95" s="368"/>
      <c r="DQ95" s="368"/>
      <c r="DR95" s="368"/>
      <c r="DS95" s="368"/>
      <c r="DT95" s="368"/>
      <c r="DU95" s="368"/>
      <c r="DV95" s="368"/>
      <c r="DW95" s="368"/>
      <c r="DX95" s="368"/>
      <c r="DY95" s="368"/>
      <c r="DZ95" s="368"/>
      <c r="EA95" s="368"/>
      <c r="EB95" s="368"/>
      <c r="EC95" s="368"/>
      <c r="ED95" s="368"/>
      <c r="EE95" s="368"/>
      <c r="EF95" s="368"/>
      <c r="EG95" s="368"/>
      <c r="EH95" s="368"/>
      <c r="EI95" s="368"/>
      <c r="EJ95" s="368"/>
      <c r="EK95" s="368"/>
      <c r="EL95" s="368"/>
      <c r="EM95" s="368"/>
      <c r="EN95" s="368"/>
      <c r="EO95" s="368"/>
      <c r="EP95" s="368"/>
      <c r="EQ95" s="368"/>
      <c r="ER95" s="368"/>
      <c r="ES95" s="368"/>
      <c r="ET95" s="368"/>
      <c r="EU95" s="368"/>
      <c r="EV95" s="368"/>
      <c r="EW95" s="368"/>
      <c r="EX95" s="368"/>
      <c r="EY95" s="368"/>
      <c r="EZ95" s="368"/>
      <c r="FA95" s="368"/>
      <c r="FB95" s="368"/>
      <c r="FC95" s="368"/>
      <c r="FD95" s="368"/>
      <c r="FE95" s="368"/>
      <c r="FF95" s="368"/>
      <c r="FG95" s="368"/>
      <c r="FH95" s="368"/>
      <c r="FI95" s="368"/>
      <c r="FJ95" s="368"/>
      <c r="FK95" s="368"/>
      <c r="FL95" s="368"/>
      <c r="FM95" s="368"/>
      <c r="FN95" s="368"/>
      <c r="FO95" s="368"/>
      <c r="FP95" s="368"/>
      <c r="FQ95" s="368"/>
      <c r="FR95" s="368"/>
      <c r="FS95" s="368"/>
      <c r="FT95" s="368"/>
      <c r="FU95" s="368"/>
      <c r="FV95" s="368"/>
      <c r="FW95" s="368"/>
      <c r="FX95" s="368"/>
      <c r="FY95" s="368"/>
      <c r="FZ95" s="368"/>
      <c r="GA95" s="368"/>
      <c r="GB95" s="368"/>
      <c r="GC95" s="368"/>
      <c r="GD95" s="368"/>
      <c r="GE95" s="368"/>
      <c r="GF95" s="368"/>
      <c r="GG95" s="368"/>
      <c r="GH95" s="368"/>
      <c r="GI95" s="368"/>
      <c r="GJ95" s="368"/>
      <c r="GK95" s="368"/>
      <c r="GL95" s="368"/>
      <c r="GM95" s="368"/>
      <c r="GN95" s="368"/>
      <c r="GO95" s="368"/>
      <c r="GP95" s="368"/>
      <c r="GQ95" s="368"/>
      <c r="GR95" s="368"/>
      <c r="GS95" s="368"/>
      <c r="GT95" s="368"/>
      <c r="GU95" s="368"/>
      <c r="GV95" s="368"/>
      <c r="GW95" s="368"/>
      <c r="GX95" s="368"/>
      <c r="GY95" s="368"/>
      <c r="GZ95" s="368"/>
      <c r="HA95" s="368"/>
      <c r="HB95" s="368"/>
      <c r="HC95" s="368"/>
      <c r="HD95" s="368"/>
      <c r="HE95" s="368"/>
      <c r="HF95" s="368"/>
      <c r="HG95" s="368"/>
      <c r="HH95" s="368"/>
      <c r="HI95" s="368"/>
      <c r="HJ95" s="368"/>
      <c r="HK95" s="368"/>
      <c r="HL95" s="368"/>
      <c r="HM95" s="368"/>
      <c r="HN95" s="368"/>
      <c r="HO95" s="368"/>
      <c r="HP95" s="368"/>
      <c r="HQ95" s="368"/>
      <c r="HR95" s="368"/>
      <c r="HS95" s="368"/>
      <c r="HT95" s="368"/>
      <c r="HU95" s="368"/>
      <c r="HV95" s="368"/>
      <c r="HW95" s="368"/>
      <c r="HX95" s="368"/>
      <c r="HY95" s="368"/>
      <c r="HZ95" s="368"/>
      <c r="IA95" s="368"/>
      <c r="IB95" s="368"/>
      <c r="IC95" s="368"/>
      <c r="ID95" s="368"/>
      <c r="IE95" s="368"/>
      <c r="IF95" s="368"/>
      <c r="IG95" s="368"/>
      <c r="IH95" s="368"/>
      <c r="II95" s="368"/>
      <c r="IJ95" s="368"/>
      <c r="IK95" s="368"/>
      <c r="IL95" s="368"/>
      <c r="IM95" s="368"/>
      <c r="IN95" s="368"/>
      <c r="IO95" s="368"/>
      <c r="IP95" s="368"/>
      <c r="IQ95" s="368"/>
      <c r="IR95" s="368"/>
      <c r="IS95" s="368"/>
      <c r="IT95" s="368"/>
      <c r="IU95" s="368"/>
    </row>
    <row r="96" spans="2:255" ht="20.149999999999999" customHeight="1">
      <c r="B96" s="64">
        <v>2</v>
      </c>
      <c r="C96" s="46"/>
      <c r="D96" s="1033" t="s">
        <v>238</v>
      </c>
      <c r="E96" s="1033"/>
      <c r="F96" s="1033"/>
      <c r="G96" s="1033"/>
      <c r="H96" s="1033"/>
      <c r="I96" s="1033"/>
      <c r="J96" s="1033"/>
      <c r="K96" s="1033"/>
      <c r="L96" s="1035">
        <f ca="1">(MAX(P85:P92)+MIN(P85:P92))/2</f>
        <v>37.19</v>
      </c>
      <c r="M96" s="1035"/>
      <c r="R96" s="368"/>
      <c r="S96" s="368"/>
      <c r="T96" s="368"/>
      <c r="U96" s="368"/>
      <c r="V96" s="368"/>
      <c r="W96" s="368"/>
      <c r="X96" s="368"/>
      <c r="Y96" s="368"/>
      <c r="Z96" s="368"/>
      <c r="AA96" s="368"/>
      <c r="AB96" s="368"/>
      <c r="AC96" s="368"/>
      <c r="AD96" s="368"/>
      <c r="AE96" s="368"/>
      <c r="AF96" s="368"/>
      <c r="AG96" s="368"/>
      <c r="AH96" s="368"/>
      <c r="AI96" s="368"/>
      <c r="AJ96" s="368"/>
      <c r="AK96" s="368"/>
      <c r="AL96" s="368"/>
      <c r="AM96" s="368"/>
      <c r="AN96" s="368"/>
      <c r="AO96" s="368"/>
      <c r="AP96" s="368"/>
      <c r="AQ96" s="368"/>
      <c r="AR96" s="368"/>
      <c r="AS96" s="368"/>
      <c r="AT96" s="368"/>
      <c r="AU96" s="368"/>
      <c r="AV96" s="368"/>
      <c r="AW96" s="368"/>
      <c r="AX96" s="368"/>
      <c r="AY96" s="368"/>
      <c r="AZ96" s="368"/>
      <c r="BA96" s="368"/>
      <c r="BB96" s="368"/>
      <c r="BC96" s="368"/>
      <c r="BD96" s="368"/>
      <c r="BE96" s="368"/>
      <c r="BF96" s="368"/>
      <c r="BG96" s="368"/>
      <c r="BH96" s="368"/>
      <c r="BI96" s="368"/>
      <c r="BJ96" s="368"/>
      <c r="BK96" s="368"/>
      <c r="BL96" s="368"/>
      <c r="BM96" s="368"/>
      <c r="BN96" s="368"/>
      <c r="BO96" s="368"/>
      <c r="BP96" s="368"/>
      <c r="BQ96" s="368"/>
      <c r="BR96" s="368"/>
      <c r="BS96" s="368"/>
      <c r="BT96" s="368"/>
      <c r="BU96" s="368"/>
      <c r="BV96" s="368"/>
      <c r="BW96" s="368"/>
      <c r="BX96" s="368"/>
      <c r="BY96" s="368"/>
      <c r="BZ96" s="368"/>
      <c r="CA96" s="368"/>
      <c r="CB96" s="368"/>
      <c r="CC96" s="368"/>
      <c r="CD96" s="368"/>
      <c r="CE96" s="368"/>
      <c r="CF96" s="368"/>
      <c r="CG96" s="368"/>
      <c r="CH96" s="368"/>
      <c r="CI96" s="368"/>
      <c r="CJ96" s="368"/>
      <c r="CK96" s="368"/>
      <c r="CL96" s="368"/>
      <c r="CM96" s="368"/>
      <c r="CN96" s="368"/>
      <c r="CO96" s="368"/>
      <c r="CP96" s="368"/>
      <c r="CQ96" s="368"/>
      <c r="CR96" s="368"/>
      <c r="CS96" s="368"/>
      <c r="CT96" s="368"/>
      <c r="CU96" s="368"/>
      <c r="CV96" s="368"/>
      <c r="CW96" s="368"/>
      <c r="CX96" s="368"/>
      <c r="CY96" s="368"/>
      <c r="CZ96" s="368"/>
      <c r="DA96" s="368"/>
      <c r="DB96" s="368"/>
      <c r="DC96" s="368"/>
      <c r="DD96" s="368"/>
      <c r="DE96" s="368"/>
      <c r="DF96" s="368"/>
      <c r="DG96" s="368"/>
      <c r="DH96" s="368"/>
      <c r="DI96" s="368"/>
      <c r="DJ96" s="368"/>
      <c r="DK96" s="368"/>
      <c r="DL96" s="368"/>
      <c r="DM96" s="368"/>
      <c r="DN96" s="368"/>
      <c r="DO96" s="368"/>
      <c r="DP96" s="368"/>
      <c r="DQ96" s="368"/>
      <c r="DR96" s="368"/>
      <c r="DS96" s="368"/>
      <c r="DT96" s="368"/>
      <c r="DU96" s="368"/>
      <c r="DV96" s="368"/>
      <c r="DW96" s="368"/>
      <c r="DX96" s="368"/>
      <c r="DY96" s="368"/>
      <c r="DZ96" s="368"/>
      <c r="EA96" s="368"/>
      <c r="EB96" s="368"/>
      <c r="EC96" s="368"/>
      <c r="ED96" s="368"/>
      <c r="EE96" s="368"/>
      <c r="EF96" s="368"/>
      <c r="EG96" s="368"/>
      <c r="EH96" s="368"/>
      <c r="EI96" s="368"/>
      <c r="EJ96" s="368"/>
      <c r="EK96" s="368"/>
      <c r="EL96" s="368"/>
      <c r="EM96" s="368"/>
      <c r="EN96" s="368"/>
      <c r="EO96" s="368"/>
      <c r="EP96" s="368"/>
      <c r="EQ96" s="368"/>
      <c r="ER96" s="368"/>
      <c r="ES96" s="368"/>
      <c r="ET96" s="368"/>
      <c r="EU96" s="368"/>
      <c r="EV96" s="368"/>
      <c r="EW96" s="368"/>
      <c r="EX96" s="368"/>
      <c r="EY96" s="368"/>
      <c r="EZ96" s="368"/>
      <c r="FA96" s="368"/>
      <c r="FB96" s="368"/>
      <c r="FC96" s="368"/>
      <c r="FD96" s="368"/>
      <c r="FE96" s="368"/>
      <c r="FF96" s="368"/>
      <c r="FG96" s="368"/>
      <c r="FH96" s="368"/>
      <c r="FI96" s="368"/>
      <c r="FJ96" s="368"/>
      <c r="FK96" s="368"/>
      <c r="FL96" s="368"/>
      <c r="FM96" s="368"/>
      <c r="FN96" s="368"/>
      <c r="FO96" s="368"/>
      <c r="FP96" s="368"/>
      <c r="FQ96" s="368"/>
      <c r="FR96" s="368"/>
      <c r="FS96" s="368"/>
      <c r="FT96" s="368"/>
      <c r="FU96" s="368"/>
      <c r="FV96" s="368"/>
      <c r="FW96" s="368"/>
      <c r="FX96" s="368"/>
      <c r="FY96" s="368"/>
      <c r="FZ96" s="368"/>
      <c r="GA96" s="368"/>
      <c r="GB96" s="368"/>
      <c r="GC96" s="368"/>
      <c r="GD96" s="368"/>
      <c r="GE96" s="368"/>
      <c r="GF96" s="368"/>
      <c r="GG96" s="368"/>
      <c r="GH96" s="368"/>
      <c r="GI96" s="368"/>
      <c r="GJ96" s="368"/>
      <c r="GK96" s="368"/>
      <c r="GL96" s="368"/>
      <c r="GM96" s="368"/>
      <c r="GN96" s="368"/>
      <c r="GO96" s="368"/>
      <c r="GP96" s="368"/>
      <c r="GQ96" s="368"/>
      <c r="GR96" s="368"/>
      <c r="GS96" s="368"/>
      <c r="GT96" s="368"/>
      <c r="GU96" s="368"/>
      <c r="GV96" s="368"/>
      <c r="GW96" s="368"/>
      <c r="GX96" s="368"/>
      <c r="GY96" s="368"/>
      <c r="GZ96" s="368"/>
      <c r="HA96" s="368"/>
      <c r="HB96" s="368"/>
      <c r="HC96" s="368"/>
      <c r="HD96" s="368"/>
      <c r="HE96" s="368"/>
      <c r="HF96" s="368"/>
      <c r="HG96" s="368"/>
      <c r="HH96" s="368"/>
      <c r="HI96" s="368"/>
      <c r="HJ96" s="368"/>
      <c r="HK96" s="368"/>
      <c r="HL96" s="368"/>
      <c r="HM96" s="368"/>
      <c r="HN96" s="368"/>
      <c r="HO96" s="368"/>
      <c r="HP96" s="368"/>
      <c r="HQ96" s="368"/>
      <c r="HR96" s="368"/>
      <c r="HS96" s="368"/>
      <c r="HT96" s="368"/>
      <c r="HU96" s="368"/>
      <c r="HV96" s="368"/>
      <c r="HW96" s="368"/>
      <c r="HX96" s="368"/>
      <c r="HY96" s="368"/>
      <c r="HZ96" s="368"/>
      <c r="IA96" s="368"/>
      <c r="IB96" s="368"/>
      <c r="IC96" s="368"/>
      <c r="ID96" s="368"/>
      <c r="IE96" s="368"/>
      <c r="IF96" s="368"/>
      <c r="IG96" s="368"/>
      <c r="IH96" s="368"/>
      <c r="II96" s="368"/>
      <c r="IJ96" s="368"/>
      <c r="IK96" s="368"/>
      <c r="IL96" s="368"/>
      <c r="IM96" s="368"/>
      <c r="IN96" s="368"/>
      <c r="IO96" s="368"/>
      <c r="IP96" s="368"/>
      <c r="IQ96" s="368"/>
      <c r="IR96" s="368"/>
      <c r="IS96" s="368"/>
      <c r="IT96" s="368"/>
      <c r="IU96" s="368"/>
    </row>
    <row r="97" spans="2:255" ht="20.149999999999999" customHeight="1">
      <c r="B97" s="64">
        <v>3</v>
      </c>
      <c r="C97" s="46"/>
      <c r="D97" s="1033" t="s">
        <v>239</v>
      </c>
      <c r="E97" s="1033"/>
      <c r="F97" s="1033"/>
      <c r="G97" s="1033"/>
      <c r="H97" s="1033"/>
      <c r="I97" s="1033"/>
      <c r="J97" s="1033"/>
      <c r="K97" s="1033"/>
      <c r="L97" s="1035">
        <f ca="1">MAX(P85:P92)-MIN(P85:P92)</f>
        <v>3.9999999999984936E-2</v>
      </c>
      <c r="M97" s="1035"/>
      <c r="R97" s="368"/>
      <c r="S97" s="368"/>
      <c r="T97" s="368"/>
      <c r="U97" s="368"/>
      <c r="V97" s="368"/>
      <c r="W97" s="368"/>
      <c r="X97" s="368"/>
      <c r="Y97" s="368"/>
      <c r="Z97" s="368"/>
      <c r="AA97" s="368"/>
      <c r="AB97" s="368"/>
      <c r="AC97" s="368"/>
      <c r="AD97" s="368"/>
      <c r="AE97" s="368"/>
      <c r="AF97" s="368"/>
      <c r="AG97" s="368"/>
      <c r="AH97" s="368"/>
      <c r="AI97" s="368"/>
      <c r="AJ97" s="368"/>
      <c r="AK97" s="368"/>
      <c r="AL97" s="368"/>
      <c r="AM97" s="368"/>
      <c r="AN97" s="368"/>
      <c r="AO97" s="368"/>
      <c r="AP97" s="368"/>
      <c r="AQ97" s="368"/>
      <c r="AR97" s="368"/>
      <c r="AS97" s="368"/>
      <c r="AT97" s="368"/>
      <c r="AU97" s="368"/>
      <c r="AV97" s="368"/>
      <c r="AW97" s="368"/>
      <c r="AX97" s="368"/>
      <c r="AY97" s="368"/>
      <c r="AZ97" s="368"/>
      <c r="BA97" s="368"/>
      <c r="BB97" s="368"/>
      <c r="BC97" s="368"/>
      <c r="BD97" s="368"/>
      <c r="BE97" s="368"/>
      <c r="BF97" s="368"/>
      <c r="BG97" s="368"/>
      <c r="BH97" s="368"/>
      <c r="BI97" s="368"/>
      <c r="BJ97" s="368"/>
      <c r="BK97" s="368"/>
      <c r="BL97" s="368"/>
      <c r="BM97" s="368"/>
      <c r="BN97" s="368"/>
      <c r="BO97" s="368"/>
      <c r="BP97" s="368"/>
      <c r="BQ97" s="368"/>
      <c r="BR97" s="368"/>
      <c r="BS97" s="368"/>
      <c r="BT97" s="368"/>
      <c r="BU97" s="368"/>
      <c r="BV97" s="368"/>
      <c r="BW97" s="368"/>
      <c r="BX97" s="368"/>
      <c r="BY97" s="368"/>
      <c r="BZ97" s="368"/>
      <c r="CA97" s="368"/>
      <c r="CB97" s="368"/>
      <c r="CC97" s="368"/>
      <c r="CD97" s="368"/>
      <c r="CE97" s="368"/>
      <c r="CF97" s="368"/>
      <c r="CG97" s="368"/>
      <c r="CH97" s="368"/>
      <c r="CI97" s="368"/>
      <c r="CJ97" s="368"/>
      <c r="CK97" s="368"/>
      <c r="CL97" s="368"/>
      <c r="CM97" s="368"/>
      <c r="CN97" s="368"/>
      <c r="CO97" s="368"/>
      <c r="CP97" s="368"/>
      <c r="CQ97" s="368"/>
      <c r="CR97" s="368"/>
      <c r="CS97" s="368"/>
      <c r="CT97" s="368"/>
      <c r="CU97" s="368"/>
      <c r="CV97" s="368"/>
      <c r="CW97" s="368"/>
      <c r="CX97" s="368"/>
      <c r="CY97" s="368"/>
      <c r="CZ97" s="368"/>
      <c r="DA97" s="368"/>
      <c r="DB97" s="368"/>
      <c r="DC97" s="368"/>
      <c r="DD97" s="368"/>
      <c r="DE97" s="368"/>
      <c r="DF97" s="368"/>
      <c r="DG97" s="368"/>
      <c r="DH97" s="368"/>
      <c r="DI97" s="368"/>
      <c r="DJ97" s="368"/>
      <c r="DK97" s="368"/>
      <c r="DL97" s="368"/>
      <c r="DM97" s="368"/>
      <c r="DN97" s="368"/>
      <c r="DO97" s="368"/>
      <c r="DP97" s="368"/>
      <c r="DQ97" s="368"/>
      <c r="DR97" s="368"/>
      <c r="DS97" s="368"/>
      <c r="DT97" s="368"/>
      <c r="DU97" s="368"/>
      <c r="DV97" s="368"/>
      <c r="DW97" s="368"/>
      <c r="DX97" s="368"/>
      <c r="DY97" s="368"/>
      <c r="DZ97" s="368"/>
      <c r="EA97" s="368"/>
      <c r="EB97" s="368"/>
      <c r="EC97" s="368"/>
      <c r="ED97" s="368"/>
      <c r="EE97" s="368"/>
      <c r="EF97" s="368"/>
      <c r="EG97" s="368"/>
      <c r="EH97" s="368"/>
      <c r="EI97" s="368"/>
      <c r="EJ97" s="368"/>
      <c r="EK97" s="368"/>
      <c r="EL97" s="368"/>
      <c r="EM97" s="368"/>
      <c r="EN97" s="368"/>
      <c r="EO97" s="368"/>
      <c r="EP97" s="368"/>
      <c r="EQ97" s="368"/>
      <c r="ER97" s="368"/>
      <c r="ES97" s="368"/>
      <c r="ET97" s="368"/>
      <c r="EU97" s="368"/>
      <c r="EV97" s="368"/>
      <c r="EW97" s="368"/>
      <c r="EX97" s="368"/>
      <c r="EY97" s="368"/>
      <c r="EZ97" s="368"/>
      <c r="FA97" s="368"/>
      <c r="FB97" s="368"/>
      <c r="FC97" s="368"/>
      <c r="FD97" s="368"/>
      <c r="FE97" s="368"/>
      <c r="FF97" s="368"/>
      <c r="FG97" s="368"/>
      <c r="FH97" s="368"/>
      <c r="FI97" s="368"/>
      <c r="FJ97" s="368"/>
      <c r="FK97" s="368"/>
      <c r="FL97" s="368"/>
      <c r="FM97" s="368"/>
      <c r="FN97" s="368"/>
      <c r="FO97" s="368"/>
      <c r="FP97" s="368"/>
      <c r="FQ97" s="368"/>
      <c r="FR97" s="368"/>
      <c r="FS97" s="368"/>
      <c r="FT97" s="368"/>
      <c r="FU97" s="368"/>
      <c r="FV97" s="368"/>
      <c r="FW97" s="368"/>
      <c r="FX97" s="368"/>
      <c r="FY97" s="368"/>
      <c r="FZ97" s="368"/>
      <c r="GA97" s="368"/>
      <c r="GB97" s="368"/>
      <c r="GC97" s="368"/>
      <c r="GD97" s="368"/>
      <c r="GE97" s="368"/>
      <c r="GF97" s="368"/>
      <c r="GG97" s="368"/>
      <c r="GH97" s="368"/>
      <c r="GI97" s="368"/>
      <c r="GJ97" s="368"/>
      <c r="GK97" s="368"/>
      <c r="GL97" s="368"/>
      <c r="GM97" s="368"/>
      <c r="GN97" s="368"/>
      <c r="GO97" s="368"/>
      <c r="GP97" s="368"/>
      <c r="GQ97" s="368"/>
      <c r="GR97" s="368"/>
      <c r="GS97" s="368"/>
      <c r="GT97" s="368"/>
      <c r="GU97" s="368"/>
      <c r="GV97" s="368"/>
      <c r="GW97" s="368"/>
      <c r="GX97" s="368"/>
      <c r="GY97" s="368"/>
      <c r="GZ97" s="368"/>
      <c r="HA97" s="368"/>
      <c r="HB97" s="368"/>
      <c r="HC97" s="368"/>
      <c r="HD97" s="368"/>
      <c r="HE97" s="368"/>
      <c r="HF97" s="368"/>
      <c r="HG97" s="368"/>
      <c r="HH97" s="368"/>
      <c r="HI97" s="368"/>
      <c r="HJ97" s="368"/>
      <c r="HK97" s="368"/>
      <c r="HL97" s="368"/>
      <c r="HM97" s="368"/>
      <c r="HN97" s="368"/>
      <c r="HO97" s="368"/>
      <c r="HP97" s="368"/>
      <c r="HQ97" s="368"/>
      <c r="HR97" s="368"/>
      <c r="HS97" s="368"/>
      <c r="HT97" s="368"/>
      <c r="HU97" s="368"/>
      <c r="HV97" s="368"/>
      <c r="HW97" s="368"/>
      <c r="HX97" s="368"/>
      <c r="HY97" s="368"/>
      <c r="HZ97" s="368"/>
      <c r="IA97" s="368"/>
      <c r="IB97" s="368"/>
      <c r="IC97" s="368"/>
      <c r="ID97" s="368"/>
      <c r="IE97" s="368"/>
      <c r="IF97" s="368"/>
      <c r="IG97" s="368"/>
      <c r="IH97" s="368"/>
      <c r="II97" s="368"/>
      <c r="IJ97" s="368"/>
      <c r="IK97" s="368"/>
      <c r="IL97" s="368"/>
      <c r="IM97" s="368"/>
      <c r="IN97" s="368"/>
      <c r="IO97" s="368"/>
      <c r="IP97" s="368"/>
      <c r="IQ97" s="368"/>
      <c r="IR97" s="368"/>
      <c r="IS97" s="368"/>
      <c r="IT97" s="368"/>
      <c r="IU97" s="368"/>
    </row>
    <row r="98" spans="2:255" ht="20.149999999999999" customHeight="1">
      <c r="B98" s="64">
        <v>4</v>
      </c>
      <c r="C98" s="46"/>
      <c r="D98" s="982" t="s">
        <v>240</v>
      </c>
      <c r="E98" s="982"/>
      <c r="F98" s="982"/>
      <c r="G98" s="982"/>
      <c r="H98" s="982"/>
      <c r="I98" s="982"/>
      <c r="J98" s="982"/>
      <c r="K98" s="982"/>
      <c r="L98" s="1034">
        <f ca="1">MAX(O85:O92)</f>
        <v>0</v>
      </c>
      <c r="M98" s="1034"/>
      <c r="R98" s="368"/>
      <c r="S98" s="368"/>
      <c r="T98" s="368"/>
      <c r="U98" s="368"/>
      <c r="V98" s="368"/>
      <c r="W98" s="368"/>
      <c r="X98" s="368"/>
      <c r="Y98" s="368"/>
      <c r="Z98" s="368"/>
      <c r="AA98" s="368"/>
      <c r="AB98" s="368"/>
      <c r="AC98" s="368"/>
      <c r="AD98" s="368"/>
      <c r="AE98" s="368"/>
      <c r="AF98" s="368"/>
      <c r="AG98" s="368"/>
      <c r="AH98" s="368"/>
      <c r="AI98" s="368"/>
      <c r="AJ98" s="368"/>
      <c r="AK98" s="368"/>
      <c r="AL98" s="368"/>
      <c r="AM98" s="368"/>
      <c r="AN98" s="368"/>
      <c r="AO98" s="368"/>
      <c r="AP98" s="368"/>
      <c r="AQ98" s="368"/>
      <c r="AR98" s="368"/>
      <c r="AS98" s="368"/>
      <c r="AT98" s="368"/>
      <c r="AU98" s="368"/>
      <c r="AV98" s="368"/>
      <c r="AW98" s="368"/>
      <c r="AX98" s="368"/>
      <c r="AY98" s="368"/>
      <c r="AZ98" s="368"/>
      <c r="BA98" s="368"/>
      <c r="BB98" s="368"/>
      <c r="BC98" s="368"/>
      <c r="BD98" s="368"/>
      <c r="BE98" s="368"/>
      <c r="BF98" s="368"/>
      <c r="BG98" s="368"/>
      <c r="BH98" s="368"/>
      <c r="BI98" s="368"/>
      <c r="BJ98" s="368"/>
      <c r="BK98" s="368"/>
      <c r="BL98" s="368"/>
      <c r="BM98" s="368"/>
      <c r="BN98" s="368"/>
      <c r="BO98" s="368"/>
      <c r="BP98" s="368"/>
      <c r="BQ98" s="368"/>
      <c r="BR98" s="368"/>
      <c r="BS98" s="368"/>
      <c r="BT98" s="368"/>
      <c r="BU98" s="368"/>
      <c r="BV98" s="368"/>
      <c r="BW98" s="368"/>
      <c r="BX98" s="368"/>
      <c r="BY98" s="368"/>
      <c r="BZ98" s="368"/>
      <c r="CA98" s="368"/>
      <c r="CB98" s="368"/>
      <c r="CC98" s="368"/>
      <c r="CD98" s="368"/>
      <c r="CE98" s="368"/>
      <c r="CF98" s="368"/>
      <c r="CG98" s="368"/>
      <c r="CH98" s="368"/>
      <c r="CI98" s="368"/>
      <c r="CJ98" s="368"/>
      <c r="CK98" s="368"/>
      <c r="CL98" s="368"/>
      <c r="CM98" s="368"/>
      <c r="CN98" s="368"/>
      <c r="CO98" s="368"/>
      <c r="CP98" s="368"/>
      <c r="CQ98" s="368"/>
      <c r="CR98" s="368"/>
      <c r="CS98" s="368"/>
      <c r="CT98" s="368"/>
      <c r="CU98" s="368"/>
      <c r="CV98" s="368"/>
      <c r="CW98" s="368"/>
      <c r="CX98" s="368"/>
      <c r="CY98" s="368"/>
      <c r="CZ98" s="368"/>
      <c r="DA98" s="368"/>
      <c r="DB98" s="368"/>
      <c r="DC98" s="368"/>
      <c r="DD98" s="368"/>
      <c r="DE98" s="368"/>
      <c r="DF98" s="368"/>
      <c r="DG98" s="368"/>
      <c r="DH98" s="368"/>
      <c r="DI98" s="368"/>
      <c r="DJ98" s="368"/>
      <c r="DK98" s="368"/>
      <c r="DL98" s="368"/>
      <c r="DM98" s="368"/>
      <c r="DN98" s="368"/>
      <c r="DO98" s="368"/>
      <c r="DP98" s="368"/>
      <c r="DQ98" s="368"/>
      <c r="DR98" s="368"/>
      <c r="DS98" s="368"/>
      <c r="DT98" s="368"/>
      <c r="DU98" s="368"/>
      <c r="DV98" s="368"/>
      <c r="DW98" s="368"/>
      <c r="DX98" s="368"/>
      <c r="DY98" s="368"/>
      <c r="DZ98" s="368"/>
      <c r="EA98" s="368"/>
      <c r="EB98" s="368"/>
      <c r="EC98" s="368"/>
      <c r="ED98" s="368"/>
      <c r="EE98" s="368"/>
      <c r="EF98" s="368"/>
      <c r="EG98" s="368"/>
      <c r="EH98" s="368"/>
      <c r="EI98" s="368"/>
      <c r="EJ98" s="368"/>
      <c r="EK98" s="368"/>
      <c r="EL98" s="368"/>
      <c r="EM98" s="368"/>
      <c r="EN98" s="368"/>
      <c r="EO98" s="368"/>
      <c r="EP98" s="368"/>
      <c r="EQ98" s="368"/>
      <c r="ER98" s="368"/>
      <c r="ES98" s="368"/>
      <c r="ET98" s="368"/>
      <c r="EU98" s="368"/>
      <c r="EV98" s="368"/>
      <c r="EW98" s="368"/>
      <c r="EX98" s="368"/>
      <c r="EY98" s="368"/>
      <c r="EZ98" s="368"/>
      <c r="FA98" s="368"/>
      <c r="FB98" s="368"/>
      <c r="FC98" s="368"/>
      <c r="FD98" s="368"/>
      <c r="FE98" s="368"/>
      <c r="FF98" s="368"/>
      <c r="FG98" s="368"/>
      <c r="FH98" s="368"/>
      <c r="FI98" s="368"/>
      <c r="FJ98" s="368"/>
      <c r="FK98" s="368"/>
      <c r="FL98" s="368"/>
      <c r="FM98" s="368"/>
      <c r="FN98" s="368"/>
      <c r="FO98" s="368"/>
      <c r="FP98" s="368"/>
      <c r="FQ98" s="368"/>
      <c r="FR98" s="368"/>
      <c r="FS98" s="368"/>
      <c r="FT98" s="368"/>
      <c r="FU98" s="368"/>
      <c r="FV98" s="368"/>
      <c r="FW98" s="368"/>
      <c r="FX98" s="368"/>
      <c r="FY98" s="368"/>
      <c r="FZ98" s="368"/>
      <c r="GA98" s="368"/>
      <c r="GB98" s="368"/>
      <c r="GC98" s="368"/>
      <c r="GD98" s="368"/>
      <c r="GE98" s="368"/>
      <c r="GF98" s="368"/>
      <c r="GG98" s="368"/>
      <c r="GH98" s="368"/>
      <c r="GI98" s="368"/>
      <c r="GJ98" s="368"/>
      <c r="GK98" s="368"/>
      <c r="GL98" s="368"/>
      <c r="GM98" s="368"/>
      <c r="GN98" s="368"/>
      <c r="GO98" s="368"/>
      <c r="GP98" s="368"/>
      <c r="GQ98" s="368"/>
      <c r="GR98" s="368"/>
      <c r="GS98" s="368"/>
      <c r="GT98" s="368"/>
      <c r="GU98" s="368"/>
      <c r="GV98" s="368"/>
      <c r="GW98" s="368"/>
      <c r="GX98" s="368"/>
      <c r="GY98" s="368"/>
      <c r="GZ98" s="368"/>
      <c r="HA98" s="368"/>
      <c r="HB98" s="368"/>
      <c r="HC98" s="368"/>
      <c r="HD98" s="368"/>
      <c r="HE98" s="368"/>
      <c r="HF98" s="368"/>
      <c r="HG98" s="368"/>
      <c r="HH98" s="368"/>
      <c r="HI98" s="368"/>
      <c r="HJ98" s="368"/>
      <c r="HK98" s="368"/>
      <c r="HL98" s="368"/>
      <c r="HM98" s="368"/>
      <c r="HN98" s="368"/>
      <c r="HO98" s="368"/>
      <c r="HP98" s="368"/>
      <c r="HQ98" s="368"/>
      <c r="HR98" s="368"/>
      <c r="HS98" s="368"/>
      <c r="HT98" s="368"/>
      <c r="HU98" s="368"/>
      <c r="HV98" s="368"/>
      <c r="HW98" s="368"/>
      <c r="HX98" s="368"/>
      <c r="HY98" s="368"/>
      <c r="HZ98" s="368"/>
      <c r="IA98" s="368"/>
      <c r="IB98" s="368"/>
      <c r="IC98" s="368"/>
      <c r="ID98" s="368"/>
      <c r="IE98" s="368"/>
      <c r="IF98" s="368"/>
      <c r="IG98" s="368"/>
      <c r="IH98" s="368"/>
      <c r="II98" s="368"/>
      <c r="IJ98" s="368"/>
      <c r="IK98" s="368"/>
      <c r="IL98" s="368"/>
      <c r="IM98" s="368"/>
      <c r="IN98" s="368"/>
      <c r="IO98" s="368"/>
      <c r="IP98" s="368"/>
      <c r="IQ98" s="368"/>
      <c r="IR98" s="368"/>
      <c r="IS98" s="368"/>
      <c r="IT98" s="368"/>
      <c r="IU98" s="368"/>
    </row>
    <row r="99" spans="2:255" ht="20.149999999999999" customHeight="1">
      <c r="B99" s="64">
        <v>5</v>
      </c>
      <c r="C99" s="46"/>
      <c r="D99" s="982" t="s">
        <v>241</v>
      </c>
      <c r="E99" s="982"/>
      <c r="F99" s="982"/>
      <c r="G99" s="982"/>
      <c r="H99" s="982"/>
      <c r="I99" s="982"/>
      <c r="J99" s="982"/>
      <c r="K99" s="982"/>
      <c r="L99" s="1034">
        <f ca="1">MAX(D85:M92)-MIN(D85:M92)</f>
        <v>3.9999999999999147E-2</v>
      </c>
      <c r="M99" s="1025"/>
      <c r="R99" s="368"/>
      <c r="S99" s="368"/>
      <c r="T99" s="368"/>
      <c r="U99" s="368"/>
      <c r="V99" s="368"/>
      <c r="W99" s="368"/>
      <c r="X99" s="368"/>
      <c r="Y99" s="368"/>
      <c r="Z99" s="368"/>
      <c r="AA99" s="368"/>
      <c r="AB99" s="368"/>
      <c r="AC99" s="368"/>
      <c r="AD99" s="368"/>
      <c r="AE99" s="368"/>
      <c r="AF99" s="368"/>
      <c r="AG99" s="368"/>
      <c r="AH99" s="368"/>
      <c r="AI99" s="368"/>
      <c r="AJ99" s="368"/>
      <c r="AK99" s="368"/>
      <c r="AL99" s="368"/>
      <c r="AM99" s="368"/>
      <c r="AN99" s="368"/>
      <c r="AO99" s="368"/>
      <c r="AP99" s="368"/>
      <c r="AQ99" s="368"/>
      <c r="AR99" s="368"/>
      <c r="AS99" s="368"/>
      <c r="AT99" s="368"/>
      <c r="AU99" s="368"/>
      <c r="AV99" s="368"/>
      <c r="AW99" s="368"/>
      <c r="AX99" s="368"/>
      <c r="AY99" s="368"/>
      <c r="AZ99" s="368"/>
      <c r="BA99" s="368"/>
      <c r="BB99" s="368"/>
      <c r="BC99" s="368"/>
      <c r="BD99" s="368"/>
      <c r="BE99" s="368"/>
      <c r="BF99" s="368"/>
      <c r="BG99" s="368"/>
      <c r="BH99" s="368"/>
      <c r="BI99" s="368"/>
      <c r="BJ99" s="368"/>
      <c r="BK99" s="368"/>
      <c r="BL99" s="368"/>
      <c r="BM99" s="368"/>
      <c r="BN99" s="368"/>
      <c r="BO99" s="368"/>
      <c r="BP99" s="368"/>
      <c r="BQ99" s="368"/>
      <c r="BR99" s="368"/>
      <c r="BS99" s="368"/>
      <c r="BT99" s="368"/>
      <c r="BU99" s="368"/>
      <c r="BV99" s="368"/>
      <c r="BW99" s="368"/>
      <c r="BX99" s="368"/>
      <c r="BY99" s="368"/>
      <c r="BZ99" s="368"/>
      <c r="CA99" s="368"/>
      <c r="CB99" s="368"/>
      <c r="CC99" s="368"/>
      <c r="CD99" s="368"/>
      <c r="CE99" s="368"/>
      <c r="CF99" s="368"/>
      <c r="CG99" s="368"/>
      <c r="CH99" s="368"/>
      <c r="CI99" s="368"/>
      <c r="CJ99" s="368"/>
      <c r="CK99" s="368"/>
      <c r="CL99" s="368"/>
      <c r="CM99" s="368"/>
      <c r="CN99" s="368"/>
      <c r="CO99" s="368"/>
      <c r="CP99" s="368"/>
      <c r="CQ99" s="368"/>
      <c r="CR99" s="368"/>
      <c r="CS99" s="368"/>
      <c r="CT99" s="368"/>
      <c r="CU99" s="368"/>
      <c r="CV99" s="368"/>
      <c r="CW99" s="368"/>
      <c r="CX99" s="368"/>
      <c r="CY99" s="368"/>
      <c r="CZ99" s="368"/>
      <c r="DA99" s="368"/>
      <c r="DB99" s="368"/>
      <c r="DC99" s="368"/>
      <c r="DD99" s="368"/>
      <c r="DE99" s="368"/>
      <c r="DF99" s="368"/>
      <c r="DG99" s="368"/>
      <c r="DH99" s="368"/>
      <c r="DI99" s="368"/>
      <c r="DJ99" s="368"/>
      <c r="DK99" s="368"/>
      <c r="DL99" s="368"/>
      <c r="DM99" s="368"/>
      <c r="DN99" s="368"/>
      <c r="DO99" s="368"/>
      <c r="DP99" s="368"/>
      <c r="DQ99" s="368"/>
      <c r="DR99" s="368"/>
      <c r="DS99" s="368"/>
      <c r="DT99" s="368"/>
      <c r="DU99" s="368"/>
      <c r="DV99" s="368"/>
      <c r="DW99" s="368"/>
      <c r="DX99" s="368"/>
      <c r="DY99" s="368"/>
      <c r="DZ99" s="368"/>
      <c r="EA99" s="368"/>
      <c r="EB99" s="368"/>
      <c r="EC99" s="368"/>
      <c r="ED99" s="368"/>
      <c r="EE99" s="368"/>
      <c r="EF99" s="368"/>
      <c r="EG99" s="368"/>
      <c r="EH99" s="368"/>
      <c r="EI99" s="368"/>
      <c r="EJ99" s="368"/>
      <c r="EK99" s="368"/>
      <c r="EL99" s="368"/>
      <c r="EM99" s="368"/>
      <c r="EN99" s="368"/>
      <c r="EO99" s="368"/>
      <c r="EP99" s="368"/>
      <c r="EQ99" s="368"/>
      <c r="ER99" s="368"/>
      <c r="ES99" s="368"/>
      <c r="ET99" s="368"/>
      <c r="EU99" s="368"/>
      <c r="EV99" s="368"/>
      <c r="EW99" s="368"/>
      <c r="EX99" s="368"/>
      <c r="EY99" s="368"/>
      <c r="EZ99" s="368"/>
      <c r="FA99" s="368"/>
      <c r="FB99" s="368"/>
      <c r="FC99" s="368"/>
      <c r="FD99" s="368"/>
      <c r="FE99" s="368"/>
      <c r="FF99" s="368"/>
      <c r="FG99" s="368"/>
      <c r="FH99" s="368"/>
      <c r="FI99" s="368"/>
      <c r="FJ99" s="368"/>
      <c r="FK99" s="368"/>
      <c r="FL99" s="368"/>
      <c r="FM99" s="368"/>
      <c r="FN99" s="368"/>
      <c r="FO99" s="368"/>
      <c r="FP99" s="368"/>
      <c r="FQ99" s="368"/>
      <c r="FR99" s="368"/>
      <c r="FS99" s="368"/>
      <c r="FT99" s="368"/>
      <c r="FU99" s="368"/>
      <c r="FV99" s="368"/>
      <c r="FW99" s="368"/>
      <c r="FX99" s="368"/>
      <c r="FY99" s="368"/>
      <c r="FZ99" s="368"/>
      <c r="GA99" s="368"/>
      <c r="GB99" s="368"/>
      <c r="GC99" s="368"/>
      <c r="GD99" s="368"/>
      <c r="GE99" s="368"/>
      <c r="GF99" s="368"/>
      <c r="GG99" s="368"/>
      <c r="GH99" s="368"/>
      <c r="GI99" s="368"/>
      <c r="GJ99" s="368"/>
      <c r="GK99" s="368"/>
      <c r="GL99" s="368"/>
      <c r="GM99" s="368"/>
      <c r="GN99" s="368"/>
      <c r="GO99" s="368"/>
      <c r="GP99" s="368"/>
      <c r="GQ99" s="368"/>
      <c r="GR99" s="368"/>
      <c r="GS99" s="368"/>
      <c r="GT99" s="368"/>
      <c r="GU99" s="368"/>
      <c r="GV99" s="368"/>
      <c r="GW99" s="368"/>
      <c r="GX99" s="368"/>
      <c r="GY99" s="368"/>
      <c r="GZ99" s="368"/>
      <c r="HA99" s="368"/>
      <c r="HB99" s="368"/>
      <c r="HC99" s="368"/>
      <c r="HD99" s="368"/>
      <c r="HE99" s="368"/>
      <c r="HF99" s="368"/>
      <c r="HG99" s="368"/>
      <c r="HH99" s="368"/>
      <c r="HI99" s="368"/>
      <c r="HJ99" s="368"/>
      <c r="HK99" s="368"/>
      <c r="HL99" s="368"/>
      <c r="HM99" s="368"/>
      <c r="HN99" s="368"/>
      <c r="HO99" s="368"/>
      <c r="HP99" s="368"/>
      <c r="HQ99" s="368"/>
      <c r="HR99" s="368"/>
      <c r="HS99" s="368"/>
      <c r="HT99" s="368"/>
      <c r="HU99" s="368"/>
      <c r="HV99" s="368"/>
      <c r="HW99" s="368"/>
      <c r="HX99" s="368"/>
      <c r="HY99" s="368"/>
      <c r="HZ99" s="368"/>
      <c r="IA99" s="368"/>
      <c r="IB99" s="368"/>
      <c r="IC99" s="368"/>
      <c r="ID99" s="368"/>
      <c r="IE99" s="368"/>
      <c r="IF99" s="368"/>
      <c r="IG99" s="368"/>
      <c r="IH99" s="368"/>
      <c r="II99" s="368"/>
      <c r="IJ99" s="368"/>
      <c r="IK99" s="368"/>
      <c r="IL99" s="368"/>
      <c r="IM99" s="368"/>
      <c r="IN99" s="368"/>
      <c r="IO99" s="368"/>
      <c r="IP99" s="368"/>
      <c r="IQ99" s="368"/>
      <c r="IR99" s="368"/>
      <c r="IS99" s="368"/>
      <c r="IT99" s="368"/>
      <c r="IU99" s="368"/>
    </row>
    <row r="100" spans="2:255" ht="20.149999999999999" customHeight="1">
      <c r="B100" s="64">
        <v>6</v>
      </c>
      <c r="C100" s="46"/>
      <c r="D100" s="1033" t="s">
        <v>84</v>
      </c>
      <c r="E100" s="1033"/>
      <c r="F100" s="1033"/>
      <c r="G100" s="1033"/>
      <c r="H100" s="1033"/>
      <c r="I100" s="1033"/>
      <c r="J100" s="1033"/>
      <c r="K100" s="1033"/>
      <c r="L100" s="1036">
        <f>P94</f>
        <v>25.1</v>
      </c>
      <c r="M100" s="1036"/>
      <c r="R100" s="368"/>
      <c r="S100" s="368"/>
      <c r="T100" s="368"/>
      <c r="U100" s="368"/>
      <c r="V100" s="368"/>
      <c r="W100" s="368"/>
      <c r="X100" s="368"/>
      <c r="Y100" s="368"/>
      <c r="Z100" s="368"/>
      <c r="AA100" s="368"/>
      <c r="AB100" s="368"/>
      <c r="AC100" s="368"/>
      <c r="AD100" s="368"/>
      <c r="AE100" s="368"/>
      <c r="AF100" s="368"/>
      <c r="AG100" s="368"/>
      <c r="AH100" s="368"/>
      <c r="AI100" s="368"/>
      <c r="AJ100" s="368"/>
      <c r="AK100" s="368"/>
      <c r="AL100" s="368"/>
      <c r="AM100" s="368"/>
      <c r="AN100" s="368"/>
      <c r="AO100" s="368"/>
      <c r="AP100" s="368"/>
      <c r="AQ100" s="368"/>
      <c r="AR100" s="368"/>
      <c r="AS100" s="368"/>
      <c r="AT100" s="368"/>
      <c r="AU100" s="368"/>
      <c r="AV100" s="368"/>
      <c r="AW100" s="368"/>
      <c r="AX100" s="368"/>
      <c r="AY100" s="368"/>
      <c r="AZ100" s="368"/>
      <c r="BA100" s="368"/>
      <c r="BB100" s="368"/>
      <c r="BC100" s="368"/>
      <c r="BD100" s="368"/>
      <c r="BE100" s="368"/>
      <c r="BF100" s="368"/>
      <c r="BG100" s="368"/>
      <c r="BH100" s="368"/>
      <c r="BI100" s="368"/>
      <c r="BJ100" s="368"/>
      <c r="BK100" s="368"/>
      <c r="BL100" s="368"/>
      <c r="BM100" s="368"/>
      <c r="BN100" s="368"/>
      <c r="BO100" s="368"/>
      <c r="BP100" s="368"/>
      <c r="BQ100" s="368"/>
      <c r="BR100" s="368"/>
      <c r="BS100" s="368"/>
      <c r="BT100" s="368"/>
      <c r="BU100" s="368"/>
      <c r="BV100" s="368"/>
      <c r="BW100" s="368"/>
      <c r="BX100" s="368"/>
      <c r="BY100" s="368"/>
      <c r="BZ100" s="368"/>
      <c r="CA100" s="368"/>
      <c r="CB100" s="368"/>
      <c r="CC100" s="368"/>
      <c r="CD100" s="368"/>
      <c r="CE100" s="368"/>
      <c r="CF100" s="368"/>
      <c r="CG100" s="368"/>
      <c r="CH100" s="368"/>
      <c r="CI100" s="368"/>
      <c r="CJ100" s="368"/>
      <c r="CK100" s="368"/>
      <c r="CL100" s="368"/>
      <c r="CM100" s="368"/>
      <c r="CN100" s="368"/>
      <c r="CO100" s="368"/>
      <c r="CP100" s="368"/>
      <c r="CQ100" s="368"/>
      <c r="CR100" s="368"/>
      <c r="CS100" s="368"/>
      <c r="CT100" s="368"/>
      <c r="CU100" s="368"/>
      <c r="CV100" s="368"/>
      <c r="CW100" s="368"/>
      <c r="CX100" s="368"/>
      <c r="CY100" s="368"/>
      <c r="CZ100" s="368"/>
      <c r="DA100" s="368"/>
      <c r="DB100" s="368"/>
      <c r="DC100" s="368"/>
      <c r="DD100" s="368"/>
      <c r="DE100" s="368"/>
      <c r="DF100" s="368"/>
      <c r="DG100" s="368"/>
      <c r="DH100" s="368"/>
      <c r="DI100" s="368"/>
      <c r="DJ100" s="368"/>
      <c r="DK100" s="368"/>
      <c r="DL100" s="368"/>
      <c r="DM100" s="368"/>
      <c r="DN100" s="368"/>
      <c r="DO100" s="368"/>
      <c r="DP100" s="368"/>
      <c r="DQ100" s="368"/>
      <c r="DR100" s="368"/>
      <c r="DS100" s="368"/>
      <c r="DT100" s="368"/>
      <c r="DU100" s="368"/>
      <c r="DV100" s="368"/>
      <c r="DW100" s="368"/>
      <c r="DX100" s="368"/>
      <c r="DY100" s="368"/>
      <c r="DZ100" s="368"/>
      <c r="EA100" s="368"/>
      <c r="EB100" s="368"/>
      <c r="EC100" s="368"/>
      <c r="ED100" s="368"/>
      <c r="EE100" s="368"/>
      <c r="EF100" s="368"/>
      <c r="EG100" s="368"/>
      <c r="EH100" s="368"/>
      <c r="EI100" s="368"/>
      <c r="EJ100" s="368"/>
      <c r="EK100" s="368"/>
      <c r="EL100" s="368"/>
      <c r="EM100" s="368"/>
      <c r="EN100" s="368"/>
      <c r="EO100" s="368"/>
      <c r="EP100" s="368"/>
      <c r="EQ100" s="368"/>
      <c r="ER100" s="368"/>
      <c r="ES100" s="368"/>
      <c r="ET100" s="368"/>
      <c r="EU100" s="368"/>
      <c r="EV100" s="368"/>
      <c r="EW100" s="368"/>
      <c r="EX100" s="368"/>
      <c r="EY100" s="368"/>
      <c r="EZ100" s="368"/>
      <c r="FA100" s="368"/>
      <c r="FB100" s="368"/>
      <c r="FC100" s="368"/>
      <c r="FD100" s="368"/>
      <c r="FE100" s="368"/>
      <c r="FF100" s="368"/>
      <c r="FG100" s="368"/>
      <c r="FH100" s="368"/>
      <c r="FI100" s="368"/>
      <c r="FJ100" s="368"/>
      <c r="FK100" s="368"/>
      <c r="FL100" s="368"/>
      <c r="FM100" s="368"/>
      <c r="FN100" s="368"/>
      <c r="FO100" s="368"/>
      <c r="FP100" s="368"/>
      <c r="FQ100" s="368"/>
      <c r="FR100" s="368"/>
      <c r="FS100" s="368"/>
      <c r="FT100" s="368"/>
      <c r="FU100" s="368"/>
      <c r="FV100" s="368"/>
      <c r="FW100" s="368"/>
      <c r="FX100" s="368"/>
      <c r="FY100" s="368"/>
      <c r="FZ100" s="368"/>
      <c r="GA100" s="368"/>
      <c r="GB100" s="368"/>
      <c r="GC100" s="368"/>
      <c r="GD100" s="368"/>
      <c r="GE100" s="368"/>
      <c r="GF100" s="368"/>
      <c r="GG100" s="368"/>
      <c r="GH100" s="368"/>
      <c r="GI100" s="368"/>
      <c r="GJ100" s="368"/>
      <c r="GK100" s="368"/>
      <c r="GL100" s="368"/>
      <c r="GM100" s="368"/>
      <c r="GN100" s="368"/>
      <c r="GO100" s="368"/>
      <c r="GP100" s="368"/>
      <c r="GQ100" s="368"/>
      <c r="GR100" s="368"/>
      <c r="GS100" s="368"/>
      <c r="GT100" s="368"/>
      <c r="GU100" s="368"/>
      <c r="GV100" s="368"/>
      <c r="GW100" s="368"/>
      <c r="GX100" s="368"/>
      <c r="GY100" s="368"/>
      <c r="GZ100" s="368"/>
      <c r="HA100" s="368"/>
      <c r="HB100" s="368"/>
      <c r="HC100" s="368"/>
      <c r="HD100" s="368"/>
      <c r="HE100" s="368"/>
      <c r="HF100" s="368"/>
      <c r="HG100" s="368"/>
      <c r="HH100" s="368"/>
      <c r="HI100" s="368"/>
      <c r="HJ100" s="368"/>
      <c r="HK100" s="368"/>
      <c r="HL100" s="368"/>
      <c r="HM100" s="368"/>
      <c r="HN100" s="368"/>
      <c r="HO100" s="368"/>
      <c r="HP100" s="368"/>
      <c r="HQ100" s="368"/>
      <c r="HR100" s="368"/>
      <c r="HS100" s="368"/>
      <c r="HT100" s="368"/>
      <c r="HU100" s="368"/>
      <c r="HV100" s="368"/>
      <c r="HW100" s="368"/>
      <c r="HX100" s="368"/>
      <c r="HY100" s="368"/>
      <c r="HZ100" s="368"/>
      <c r="IA100" s="368"/>
      <c r="IB100" s="368"/>
      <c r="IC100" s="368"/>
      <c r="ID100" s="368"/>
      <c r="IE100" s="368"/>
      <c r="IF100" s="368"/>
      <c r="IG100" s="368"/>
      <c r="IH100" s="368"/>
      <c r="II100" s="368"/>
      <c r="IJ100" s="368"/>
      <c r="IK100" s="368"/>
      <c r="IL100" s="368"/>
      <c r="IM100" s="368"/>
      <c r="IN100" s="368"/>
      <c r="IO100" s="368"/>
      <c r="IP100" s="368"/>
      <c r="IQ100" s="368"/>
      <c r="IR100" s="368"/>
      <c r="IS100" s="368"/>
      <c r="IT100" s="368"/>
      <c r="IU100" s="368"/>
    </row>
    <row r="101" spans="2:255" ht="20.149999999999999" customHeight="1">
      <c r="B101" s="64">
        <v>7</v>
      </c>
      <c r="C101" s="46"/>
      <c r="D101" s="1033" t="s">
        <v>242</v>
      </c>
      <c r="E101" s="1033"/>
      <c r="F101" s="1033"/>
      <c r="G101" s="1033"/>
      <c r="H101" s="1033"/>
      <c r="I101" s="1033"/>
      <c r="J101" s="1033"/>
      <c r="K101" s="1033"/>
      <c r="L101" s="1035">
        <f ca="1">L99/2</f>
        <v>1.9999999999999574E-2</v>
      </c>
      <c r="M101" s="1035"/>
      <c r="R101" s="368"/>
      <c r="S101" s="368"/>
      <c r="T101" s="368"/>
      <c r="U101" s="368"/>
      <c r="V101" s="368"/>
      <c r="W101" s="368"/>
      <c r="X101" s="368"/>
      <c r="Y101" s="368"/>
      <c r="Z101" s="368"/>
      <c r="AA101" s="368"/>
      <c r="AB101" s="368"/>
      <c r="AC101" s="368"/>
      <c r="AD101" s="368"/>
      <c r="AE101" s="368"/>
      <c r="AF101" s="368"/>
      <c r="AG101" s="368"/>
      <c r="AH101" s="368"/>
      <c r="AI101" s="368"/>
      <c r="AJ101" s="368"/>
      <c r="AK101" s="368"/>
      <c r="AL101" s="368"/>
      <c r="AM101" s="368"/>
      <c r="AN101" s="368"/>
      <c r="AO101" s="368"/>
      <c r="AP101" s="368"/>
      <c r="AQ101" s="368"/>
      <c r="AR101" s="368"/>
      <c r="AS101" s="368"/>
      <c r="AT101" s="368"/>
      <c r="AU101" s="368"/>
      <c r="AV101" s="368"/>
      <c r="AW101" s="368"/>
      <c r="AX101" s="368"/>
      <c r="AY101" s="368"/>
      <c r="AZ101" s="368"/>
      <c r="BA101" s="368"/>
      <c r="BB101" s="368"/>
      <c r="BC101" s="368"/>
      <c r="BD101" s="368"/>
      <c r="BE101" s="368"/>
      <c r="BF101" s="368"/>
      <c r="BG101" s="368"/>
      <c r="BH101" s="368"/>
      <c r="BI101" s="368"/>
      <c r="BJ101" s="368"/>
      <c r="BK101" s="368"/>
      <c r="BL101" s="368"/>
      <c r="BM101" s="368"/>
      <c r="BN101" s="368"/>
      <c r="BO101" s="368"/>
      <c r="BP101" s="368"/>
      <c r="BQ101" s="368"/>
      <c r="BR101" s="368"/>
      <c r="BS101" s="368"/>
      <c r="BT101" s="368"/>
      <c r="BU101" s="368"/>
      <c r="BV101" s="368"/>
      <c r="BW101" s="368"/>
      <c r="BX101" s="368"/>
      <c r="BY101" s="368"/>
      <c r="BZ101" s="368"/>
      <c r="CA101" s="368"/>
      <c r="CB101" s="368"/>
      <c r="CC101" s="368"/>
      <c r="CD101" s="368"/>
      <c r="CE101" s="368"/>
      <c r="CF101" s="368"/>
      <c r="CG101" s="368"/>
      <c r="CH101" s="368"/>
      <c r="CI101" s="368"/>
      <c r="CJ101" s="368"/>
      <c r="CK101" s="368"/>
      <c r="CL101" s="368"/>
      <c r="CM101" s="368"/>
      <c r="CN101" s="368"/>
      <c r="CO101" s="368"/>
      <c r="CP101" s="368"/>
      <c r="CQ101" s="368"/>
      <c r="CR101" s="368"/>
      <c r="CS101" s="368"/>
      <c r="CT101" s="368"/>
      <c r="CU101" s="368"/>
      <c r="CV101" s="368"/>
      <c r="CW101" s="368"/>
      <c r="CX101" s="368"/>
      <c r="CY101" s="368"/>
      <c r="CZ101" s="368"/>
      <c r="DA101" s="368"/>
      <c r="DB101" s="368"/>
      <c r="DC101" s="368"/>
      <c r="DD101" s="368"/>
      <c r="DE101" s="368"/>
      <c r="DF101" s="368"/>
      <c r="DG101" s="368"/>
      <c r="DH101" s="368"/>
      <c r="DI101" s="368"/>
      <c r="DJ101" s="368"/>
      <c r="DK101" s="368"/>
      <c r="DL101" s="368"/>
      <c r="DM101" s="368"/>
      <c r="DN101" s="368"/>
      <c r="DO101" s="368"/>
      <c r="DP101" s="368"/>
      <c r="DQ101" s="368"/>
      <c r="DR101" s="368"/>
      <c r="DS101" s="368"/>
      <c r="DT101" s="368"/>
      <c r="DU101" s="368"/>
      <c r="DV101" s="368"/>
      <c r="DW101" s="368"/>
      <c r="DX101" s="368"/>
      <c r="DY101" s="368"/>
      <c r="DZ101" s="368"/>
      <c r="EA101" s="368"/>
      <c r="EB101" s="368"/>
      <c r="EC101" s="368"/>
      <c r="ED101" s="368"/>
      <c r="EE101" s="368"/>
      <c r="EF101" s="368"/>
      <c r="EG101" s="368"/>
      <c r="EH101" s="368"/>
      <c r="EI101" s="368"/>
      <c r="EJ101" s="368"/>
      <c r="EK101" s="368"/>
      <c r="EL101" s="368"/>
      <c r="EM101" s="368"/>
      <c r="EN101" s="368"/>
      <c r="EO101" s="368"/>
      <c r="EP101" s="368"/>
      <c r="EQ101" s="368"/>
      <c r="ER101" s="368"/>
      <c r="ES101" s="368"/>
      <c r="ET101" s="368"/>
      <c r="EU101" s="368"/>
      <c r="EV101" s="368"/>
      <c r="EW101" s="368"/>
      <c r="EX101" s="368"/>
      <c r="EY101" s="368"/>
      <c r="EZ101" s="368"/>
      <c r="FA101" s="368"/>
      <c r="FB101" s="368"/>
      <c r="FC101" s="368"/>
      <c r="FD101" s="368"/>
      <c r="FE101" s="368"/>
      <c r="FF101" s="368"/>
      <c r="FG101" s="368"/>
      <c r="FH101" s="368"/>
      <c r="FI101" s="368"/>
      <c r="FJ101" s="368"/>
      <c r="FK101" s="368"/>
      <c r="FL101" s="368"/>
      <c r="FM101" s="368"/>
      <c r="FN101" s="368"/>
      <c r="FO101" s="368"/>
      <c r="FP101" s="368"/>
      <c r="FQ101" s="368"/>
      <c r="FR101" s="368"/>
      <c r="FS101" s="368"/>
      <c r="FT101" s="368"/>
      <c r="FU101" s="368"/>
      <c r="FV101" s="368"/>
      <c r="FW101" s="368"/>
      <c r="FX101" s="368"/>
      <c r="FY101" s="368"/>
      <c r="FZ101" s="368"/>
      <c r="GA101" s="368"/>
      <c r="GB101" s="368"/>
      <c r="GC101" s="368"/>
      <c r="GD101" s="368"/>
      <c r="GE101" s="368"/>
      <c r="GF101" s="368"/>
      <c r="GG101" s="368"/>
      <c r="GH101" s="368"/>
      <c r="GI101" s="368"/>
      <c r="GJ101" s="368"/>
      <c r="GK101" s="368"/>
      <c r="GL101" s="368"/>
      <c r="GM101" s="368"/>
      <c r="GN101" s="368"/>
      <c r="GO101" s="368"/>
      <c r="GP101" s="368"/>
      <c r="GQ101" s="368"/>
      <c r="GR101" s="368"/>
      <c r="GS101" s="368"/>
      <c r="GT101" s="368"/>
      <c r="GU101" s="368"/>
      <c r="GV101" s="368"/>
      <c r="GW101" s="368"/>
      <c r="GX101" s="368"/>
      <c r="GY101" s="368"/>
      <c r="GZ101" s="368"/>
      <c r="HA101" s="368"/>
      <c r="HB101" s="368"/>
      <c r="HC101" s="368"/>
      <c r="HD101" s="368"/>
      <c r="HE101" s="368"/>
      <c r="HF101" s="368"/>
      <c r="HG101" s="368"/>
      <c r="HH101" s="368"/>
      <c r="HI101" s="368"/>
      <c r="HJ101" s="368"/>
      <c r="HK101" s="368"/>
      <c r="HL101" s="368"/>
      <c r="HM101" s="368"/>
      <c r="HN101" s="368"/>
      <c r="HO101" s="368"/>
      <c r="HP101" s="368"/>
      <c r="HQ101" s="368"/>
      <c r="HR101" s="368"/>
      <c r="HS101" s="368"/>
      <c r="HT101" s="368"/>
      <c r="HU101" s="368"/>
      <c r="HV101" s="368"/>
      <c r="HW101" s="368"/>
      <c r="HX101" s="368"/>
      <c r="HY101" s="368"/>
      <c r="HZ101" s="368"/>
      <c r="IA101" s="368"/>
      <c r="IB101" s="368"/>
      <c r="IC101" s="368"/>
      <c r="ID101" s="368"/>
      <c r="IE101" s="368"/>
      <c r="IF101" s="368"/>
      <c r="IG101" s="368"/>
      <c r="IH101" s="368"/>
      <c r="II101" s="368"/>
      <c r="IJ101" s="368"/>
      <c r="IK101" s="368"/>
      <c r="IL101" s="368"/>
      <c r="IM101" s="368"/>
      <c r="IN101" s="368"/>
      <c r="IO101" s="368"/>
      <c r="IP101" s="368"/>
      <c r="IQ101" s="368"/>
      <c r="IR101" s="368"/>
      <c r="IS101" s="368"/>
      <c r="IT101" s="368"/>
      <c r="IU101" s="368"/>
    </row>
    <row r="102" spans="2:255" ht="20.149999999999999" customHeight="1">
      <c r="B102" s="64">
        <v>8</v>
      </c>
      <c r="C102" s="46"/>
      <c r="D102" s="982" t="s">
        <v>243</v>
      </c>
      <c r="E102" s="982"/>
      <c r="F102" s="982"/>
      <c r="G102" s="982"/>
      <c r="H102" s="982"/>
      <c r="I102" s="982"/>
      <c r="J102" s="982"/>
      <c r="K102" s="982"/>
      <c r="L102" s="1034">
        <f ca="1">B85-L96</f>
        <v>-0.18999999999999773</v>
      </c>
      <c r="M102" s="1025"/>
      <c r="R102" s="368"/>
      <c r="S102" s="368"/>
      <c r="T102" s="368"/>
      <c r="U102" s="368"/>
      <c r="V102" s="368"/>
      <c r="W102" s="368"/>
      <c r="X102" s="368"/>
      <c r="Y102" s="368"/>
      <c r="Z102" s="368"/>
      <c r="AA102" s="368"/>
      <c r="AB102" s="368"/>
      <c r="AC102" s="368"/>
      <c r="AD102" s="368"/>
      <c r="AE102" s="368"/>
      <c r="AF102" s="368"/>
      <c r="AG102" s="368"/>
      <c r="AH102" s="368"/>
      <c r="AI102" s="368"/>
      <c r="AJ102" s="368"/>
      <c r="AK102" s="368"/>
      <c r="AL102" s="368"/>
      <c r="AM102" s="368"/>
      <c r="AN102" s="368"/>
      <c r="AO102" s="368"/>
      <c r="AP102" s="368"/>
      <c r="AQ102" s="368"/>
      <c r="AR102" s="368"/>
      <c r="AS102" s="368"/>
      <c r="AT102" s="368"/>
      <c r="AU102" s="368"/>
      <c r="AV102" s="368"/>
      <c r="AW102" s="368"/>
      <c r="AX102" s="368"/>
      <c r="AY102" s="368"/>
      <c r="AZ102" s="368"/>
      <c r="BA102" s="368"/>
      <c r="BB102" s="368"/>
      <c r="BC102" s="368"/>
      <c r="BD102" s="368"/>
      <c r="BE102" s="368"/>
      <c r="BF102" s="368"/>
      <c r="BG102" s="368"/>
      <c r="BH102" s="368"/>
      <c r="BI102" s="368"/>
      <c r="BJ102" s="368"/>
      <c r="BK102" s="368"/>
      <c r="BL102" s="368"/>
      <c r="BM102" s="368"/>
      <c r="BN102" s="368"/>
      <c r="BO102" s="368"/>
      <c r="BP102" s="368"/>
      <c r="BQ102" s="368"/>
      <c r="BR102" s="368"/>
      <c r="BS102" s="368"/>
      <c r="BT102" s="368"/>
      <c r="BU102" s="368"/>
      <c r="BV102" s="368"/>
      <c r="BW102" s="368"/>
      <c r="BX102" s="368"/>
      <c r="BY102" s="368"/>
      <c r="BZ102" s="368"/>
      <c r="CA102" s="368"/>
      <c r="CB102" s="368"/>
      <c r="CC102" s="368"/>
      <c r="CD102" s="368"/>
      <c r="CE102" s="368"/>
      <c r="CF102" s="368"/>
      <c r="CG102" s="368"/>
      <c r="CH102" s="368"/>
      <c r="CI102" s="368"/>
      <c r="CJ102" s="368"/>
      <c r="CK102" s="368"/>
      <c r="CL102" s="368"/>
      <c r="CM102" s="368"/>
      <c r="CN102" s="368"/>
      <c r="CO102" s="368"/>
      <c r="CP102" s="368"/>
      <c r="CQ102" s="368"/>
      <c r="CR102" s="368"/>
      <c r="CS102" s="368"/>
      <c r="CT102" s="368"/>
      <c r="CU102" s="368"/>
      <c r="CV102" s="368"/>
      <c r="CW102" s="368"/>
      <c r="CX102" s="368"/>
      <c r="CY102" s="368"/>
      <c r="CZ102" s="368"/>
      <c r="DA102" s="368"/>
      <c r="DB102" s="368"/>
      <c r="DC102" s="368"/>
      <c r="DD102" s="368"/>
      <c r="DE102" s="368"/>
      <c r="DF102" s="368"/>
      <c r="DG102" s="368"/>
      <c r="DH102" s="368"/>
      <c r="DI102" s="368"/>
      <c r="DJ102" s="368"/>
      <c r="DK102" s="368"/>
      <c r="DL102" s="368"/>
      <c r="DM102" s="368"/>
      <c r="DN102" s="368"/>
      <c r="DO102" s="368"/>
      <c r="DP102" s="368"/>
      <c r="DQ102" s="368"/>
      <c r="DR102" s="368"/>
      <c r="DS102" s="368"/>
      <c r="DT102" s="368"/>
      <c r="DU102" s="368"/>
      <c r="DV102" s="368"/>
      <c r="DW102" s="368"/>
      <c r="DX102" s="368"/>
      <c r="DY102" s="368"/>
      <c r="DZ102" s="368"/>
      <c r="EA102" s="368"/>
      <c r="EB102" s="368"/>
      <c r="EC102" s="368"/>
      <c r="ED102" s="368"/>
      <c r="EE102" s="368"/>
      <c r="EF102" s="368"/>
      <c r="EG102" s="368"/>
      <c r="EH102" s="368"/>
      <c r="EI102" s="368"/>
      <c r="EJ102" s="368"/>
      <c r="EK102" s="368"/>
      <c r="EL102" s="368"/>
      <c r="EM102" s="368"/>
      <c r="EN102" s="368"/>
      <c r="EO102" s="368"/>
      <c r="EP102" s="368"/>
      <c r="EQ102" s="368"/>
      <c r="ER102" s="368"/>
      <c r="ES102" s="368"/>
      <c r="ET102" s="368"/>
      <c r="EU102" s="368"/>
      <c r="EV102" s="368"/>
      <c r="EW102" s="368"/>
      <c r="EX102" s="368"/>
      <c r="EY102" s="368"/>
      <c r="EZ102" s="368"/>
      <c r="FA102" s="368"/>
      <c r="FB102" s="368"/>
      <c r="FC102" s="368"/>
      <c r="FD102" s="368"/>
      <c r="FE102" s="368"/>
      <c r="FF102" s="368"/>
      <c r="FG102" s="368"/>
      <c r="FH102" s="368"/>
      <c r="FI102" s="368"/>
      <c r="FJ102" s="368"/>
      <c r="FK102" s="368"/>
      <c r="FL102" s="368"/>
      <c r="FM102" s="368"/>
      <c r="FN102" s="368"/>
      <c r="FO102" s="368"/>
      <c r="FP102" s="368"/>
      <c r="FQ102" s="368"/>
      <c r="FR102" s="368"/>
      <c r="FS102" s="368"/>
      <c r="FT102" s="368"/>
      <c r="FU102" s="368"/>
      <c r="FV102" s="368"/>
      <c r="FW102" s="368"/>
      <c r="FX102" s="368"/>
      <c r="FY102" s="368"/>
      <c r="FZ102" s="368"/>
      <c r="GA102" s="368"/>
      <c r="GB102" s="368"/>
      <c r="GC102" s="368"/>
      <c r="GD102" s="368"/>
      <c r="GE102" s="368"/>
      <c r="GF102" s="368"/>
      <c r="GG102" s="368"/>
      <c r="GH102" s="368"/>
      <c r="GI102" s="368"/>
      <c r="GJ102" s="368"/>
      <c r="GK102" s="368"/>
      <c r="GL102" s="368"/>
      <c r="GM102" s="368"/>
      <c r="GN102" s="368"/>
      <c r="GO102" s="368"/>
      <c r="GP102" s="368"/>
      <c r="GQ102" s="368"/>
      <c r="GR102" s="368"/>
      <c r="GS102" s="368"/>
      <c r="GT102" s="368"/>
      <c r="GU102" s="368"/>
      <c r="GV102" s="368"/>
      <c r="GW102" s="368"/>
      <c r="GX102" s="368"/>
      <c r="GY102" s="368"/>
      <c r="GZ102" s="368"/>
      <c r="HA102" s="368"/>
      <c r="HB102" s="368"/>
      <c r="HC102" s="368"/>
      <c r="HD102" s="368"/>
      <c r="HE102" s="368"/>
      <c r="HF102" s="368"/>
      <c r="HG102" s="368"/>
      <c r="HH102" s="368"/>
      <c r="HI102" s="368"/>
      <c r="HJ102" s="368"/>
      <c r="HK102" s="368"/>
      <c r="HL102" s="368"/>
      <c r="HM102" s="368"/>
      <c r="HN102" s="368"/>
      <c r="HO102" s="368"/>
      <c r="HP102" s="368"/>
      <c r="HQ102" s="368"/>
      <c r="HR102" s="368"/>
      <c r="HS102" s="368"/>
      <c r="HT102" s="368"/>
      <c r="HU102" s="368"/>
      <c r="HV102" s="368"/>
      <c r="HW102" s="368"/>
      <c r="HX102" s="368"/>
      <c r="HY102" s="368"/>
      <c r="HZ102" s="368"/>
      <c r="IA102" s="368"/>
      <c r="IB102" s="368"/>
      <c r="IC102" s="368"/>
      <c r="ID102" s="368"/>
      <c r="IE102" s="368"/>
      <c r="IF102" s="368"/>
      <c r="IG102" s="368"/>
      <c r="IH102" s="368"/>
      <c r="II102" s="368"/>
      <c r="IJ102" s="368"/>
      <c r="IK102" s="368"/>
      <c r="IL102" s="368"/>
      <c r="IM102" s="368"/>
      <c r="IN102" s="368"/>
      <c r="IO102" s="368"/>
      <c r="IP102" s="368"/>
      <c r="IQ102" s="368"/>
      <c r="IR102" s="368"/>
      <c r="IS102" s="368"/>
      <c r="IT102" s="368"/>
      <c r="IU102" s="368"/>
    </row>
    <row r="103" spans="2:255" ht="20.149999999999999" customHeight="1">
      <c r="R103" s="368"/>
      <c r="S103" s="368"/>
      <c r="T103" s="368"/>
      <c r="U103" s="368"/>
      <c r="V103" s="368"/>
      <c r="W103" s="368"/>
      <c r="X103" s="368"/>
      <c r="Y103" s="368"/>
      <c r="Z103" s="368"/>
      <c r="AA103" s="368"/>
      <c r="AB103" s="368"/>
      <c r="AC103" s="368"/>
      <c r="AD103" s="368"/>
      <c r="AE103" s="368"/>
      <c r="AF103" s="368"/>
      <c r="AG103" s="368"/>
      <c r="AH103" s="368"/>
      <c r="AI103" s="368"/>
      <c r="AJ103" s="368"/>
      <c r="AK103" s="368"/>
      <c r="AL103" s="368"/>
      <c r="AM103" s="368"/>
      <c r="AN103" s="368"/>
      <c r="AO103" s="368"/>
      <c r="AP103" s="368"/>
      <c r="AQ103" s="368"/>
      <c r="AR103" s="368"/>
      <c r="AS103" s="368"/>
      <c r="AT103" s="368"/>
      <c r="AU103" s="368"/>
      <c r="AV103" s="368"/>
      <c r="AW103" s="368"/>
      <c r="AX103" s="368"/>
      <c r="AY103" s="368"/>
      <c r="AZ103" s="368"/>
      <c r="BA103" s="368"/>
      <c r="BB103" s="368"/>
      <c r="BC103" s="368"/>
      <c r="BD103" s="368"/>
      <c r="BE103" s="368"/>
      <c r="BF103" s="368"/>
      <c r="BG103" s="368"/>
      <c r="BH103" s="368"/>
      <c r="BI103" s="368"/>
      <c r="BJ103" s="368"/>
      <c r="BK103" s="368"/>
      <c r="BL103" s="368"/>
      <c r="BM103" s="368"/>
      <c r="BN103" s="368"/>
      <c r="BO103" s="368"/>
      <c r="BP103" s="368"/>
      <c r="BQ103" s="368"/>
      <c r="BR103" s="368"/>
      <c r="BS103" s="368"/>
      <c r="BT103" s="368"/>
      <c r="BU103" s="368"/>
      <c r="BV103" s="368"/>
      <c r="BW103" s="368"/>
      <c r="BX103" s="368"/>
      <c r="BY103" s="368"/>
      <c r="BZ103" s="368"/>
      <c r="CA103" s="368"/>
      <c r="CB103" s="368"/>
      <c r="CC103" s="368"/>
      <c r="CD103" s="368"/>
      <c r="CE103" s="368"/>
      <c r="CF103" s="368"/>
      <c r="CG103" s="368"/>
      <c r="CH103" s="368"/>
      <c r="CI103" s="368"/>
      <c r="CJ103" s="368"/>
      <c r="CK103" s="368"/>
      <c r="CL103" s="368"/>
      <c r="CM103" s="368"/>
      <c r="CN103" s="368"/>
      <c r="CO103" s="368"/>
      <c r="CP103" s="368"/>
      <c r="CQ103" s="368"/>
      <c r="CR103" s="368"/>
      <c r="CS103" s="368"/>
      <c r="CT103" s="368"/>
      <c r="CU103" s="368"/>
      <c r="CV103" s="368"/>
      <c r="CW103" s="368"/>
      <c r="CX103" s="368"/>
      <c r="CY103" s="368"/>
      <c r="CZ103" s="368"/>
      <c r="DA103" s="368"/>
      <c r="DB103" s="368"/>
      <c r="DC103" s="368"/>
      <c r="DD103" s="368"/>
      <c r="DE103" s="368"/>
      <c r="DF103" s="368"/>
      <c r="DG103" s="368"/>
      <c r="DH103" s="368"/>
      <c r="DI103" s="368"/>
      <c r="DJ103" s="368"/>
      <c r="DK103" s="368"/>
      <c r="DL103" s="368"/>
      <c r="DM103" s="368"/>
      <c r="DN103" s="368"/>
      <c r="DO103" s="368"/>
      <c r="DP103" s="368"/>
      <c r="DQ103" s="368"/>
      <c r="DR103" s="368"/>
      <c r="DS103" s="368"/>
      <c r="DT103" s="368"/>
      <c r="DU103" s="368"/>
      <c r="DV103" s="368"/>
      <c r="DW103" s="368"/>
      <c r="DX103" s="368"/>
      <c r="DY103" s="368"/>
      <c r="DZ103" s="368"/>
      <c r="EA103" s="368"/>
      <c r="EB103" s="368"/>
      <c r="EC103" s="368"/>
      <c r="ED103" s="368"/>
      <c r="EE103" s="368"/>
      <c r="EF103" s="368"/>
      <c r="EG103" s="368"/>
      <c r="EH103" s="368"/>
      <c r="EI103" s="368"/>
      <c r="EJ103" s="368"/>
      <c r="EK103" s="368"/>
      <c r="EL103" s="368"/>
      <c r="EM103" s="368"/>
      <c r="EN103" s="368"/>
      <c r="EO103" s="368"/>
      <c r="EP103" s="368"/>
      <c r="EQ103" s="368"/>
      <c r="ER103" s="368"/>
      <c r="ES103" s="368"/>
      <c r="ET103" s="368"/>
      <c r="EU103" s="368"/>
      <c r="EV103" s="368"/>
      <c r="EW103" s="368"/>
      <c r="EX103" s="368"/>
      <c r="EY103" s="368"/>
      <c r="EZ103" s="368"/>
      <c r="FA103" s="368"/>
      <c r="FB103" s="368"/>
      <c r="FC103" s="368"/>
      <c r="FD103" s="368"/>
      <c r="FE103" s="368"/>
      <c r="FF103" s="368"/>
      <c r="FG103" s="368"/>
      <c r="FH103" s="368"/>
      <c r="FI103" s="368"/>
      <c r="FJ103" s="368"/>
      <c r="FK103" s="368"/>
      <c r="FL103" s="368"/>
      <c r="FM103" s="368"/>
      <c r="FN103" s="368"/>
      <c r="FO103" s="368"/>
      <c r="FP103" s="368"/>
      <c r="FQ103" s="368"/>
      <c r="FR103" s="368"/>
      <c r="FS103" s="368"/>
      <c r="FT103" s="368"/>
      <c r="FU103" s="368"/>
      <c r="FV103" s="368"/>
      <c r="FW103" s="368"/>
      <c r="FX103" s="368"/>
      <c r="FY103" s="368"/>
      <c r="FZ103" s="368"/>
      <c r="GA103" s="368"/>
      <c r="GB103" s="368"/>
      <c r="GC103" s="368"/>
      <c r="GD103" s="368"/>
      <c r="GE103" s="368"/>
      <c r="GF103" s="368"/>
      <c r="GG103" s="368"/>
      <c r="GH103" s="368"/>
      <c r="GI103" s="368"/>
      <c r="GJ103" s="368"/>
      <c r="GK103" s="368"/>
      <c r="GL103" s="368"/>
      <c r="GM103" s="368"/>
      <c r="GN103" s="368"/>
      <c r="GO103" s="368"/>
      <c r="GP103" s="368"/>
      <c r="GQ103" s="368"/>
      <c r="GR103" s="368"/>
      <c r="GS103" s="368"/>
      <c r="GT103" s="368"/>
      <c r="GU103" s="368"/>
      <c r="GV103" s="368"/>
      <c r="GW103" s="368"/>
      <c r="GX103" s="368"/>
      <c r="GY103" s="368"/>
      <c r="GZ103" s="368"/>
      <c r="HA103" s="368"/>
      <c r="HB103" s="368"/>
      <c r="HC103" s="368"/>
      <c r="HD103" s="368"/>
      <c r="HE103" s="368"/>
      <c r="HF103" s="368"/>
      <c r="HG103" s="368"/>
      <c r="HH103" s="368"/>
      <c r="HI103" s="368"/>
      <c r="HJ103" s="368"/>
      <c r="HK103" s="368"/>
      <c r="HL103" s="368"/>
      <c r="HM103" s="368"/>
      <c r="HN103" s="368"/>
      <c r="HO103" s="368"/>
      <c r="HP103" s="368"/>
      <c r="HQ103" s="368"/>
      <c r="HR103" s="368"/>
      <c r="HS103" s="368"/>
      <c r="HT103" s="368"/>
      <c r="HU103" s="368"/>
      <c r="HV103" s="368"/>
      <c r="HW103" s="368"/>
      <c r="HX103" s="368"/>
      <c r="HY103" s="368"/>
      <c r="HZ103" s="368"/>
      <c r="IA103" s="368"/>
      <c r="IB103" s="368"/>
      <c r="IC103" s="368"/>
      <c r="ID103" s="368"/>
      <c r="IE103" s="368"/>
      <c r="IF103" s="368"/>
      <c r="IG103" s="368"/>
      <c r="IH103" s="368"/>
      <c r="II103" s="368"/>
      <c r="IJ103" s="368"/>
      <c r="IK103" s="368"/>
      <c r="IL103" s="368"/>
      <c r="IM103" s="368"/>
      <c r="IN103" s="368"/>
      <c r="IO103" s="368"/>
      <c r="IP103" s="368"/>
      <c r="IQ103" s="368"/>
      <c r="IR103" s="368"/>
      <c r="IS103" s="368"/>
      <c r="IT103" s="368"/>
      <c r="IU103" s="368"/>
    </row>
    <row r="104" spans="2:255" ht="20.149999999999999" customHeight="1">
      <c r="B104" s="32" t="s">
        <v>244</v>
      </c>
      <c r="F104" s="23"/>
      <c r="G104" s="23"/>
      <c r="H104" s="23"/>
      <c r="N104" s="1021"/>
      <c r="O104" s="1021"/>
      <c r="P104" s="1021"/>
      <c r="R104" s="368"/>
      <c r="S104" s="368"/>
      <c r="T104" s="368"/>
      <c r="U104" s="368"/>
      <c r="V104" s="368"/>
      <c r="W104" s="368"/>
      <c r="X104" s="368"/>
      <c r="Y104" s="368"/>
      <c r="Z104" s="368"/>
      <c r="AA104" s="368"/>
      <c r="AB104" s="368"/>
      <c r="AC104" s="368"/>
      <c r="AD104" s="368"/>
      <c r="AE104" s="368"/>
      <c r="AF104" s="368"/>
      <c r="AG104" s="368"/>
      <c r="AH104" s="368"/>
      <c r="AI104" s="368"/>
      <c r="AJ104" s="368"/>
      <c r="AK104" s="368"/>
      <c r="AL104" s="368"/>
      <c r="AM104" s="368"/>
      <c r="AN104" s="368"/>
      <c r="AO104" s="368"/>
      <c r="AP104" s="368"/>
      <c r="AQ104" s="368"/>
      <c r="AR104" s="368"/>
      <c r="AS104" s="368"/>
      <c r="AT104" s="368"/>
      <c r="AU104" s="368"/>
      <c r="AV104" s="368"/>
      <c r="AW104" s="368"/>
      <c r="AX104" s="368"/>
      <c r="AY104" s="368"/>
      <c r="AZ104" s="368"/>
      <c r="BA104" s="368"/>
      <c r="BB104" s="368"/>
      <c r="BC104" s="368"/>
      <c r="BD104" s="368"/>
      <c r="BE104" s="368"/>
      <c r="BF104" s="368"/>
      <c r="BG104" s="368"/>
      <c r="BH104" s="368"/>
      <c r="BI104" s="368"/>
      <c r="BJ104" s="368"/>
      <c r="BK104" s="368"/>
      <c r="BL104" s="368"/>
      <c r="BM104" s="368"/>
      <c r="BN104" s="368"/>
      <c r="BO104" s="368"/>
      <c r="BP104" s="368"/>
      <c r="BQ104" s="368"/>
      <c r="BR104" s="368"/>
      <c r="BS104" s="368"/>
      <c r="BT104" s="368"/>
      <c r="BU104" s="368"/>
      <c r="BV104" s="368"/>
      <c r="BW104" s="368"/>
      <c r="BX104" s="368"/>
      <c r="BY104" s="368"/>
      <c r="BZ104" s="368"/>
      <c r="CA104" s="368"/>
      <c r="CB104" s="368"/>
      <c r="CC104" s="368"/>
      <c r="CD104" s="368"/>
      <c r="CE104" s="368"/>
      <c r="CF104" s="368"/>
      <c r="CG104" s="368"/>
      <c r="CH104" s="368"/>
      <c r="CI104" s="368"/>
      <c r="CJ104" s="368"/>
      <c r="CK104" s="368"/>
      <c r="CL104" s="368"/>
      <c r="CM104" s="368"/>
      <c r="CN104" s="368"/>
      <c r="CO104" s="368"/>
      <c r="CP104" s="368"/>
      <c r="CQ104" s="368"/>
      <c r="CR104" s="368"/>
      <c r="CS104" s="368"/>
      <c r="CT104" s="368"/>
      <c r="CU104" s="368"/>
      <c r="CV104" s="368"/>
      <c r="CW104" s="368"/>
      <c r="CX104" s="368"/>
      <c r="CY104" s="368"/>
      <c r="CZ104" s="368"/>
      <c r="DA104" s="368"/>
      <c r="DB104" s="368"/>
      <c r="DC104" s="368"/>
      <c r="DD104" s="368"/>
      <c r="DE104" s="368"/>
      <c r="DF104" s="368"/>
      <c r="DG104" s="368"/>
      <c r="DH104" s="368"/>
      <c r="DI104" s="368"/>
      <c r="DJ104" s="368"/>
      <c r="DK104" s="368"/>
      <c r="DL104" s="368"/>
      <c r="DM104" s="368"/>
      <c r="DN104" s="368"/>
      <c r="DO104" s="368"/>
      <c r="DP104" s="368"/>
      <c r="DQ104" s="368"/>
      <c r="DR104" s="368"/>
      <c r="DS104" s="368"/>
      <c r="DT104" s="368"/>
      <c r="DU104" s="368"/>
      <c r="DV104" s="368"/>
      <c r="DW104" s="368"/>
      <c r="DX104" s="368"/>
      <c r="DY104" s="368"/>
      <c r="DZ104" s="368"/>
      <c r="EA104" s="368"/>
      <c r="EB104" s="368"/>
      <c r="EC104" s="368"/>
      <c r="ED104" s="368"/>
      <c r="EE104" s="368"/>
      <c r="EF104" s="368"/>
      <c r="EG104" s="368"/>
      <c r="EH104" s="368"/>
      <c r="EI104" s="368"/>
      <c r="EJ104" s="368"/>
      <c r="EK104" s="368"/>
      <c r="EL104" s="368"/>
      <c r="EM104" s="368"/>
      <c r="EN104" s="368"/>
      <c r="EO104" s="368"/>
      <c r="EP104" s="368"/>
      <c r="EQ104" s="368"/>
      <c r="ER104" s="368"/>
      <c r="ES104" s="368"/>
      <c r="ET104" s="368"/>
      <c r="EU104" s="368"/>
      <c r="EV104" s="368"/>
      <c r="EW104" s="368"/>
      <c r="EX104" s="368"/>
      <c r="EY104" s="368"/>
      <c r="EZ104" s="368"/>
      <c r="FA104" s="368"/>
      <c r="FB104" s="368"/>
      <c r="FC104" s="368"/>
      <c r="FD104" s="368"/>
      <c r="FE104" s="368"/>
      <c r="FF104" s="368"/>
      <c r="FG104" s="368"/>
      <c r="FH104" s="368"/>
      <c r="FI104" s="368"/>
      <c r="FJ104" s="368"/>
      <c r="FK104" s="368"/>
      <c r="FL104" s="368"/>
      <c r="FM104" s="368"/>
      <c r="FN104" s="368"/>
      <c r="FO104" s="368"/>
      <c r="FP104" s="368"/>
      <c r="FQ104" s="368"/>
      <c r="FR104" s="368"/>
      <c r="FS104" s="368"/>
      <c r="FT104" s="368"/>
      <c r="FU104" s="368"/>
      <c r="FV104" s="368"/>
      <c r="FW104" s="368"/>
      <c r="FX104" s="368"/>
      <c r="FY104" s="368"/>
      <c r="FZ104" s="368"/>
      <c r="GA104" s="368"/>
      <c r="GB104" s="368"/>
      <c r="GC104" s="368"/>
      <c r="GD104" s="368"/>
      <c r="GE104" s="368"/>
      <c r="GF104" s="368"/>
      <c r="GG104" s="368"/>
      <c r="GH104" s="368"/>
      <c r="GI104" s="368"/>
      <c r="GJ104" s="368"/>
      <c r="GK104" s="368"/>
      <c r="GL104" s="368"/>
      <c r="GM104" s="368"/>
      <c r="GN104" s="368"/>
      <c r="GO104" s="368"/>
      <c r="GP104" s="368"/>
      <c r="GQ104" s="368"/>
      <c r="GR104" s="368"/>
      <c r="GS104" s="368"/>
      <c r="GT104" s="368"/>
      <c r="GU104" s="368"/>
      <c r="GV104" s="368"/>
      <c r="GW104" s="368"/>
      <c r="GX104" s="368"/>
      <c r="GY104" s="368"/>
      <c r="GZ104" s="368"/>
      <c r="HA104" s="368"/>
      <c r="HB104" s="368"/>
      <c r="HC104" s="368"/>
      <c r="HD104" s="368"/>
      <c r="HE104" s="368"/>
      <c r="HF104" s="368"/>
      <c r="HG104" s="368"/>
      <c r="HH104" s="368"/>
      <c r="HI104" s="368"/>
      <c r="HJ104" s="368"/>
      <c r="HK104" s="368"/>
      <c r="HL104" s="368"/>
      <c r="HM104" s="368"/>
      <c r="HN104" s="368"/>
      <c r="HO104" s="368"/>
      <c r="HP104" s="368"/>
      <c r="HQ104" s="368"/>
      <c r="HR104" s="368"/>
      <c r="HS104" s="368"/>
      <c r="HT104" s="368"/>
      <c r="HU104" s="368"/>
      <c r="HV104" s="368"/>
      <c r="HW104" s="368"/>
      <c r="HX104" s="368"/>
      <c r="HY104" s="368"/>
      <c r="HZ104" s="368"/>
      <c r="IA104" s="368"/>
      <c r="IB104" s="368"/>
      <c r="IC104" s="368"/>
      <c r="ID104" s="368"/>
      <c r="IE104" s="368"/>
      <c r="IF104" s="368"/>
      <c r="IG104" s="368"/>
      <c r="IH104" s="368"/>
      <c r="II104" s="368"/>
      <c r="IJ104" s="368"/>
      <c r="IK104" s="368"/>
      <c r="IL104" s="368"/>
      <c r="IM104" s="368"/>
      <c r="IN104" s="368"/>
      <c r="IO104" s="368"/>
      <c r="IP104" s="368"/>
      <c r="IQ104" s="368"/>
      <c r="IR104" s="368"/>
      <c r="IS104" s="368"/>
      <c r="IT104" s="368"/>
      <c r="IU104" s="368"/>
    </row>
    <row r="105" spans="2:255" ht="20.149999999999999" customHeight="1">
      <c r="B105" s="21" t="s">
        <v>87</v>
      </c>
      <c r="F105" s="23"/>
      <c r="G105" s="23"/>
      <c r="H105" s="23"/>
      <c r="N105" s="1021"/>
      <c r="O105" s="1021"/>
      <c r="P105" s="1021"/>
      <c r="R105" s="368"/>
      <c r="S105" s="368"/>
      <c r="T105" s="368"/>
      <c r="U105" s="368"/>
      <c r="V105" s="368"/>
      <c r="W105" s="368"/>
      <c r="X105" s="368"/>
      <c r="Y105" s="368"/>
      <c r="Z105" s="368"/>
      <c r="AA105" s="368"/>
      <c r="AB105" s="368"/>
      <c r="AC105" s="368"/>
      <c r="AD105" s="368"/>
      <c r="AE105" s="368"/>
      <c r="AF105" s="368"/>
      <c r="AG105" s="368"/>
      <c r="AH105" s="368"/>
      <c r="AI105" s="368"/>
      <c r="AJ105" s="368"/>
      <c r="AK105" s="368"/>
      <c r="AL105" s="368"/>
      <c r="AM105" s="368"/>
      <c r="AN105" s="368"/>
      <c r="AO105" s="368"/>
      <c r="AP105" s="368"/>
      <c r="AQ105" s="368"/>
      <c r="AR105" s="368"/>
      <c r="AS105" s="368"/>
      <c r="AT105" s="368"/>
      <c r="AU105" s="368"/>
      <c r="AV105" s="368"/>
      <c r="AW105" s="368"/>
      <c r="AX105" s="368"/>
      <c r="AY105" s="368"/>
      <c r="AZ105" s="368"/>
      <c r="BA105" s="368"/>
      <c r="BB105" s="368"/>
      <c r="BC105" s="368"/>
      <c r="BD105" s="368"/>
      <c r="BE105" s="368"/>
      <c r="BF105" s="368"/>
      <c r="BG105" s="368"/>
      <c r="BH105" s="368"/>
      <c r="BI105" s="368"/>
      <c r="BJ105" s="368"/>
      <c r="BK105" s="368"/>
      <c r="BL105" s="368"/>
      <c r="BM105" s="368"/>
      <c r="BN105" s="368"/>
      <c r="BO105" s="368"/>
      <c r="BP105" s="368"/>
      <c r="BQ105" s="368"/>
      <c r="BR105" s="368"/>
      <c r="BS105" s="368"/>
      <c r="BT105" s="368"/>
      <c r="BU105" s="368"/>
      <c r="BV105" s="368"/>
      <c r="BW105" s="368"/>
      <c r="BX105" s="368"/>
      <c r="BY105" s="368"/>
      <c r="BZ105" s="368"/>
      <c r="CA105" s="368"/>
      <c r="CB105" s="368"/>
      <c r="CC105" s="368"/>
      <c r="CD105" s="368"/>
      <c r="CE105" s="368"/>
      <c r="CF105" s="368"/>
      <c r="CG105" s="368"/>
      <c r="CH105" s="368"/>
      <c r="CI105" s="368"/>
      <c r="CJ105" s="368"/>
      <c r="CK105" s="368"/>
      <c r="CL105" s="368"/>
      <c r="CM105" s="368"/>
      <c r="CN105" s="368"/>
      <c r="CO105" s="368"/>
      <c r="CP105" s="368"/>
      <c r="CQ105" s="368"/>
      <c r="CR105" s="368"/>
      <c r="CS105" s="368"/>
      <c r="CT105" s="368"/>
      <c r="CU105" s="368"/>
      <c r="CV105" s="368"/>
      <c r="CW105" s="368"/>
      <c r="CX105" s="368"/>
      <c r="CY105" s="368"/>
      <c r="CZ105" s="368"/>
      <c r="DA105" s="368"/>
      <c r="DB105" s="368"/>
      <c r="DC105" s="368"/>
      <c r="DD105" s="368"/>
      <c r="DE105" s="368"/>
      <c r="DF105" s="368"/>
      <c r="DG105" s="368"/>
      <c r="DH105" s="368"/>
      <c r="DI105" s="368"/>
      <c r="DJ105" s="368"/>
      <c r="DK105" s="368"/>
      <c r="DL105" s="368"/>
      <c r="DM105" s="368"/>
      <c r="DN105" s="368"/>
      <c r="DO105" s="368"/>
      <c r="DP105" s="368"/>
      <c r="DQ105" s="368"/>
      <c r="DR105" s="368"/>
      <c r="DS105" s="368"/>
      <c r="DT105" s="368"/>
      <c r="DU105" s="368"/>
      <c r="DV105" s="368"/>
      <c r="DW105" s="368"/>
      <c r="DX105" s="368"/>
      <c r="DY105" s="368"/>
      <c r="DZ105" s="368"/>
      <c r="EA105" s="368"/>
      <c r="EB105" s="368"/>
      <c r="EC105" s="368"/>
      <c r="ED105" s="368"/>
      <c r="EE105" s="368"/>
      <c r="EF105" s="368"/>
      <c r="EG105" s="368"/>
      <c r="EH105" s="368"/>
      <c r="EI105" s="368"/>
      <c r="EJ105" s="368"/>
      <c r="EK105" s="368"/>
      <c r="EL105" s="368"/>
      <c r="EM105" s="368"/>
      <c r="EN105" s="368"/>
      <c r="EO105" s="368"/>
      <c r="EP105" s="368"/>
      <c r="EQ105" s="368"/>
      <c r="ER105" s="368"/>
      <c r="ES105" s="368"/>
      <c r="ET105" s="368"/>
      <c r="EU105" s="368"/>
      <c r="EV105" s="368"/>
      <c r="EW105" s="368"/>
      <c r="EX105" s="368"/>
      <c r="EY105" s="368"/>
      <c r="EZ105" s="368"/>
      <c r="FA105" s="368"/>
      <c r="FB105" s="368"/>
      <c r="FC105" s="368"/>
      <c r="FD105" s="368"/>
      <c r="FE105" s="368"/>
      <c r="FF105" s="368"/>
      <c r="FG105" s="368"/>
      <c r="FH105" s="368"/>
      <c r="FI105" s="368"/>
      <c r="FJ105" s="368"/>
      <c r="FK105" s="368"/>
      <c r="FL105" s="368"/>
      <c r="FM105" s="368"/>
      <c r="FN105" s="368"/>
      <c r="FO105" s="368"/>
      <c r="FP105" s="368"/>
      <c r="FQ105" s="368"/>
      <c r="FR105" s="368"/>
      <c r="FS105" s="368"/>
      <c r="FT105" s="368"/>
      <c r="FU105" s="368"/>
      <c r="FV105" s="368"/>
      <c r="FW105" s="368"/>
      <c r="FX105" s="368"/>
      <c r="FY105" s="368"/>
      <c r="FZ105" s="368"/>
      <c r="GA105" s="368"/>
      <c r="GB105" s="368"/>
      <c r="GC105" s="368"/>
      <c r="GD105" s="368"/>
      <c r="GE105" s="368"/>
      <c r="GF105" s="368"/>
      <c r="GG105" s="368"/>
      <c r="GH105" s="368"/>
      <c r="GI105" s="368"/>
      <c r="GJ105" s="368"/>
      <c r="GK105" s="368"/>
      <c r="GL105" s="368"/>
      <c r="GM105" s="368"/>
      <c r="GN105" s="368"/>
      <c r="GO105" s="368"/>
      <c r="GP105" s="368"/>
      <c r="GQ105" s="368"/>
      <c r="GR105" s="368"/>
      <c r="GS105" s="368"/>
      <c r="GT105" s="368"/>
      <c r="GU105" s="368"/>
      <c r="GV105" s="368"/>
      <c r="GW105" s="368"/>
      <c r="GX105" s="368"/>
      <c r="GY105" s="368"/>
      <c r="GZ105" s="368"/>
      <c r="HA105" s="368"/>
      <c r="HB105" s="368"/>
      <c r="HC105" s="368"/>
      <c r="HD105" s="368"/>
      <c r="HE105" s="368"/>
      <c r="HF105" s="368"/>
      <c r="HG105" s="368"/>
      <c r="HH105" s="368"/>
      <c r="HI105" s="368"/>
      <c r="HJ105" s="368"/>
      <c r="HK105" s="368"/>
      <c r="HL105" s="368"/>
      <c r="HM105" s="368"/>
      <c r="HN105" s="368"/>
      <c r="HO105" s="368"/>
      <c r="HP105" s="368"/>
      <c r="HQ105" s="368"/>
      <c r="HR105" s="368"/>
      <c r="HS105" s="368"/>
      <c r="HT105" s="368"/>
      <c r="HU105" s="368"/>
      <c r="HV105" s="368"/>
      <c r="HW105" s="368"/>
      <c r="HX105" s="368"/>
      <c r="HY105" s="368"/>
      <c r="HZ105" s="368"/>
      <c r="IA105" s="368"/>
      <c r="IB105" s="368"/>
      <c r="IC105" s="368"/>
      <c r="ID105" s="368"/>
      <c r="IE105" s="368"/>
      <c r="IF105" s="368"/>
      <c r="IG105" s="368"/>
      <c r="IH105" s="368"/>
      <c r="II105" s="368"/>
      <c r="IJ105" s="368"/>
      <c r="IK105" s="368"/>
      <c r="IL105" s="368"/>
      <c r="IM105" s="368"/>
      <c r="IN105" s="368"/>
      <c r="IO105" s="368"/>
      <c r="IP105" s="368"/>
      <c r="IQ105" s="368"/>
      <c r="IR105" s="368"/>
      <c r="IS105" s="368"/>
      <c r="IT105" s="368"/>
      <c r="IU105" s="368"/>
    </row>
    <row r="106" spans="2:255" ht="20.149999999999999" customHeight="1">
      <c r="B106" s="60" t="str">
        <f>'DB Kelistrikan'!N311</f>
        <v>Hasil pengukuran keselamatan listrik tertelusur ke Satuan SI melalui PT. Kaliman ( LK-032-IDN )</v>
      </c>
      <c r="F106" s="23"/>
      <c r="G106" s="23"/>
      <c r="H106" s="23"/>
      <c r="N106" s="893"/>
      <c r="O106" s="893"/>
      <c r="P106" s="893"/>
      <c r="R106" s="368"/>
      <c r="S106" s="368"/>
      <c r="T106" s="368"/>
      <c r="U106" s="368"/>
      <c r="V106" s="368"/>
      <c r="W106" s="368"/>
      <c r="X106" s="368"/>
      <c r="Y106" s="368"/>
      <c r="Z106" s="368"/>
      <c r="AA106" s="368"/>
      <c r="AB106" s="368"/>
      <c r="AC106" s="368"/>
      <c r="AD106" s="368"/>
      <c r="AE106" s="368"/>
      <c r="AF106" s="368"/>
      <c r="AG106" s="368"/>
      <c r="AH106" s="368"/>
      <c r="AI106" s="368"/>
      <c r="AJ106" s="368"/>
      <c r="AK106" s="368"/>
      <c r="AL106" s="368"/>
      <c r="AM106" s="368"/>
      <c r="AN106" s="368"/>
      <c r="AO106" s="368"/>
      <c r="AP106" s="368"/>
      <c r="AQ106" s="368"/>
      <c r="AR106" s="368"/>
      <c r="AS106" s="368"/>
      <c r="AT106" s="368"/>
      <c r="AU106" s="368"/>
      <c r="AV106" s="368"/>
      <c r="AW106" s="368"/>
      <c r="AX106" s="368"/>
      <c r="AY106" s="368"/>
      <c r="AZ106" s="368"/>
      <c r="BA106" s="368"/>
      <c r="BB106" s="368"/>
      <c r="BC106" s="368"/>
      <c r="BD106" s="368"/>
      <c r="BE106" s="368"/>
      <c r="BF106" s="368"/>
      <c r="BG106" s="368"/>
      <c r="BH106" s="368"/>
      <c r="BI106" s="368"/>
      <c r="BJ106" s="368"/>
      <c r="BK106" s="368"/>
      <c r="BL106" s="368"/>
      <c r="BM106" s="368"/>
      <c r="BN106" s="368"/>
      <c r="BO106" s="368"/>
      <c r="BP106" s="368"/>
      <c r="BQ106" s="368"/>
      <c r="BR106" s="368"/>
      <c r="BS106" s="368"/>
      <c r="BT106" s="368"/>
      <c r="BU106" s="368"/>
      <c r="BV106" s="368"/>
      <c r="BW106" s="368"/>
      <c r="BX106" s="368"/>
      <c r="BY106" s="368"/>
      <c r="BZ106" s="368"/>
      <c r="CA106" s="368"/>
      <c r="CB106" s="368"/>
      <c r="CC106" s="368"/>
      <c r="CD106" s="368"/>
      <c r="CE106" s="368"/>
      <c r="CF106" s="368"/>
      <c r="CG106" s="368"/>
      <c r="CH106" s="368"/>
      <c r="CI106" s="368"/>
      <c r="CJ106" s="368"/>
      <c r="CK106" s="368"/>
      <c r="CL106" s="368"/>
      <c r="CM106" s="368"/>
      <c r="CN106" s="368"/>
      <c r="CO106" s="368"/>
      <c r="CP106" s="368"/>
      <c r="CQ106" s="368"/>
      <c r="CR106" s="368"/>
      <c r="CS106" s="368"/>
      <c r="CT106" s="368"/>
      <c r="CU106" s="368"/>
      <c r="CV106" s="368"/>
      <c r="CW106" s="368"/>
      <c r="CX106" s="368"/>
      <c r="CY106" s="368"/>
      <c r="CZ106" s="368"/>
      <c r="DA106" s="368"/>
      <c r="DB106" s="368"/>
      <c r="DC106" s="368"/>
      <c r="DD106" s="368"/>
      <c r="DE106" s="368"/>
      <c r="DF106" s="368"/>
      <c r="DG106" s="368"/>
      <c r="DH106" s="368"/>
      <c r="DI106" s="368"/>
      <c r="DJ106" s="368"/>
      <c r="DK106" s="368"/>
      <c r="DL106" s="368"/>
      <c r="DM106" s="368"/>
      <c r="DN106" s="368"/>
      <c r="DO106" s="368"/>
      <c r="DP106" s="368"/>
      <c r="DQ106" s="368"/>
      <c r="DR106" s="368"/>
      <c r="DS106" s="368"/>
      <c r="DT106" s="368"/>
      <c r="DU106" s="368"/>
      <c r="DV106" s="368"/>
      <c r="DW106" s="368"/>
      <c r="DX106" s="368"/>
      <c r="DY106" s="368"/>
      <c r="DZ106" s="368"/>
      <c r="EA106" s="368"/>
      <c r="EB106" s="368"/>
      <c r="EC106" s="368"/>
      <c r="ED106" s="368"/>
      <c r="EE106" s="368"/>
      <c r="EF106" s="368"/>
      <c r="EG106" s="368"/>
      <c r="EH106" s="368"/>
      <c r="EI106" s="368"/>
      <c r="EJ106" s="368"/>
      <c r="EK106" s="368"/>
      <c r="EL106" s="368"/>
      <c r="EM106" s="368"/>
      <c r="EN106" s="368"/>
      <c r="EO106" s="368"/>
      <c r="EP106" s="368"/>
      <c r="EQ106" s="368"/>
      <c r="ER106" s="368"/>
      <c r="ES106" s="368"/>
      <c r="ET106" s="368"/>
      <c r="EU106" s="368"/>
      <c r="EV106" s="368"/>
      <c r="EW106" s="368"/>
      <c r="EX106" s="368"/>
      <c r="EY106" s="368"/>
      <c r="EZ106" s="368"/>
      <c r="FA106" s="368"/>
      <c r="FB106" s="368"/>
      <c r="FC106" s="368"/>
      <c r="FD106" s="368"/>
      <c r="FE106" s="368"/>
      <c r="FF106" s="368"/>
      <c r="FG106" s="368"/>
      <c r="FH106" s="368"/>
      <c r="FI106" s="368"/>
      <c r="FJ106" s="368"/>
      <c r="FK106" s="368"/>
      <c r="FL106" s="368"/>
      <c r="FM106" s="368"/>
      <c r="FN106" s="368"/>
      <c r="FO106" s="368"/>
      <c r="FP106" s="368"/>
      <c r="FQ106" s="368"/>
      <c r="FR106" s="368"/>
      <c r="FS106" s="368"/>
      <c r="FT106" s="368"/>
      <c r="FU106" s="368"/>
      <c r="FV106" s="368"/>
      <c r="FW106" s="368"/>
      <c r="FX106" s="368"/>
      <c r="FY106" s="368"/>
      <c r="FZ106" s="368"/>
      <c r="GA106" s="368"/>
      <c r="GB106" s="368"/>
      <c r="GC106" s="368"/>
      <c r="GD106" s="368"/>
      <c r="GE106" s="368"/>
      <c r="GF106" s="368"/>
      <c r="GG106" s="368"/>
      <c r="GH106" s="368"/>
      <c r="GI106" s="368"/>
      <c r="GJ106" s="368"/>
      <c r="GK106" s="368"/>
      <c r="GL106" s="368"/>
      <c r="GM106" s="368"/>
      <c r="GN106" s="368"/>
      <c r="GO106" s="368"/>
      <c r="GP106" s="368"/>
      <c r="GQ106" s="368"/>
      <c r="GR106" s="368"/>
      <c r="GS106" s="368"/>
      <c r="GT106" s="368"/>
      <c r="GU106" s="368"/>
      <c r="GV106" s="368"/>
      <c r="GW106" s="368"/>
      <c r="GX106" s="368"/>
      <c r="GY106" s="368"/>
      <c r="GZ106" s="368"/>
      <c r="HA106" s="368"/>
      <c r="HB106" s="368"/>
      <c r="HC106" s="368"/>
      <c r="HD106" s="368"/>
      <c r="HE106" s="368"/>
      <c r="HF106" s="368"/>
      <c r="HG106" s="368"/>
      <c r="HH106" s="368"/>
      <c r="HI106" s="368"/>
      <c r="HJ106" s="368"/>
      <c r="HK106" s="368"/>
      <c r="HL106" s="368"/>
      <c r="HM106" s="368"/>
      <c r="HN106" s="368"/>
      <c r="HO106" s="368"/>
      <c r="HP106" s="368"/>
      <c r="HQ106" s="368"/>
      <c r="HR106" s="368"/>
      <c r="HS106" s="368"/>
      <c r="HT106" s="368"/>
      <c r="HU106" s="368"/>
      <c r="HV106" s="368"/>
      <c r="HW106" s="368"/>
      <c r="HX106" s="368"/>
      <c r="HY106" s="368"/>
      <c r="HZ106" s="368"/>
      <c r="IA106" s="368"/>
      <c r="IB106" s="368"/>
      <c r="IC106" s="368"/>
      <c r="ID106" s="368"/>
      <c r="IE106" s="368"/>
      <c r="IF106" s="368"/>
      <c r="IG106" s="368"/>
      <c r="IH106" s="368"/>
      <c r="II106" s="368"/>
      <c r="IJ106" s="368"/>
      <c r="IK106" s="368"/>
      <c r="IL106" s="368"/>
      <c r="IM106" s="368"/>
      <c r="IN106" s="368"/>
      <c r="IO106" s="368"/>
      <c r="IP106" s="368"/>
      <c r="IQ106" s="368"/>
      <c r="IR106" s="368"/>
      <c r="IS106" s="368"/>
      <c r="IT106" s="368"/>
      <c r="IU106" s="368"/>
    </row>
    <row r="107" spans="2:255" ht="19.5" customHeight="1">
      <c r="B107" s="18" t="str">
        <f>'Data Alat'!A32</f>
        <v>Hasil pengujian kinerja suhu tertelusur ke Satuan SI melalui PT. Kaliman ( LK-032-IDN )</v>
      </c>
      <c r="F107" s="23"/>
      <c r="G107" s="23"/>
      <c r="H107" s="23"/>
      <c r="N107" s="893"/>
      <c r="O107" s="893"/>
      <c r="P107" s="893"/>
      <c r="Q107" s="892"/>
      <c r="R107" s="368"/>
      <c r="S107" s="368"/>
      <c r="T107" s="368"/>
      <c r="U107" s="368"/>
      <c r="V107" s="368"/>
      <c r="W107" s="368"/>
      <c r="X107" s="368"/>
      <c r="Y107" s="368"/>
      <c r="Z107" s="368"/>
      <c r="AA107" s="368"/>
      <c r="AB107" s="368"/>
      <c r="AC107" s="368"/>
      <c r="AD107" s="368"/>
      <c r="AE107" s="368"/>
      <c r="AF107" s="368"/>
      <c r="AG107" s="368"/>
      <c r="AH107" s="368"/>
      <c r="AI107" s="368"/>
      <c r="AJ107" s="368"/>
      <c r="AK107" s="368"/>
      <c r="AL107" s="368"/>
      <c r="AM107" s="368"/>
      <c r="AN107" s="368"/>
      <c r="AO107" s="368"/>
      <c r="AP107" s="368"/>
      <c r="AQ107" s="368"/>
      <c r="AR107" s="368"/>
      <c r="AS107" s="368"/>
      <c r="AT107" s="368"/>
      <c r="AU107" s="368"/>
      <c r="AV107" s="368"/>
      <c r="AW107" s="368"/>
      <c r="AX107" s="368"/>
      <c r="AY107" s="368"/>
      <c r="AZ107" s="368"/>
      <c r="BA107" s="368"/>
      <c r="BB107" s="368"/>
      <c r="BC107" s="368"/>
      <c r="BD107" s="368"/>
      <c r="BE107" s="368"/>
      <c r="BF107" s="368"/>
      <c r="BG107" s="368"/>
      <c r="BH107" s="368"/>
      <c r="BI107" s="368"/>
      <c r="BJ107" s="368"/>
      <c r="BK107" s="368"/>
      <c r="BL107" s="368"/>
      <c r="BM107" s="368"/>
      <c r="BN107" s="368"/>
      <c r="BO107" s="368"/>
      <c r="BP107" s="368"/>
      <c r="BQ107" s="368"/>
      <c r="BR107" s="368"/>
      <c r="BS107" s="368"/>
      <c r="BT107" s="368"/>
      <c r="BU107" s="368"/>
      <c r="BV107" s="368"/>
      <c r="BW107" s="368"/>
      <c r="BX107" s="368"/>
      <c r="BY107" s="368"/>
      <c r="BZ107" s="368"/>
      <c r="CA107" s="368"/>
      <c r="CB107" s="368"/>
      <c r="CC107" s="368"/>
      <c r="CD107" s="368"/>
      <c r="CE107" s="368"/>
      <c r="CF107" s="368"/>
      <c r="CG107" s="368"/>
      <c r="CH107" s="368"/>
      <c r="CI107" s="368"/>
      <c r="CJ107" s="368"/>
      <c r="CK107" s="368"/>
      <c r="CL107" s="368"/>
      <c r="CM107" s="368"/>
      <c r="CN107" s="368"/>
      <c r="CO107" s="368"/>
      <c r="CP107" s="368"/>
      <c r="CQ107" s="368"/>
      <c r="CR107" s="368"/>
      <c r="CS107" s="368"/>
      <c r="CT107" s="368"/>
      <c r="CU107" s="368"/>
      <c r="CV107" s="368"/>
      <c r="CW107" s="368"/>
      <c r="CX107" s="368"/>
      <c r="CY107" s="368"/>
      <c r="CZ107" s="368"/>
      <c r="DA107" s="368"/>
      <c r="DB107" s="368"/>
      <c r="DC107" s="368"/>
      <c r="DD107" s="368"/>
      <c r="DE107" s="368"/>
      <c r="DF107" s="368"/>
      <c r="DG107" s="368"/>
      <c r="DH107" s="368"/>
      <c r="DI107" s="368"/>
      <c r="DJ107" s="368"/>
      <c r="DK107" s="368"/>
      <c r="DL107" s="368"/>
      <c r="DM107" s="368"/>
      <c r="DN107" s="368"/>
      <c r="DO107" s="368"/>
      <c r="DP107" s="368"/>
      <c r="DQ107" s="368"/>
      <c r="DR107" s="368"/>
      <c r="DS107" s="368"/>
      <c r="DT107" s="368"/>
      <c r="DU107" s="368"/>
      <c r="DV107" s="368"/>
      <c r="DW107" s="368"/>
      <c r="DX107" s="368"/>
      <c r="DY107" s="368"/>
      <c r="DZ107" s="368"/>
      <c r="EA107" s="368"/>
      <c r="EB107" s="368"/>
      <c r="EC107" s="368"/>
      <c r="ED107" s="368"/>
      <c r="EE107" s="368"/>
      <c r="EF107" s="368"/>
      <c r="EG107" s="368"/>
      <c r="EH107" s="368"/>
      <c r="EI107" s="368"/>
      <c r="EJ107" s="368"/>
      <c r="EK107" s="368"/>
      <c r="EL107" s="368"/>
      <c r="EM107" s="368"/>
      <c r="EN107" s="368"/>
      <c r="EO107" s="368"/>
      <c r="EP107" s="368"/>
      <c r="EQ107" s="368"/>
      <c r="ER107" s="368"/>
      <c r="ES107" s="368"/>
      <c r="ET107" s="368"/>
      <c r="EU107" s="368"/>
      <c r="EV107" s="368"/>
      <c r="EW107" s="368"/>
      <c r="EX107" s="368"/>
      <c r="EY107" s="368"/>
      <c r="EZ107" s="368"/>
      <c r="FA107" s="368"/>
      <c r="FB107" s="368"/>
      <c r="FC107" s="368"/>
      <c r="FD107" s="368"/>
      <c r="FE107" s="368"/>
      <c r="FF107" s="368"/>
      <c r="FG107" s="368"/>
      <c r="FH107" s="368"/>
      <c r="FI107" s="368"/>
      <c r="FJ107" s="368"/>
      <c r="FK107" s="368"/>
      <c r="FL107" s="368"/>
      <c r="FM107" s="368"/>
      <c r="FN107" s="368"/>
      <c r="FO107" s="368"/>
      <c r="FP107" s="368"/>
      <c r="FQ107" s="368"/>
      <c r="FR107" s="368"/>
      <c r="FS107" s="368"/>
      <c r="FT107" s="368"/>
      <c r="FU107" s="368"/>
      <c r="FV107" s="368"/>
      <c r="FW107" s="368"/>
      <c r="FX107" s="368"/>
      <c r="FY107" s="368"/>
      <c r="FZ107" s="368"/>
      <c r="GA107" s="368"/>
      <c r="GB107" s="368"/>
      <c r="GC107" s="368"/>
      <c r="GD107" s="368"/>
      <c r="GE107" s="368"/>
      <c r="GF107" s="368"/>
      <c r="GG107" s="368"/>
      <c r="GH107" s="368"/>
      <c r="GI107" s="368"/>
      <c r="GJ107" s="368"/>
      <c r="GK107" s="368"/>
      <c r="GL107" s="368"/>
      <c r="GM107" s="368"/>
      <c r="GN107" s="368"/>
      <c r="GO107" s="368"/>
      <c r="GP107" s="368"/>
      <c r="GQ107" s="368"/>
      <c r="GR107" s="368"/>
      <c r="GS107" s="368"/>
      <c r="GT107" s="368"/>
      <c r="GU107" s="368"/>
      <c r="GV107" s="368"/>
      <c r="GW107" s="368"/>
      <c r="GX107" s="368"/>
      <c r="GY107" s="368"/>
      <c r="GZ107" s="368"/>
      <c r="HA107" s="368"/>
      <c r="HB107" s="368"/>
      <c r="HC107" s="368"/>
      <c r="HD107" s="368"/>
      <c r="HE107" s="368"/>
      <c r="HF107" s="368"/>
      <c r="HG107" s="368"/>
      <c r="HH107" s="368"/>
      <c r="HI107" s="368"/>
      <c r="HJ107" s="368"/>
      <c r="HK107" s="368"/>
      <c r="HL107" s="368"/>
      <c r="HM107" s="368"/>
      <c r="HN107" s="368"/>
      <c r="HO107" s="368"/>
      <c r="HP107" s="368"/>
      <c r="HQ107" s="368"/>
      <c r="HR107" s="368"/>
      <c r="HS107" s="368"/>
      <c r="HT107" s="368"/>
      <c r="HU107" s="368"/>
      <c r="HV107" s="368"/>
      <c r="HW107" s="368"/>
      <c r="HX107" s="368"/>
      <c r="HY107" s="368"/>
      <c r="HZ107" s="368"/>
      <c r="IA107" s="368"/>
      <c r="IB107" s="368"/>
      <c r="IC107" s="368"/>
      <c r="ID107" s="368"/>
      <c r="IE107" s="368"/>
      <c r="IF107" s="368"/>
      <c r="IG107" s="368"/>
      <c r="IH107" s="368"/>
      <c r="II107" s="368"/>
      <c r="IJ107" s="368"/>
      <c r="IK107" s="368"/>
      <c r="IL107" s="368"/>
      <c r="IM107" s="368"/>
      <c r="IN107" s="368"/>
      <c r="IO107" s="368"/>
      <c r="IP107" s="368"/>
      <c r="IQ107" s="368"/>
      <c r="IR107" s="368"/>
      <c r="IS107" s="368"/>
      <c r="IT107" s="368"/>
      <c r="IU107" s="368"/>
    </row>
    <row r="108" spans="2:255" ht="19.5" customHeight="1">
      <c r="B108" s="21" t="str">
        <f>'Lembar Penyelia'!X5</f>
        <v>Tidak terdapat grounding di ruangan</v>
      </c>
      <c r="F108" s="23"/>
      <c r="G108" s="23"/>
      <c r="H108" s="23"/>
      <c r="N108" s="893"/>
      <c r="O108" s="893"/>
      <c r="P108" s="893"/>
      <c r="Q108" s="892"/>
      <c r="R108" s="368"/>
      <c r="S108" s="368"/>
      <c r="T108" s="368"/>
      <c r="U108" s="368"/>
      <c r="V108" s="368"/>
      <c r="W108" s="368"/>
      <c r="X108" s="368"/>
      <c r="Y108" s="368"/>
      <c r="Z108" s="368"/>
      <c r="AA108" s="368"/>
      <c r="AB108" s="368"/>
      <c r="AC108" s="368"/>
      <c r="AD108" s="368"/>
      <c r="AE108" s="368"/>
      <c r="AF108" s="368"/>
      <c r="AG108" s="368"/>
      <c r="AH108" s="368"/>
      <c r="AI108" s="368"/>
      <c r="AJ108" s="368"/>
      <c r="AK108" s="368"/>
      <c r="AL108" s="368"/>
      <c r="AM108" s="368"/>
      <c r="AN108" s="368"/>
      <c r="AO108" s="368"/>
      <c r="AP108" s="368"/>
      <c r="AQ108" s="368"/>
      <c r="AR108" s="368"/>
      <c r="AS108" s="368"/>
      <c r="AT108" s="368"/>
      <c r="AU108" s="368"/>
      <c r="AV108" s="368"/>
      <c r="AW108" s="368"/>
      <c r="AX108" s="368"/>
      <c r="AY108" s="368"/>
      <c r="AZ108" s="368"/>
      <c r="BA108" s="368"/>
      <c r="BB108" s="368"/>
      <c r="BC108" s="368"/>
      <c r="BD108" s="368"/>
      <c r="BE108" s="368"/>
      <c r="BF108" s="368"/>
      <c r="BG108" s="368"/>
      <c r="BH108" s="368"/>
      <c r="BI108" s="368"/>
      <c r="BJ108" s="368"/>
      <c r="BK108" s="368"/>
      <c r="BL108" s="368"/>
      <c r="BM108" s="368"/>
      <c r="BN108" s="368"/>
      <c r="BO108" s="368"/>
      <c r="BP108" s="368"/>
      <c r="BQ108" s="368"/>
      <c r="BR108" s="368"/>
      <c r="BS108" s="368"/>
      <c r="BT108" s="368"/>
      <c r="BU108" s="368"/>
      <c r="BV108" s="368"/>
      <c r="BW108" s="368"/>
      <c r="BX108" s="368"/>
      <c r="BY108" s="368"/>
      <c r="BZ108" s="368"/>
      <c r="CA108" s="368"/>
      <c r="CB108" s="368"/>
      <c r="CC108" s="368"/>
      <c r="CD108" s="368"/>
      <c r="CE108" s="368"/>
      <c r="CF108" s="368"/>
      <c r="CG108" s="368"/>
      <c r="CH108" s="368"/>
      <c r="CI108" s="368"/>
      <c r="CJ108" s="368"/>
      <c r="CK108" s="368"/>
      <c r="CL108" s="368"/>
      <c r="CM108" s="368"/>
      <c r="CN108" s="368"/>
      <c r="CO108" s="368"/>
      <c r="CP108" s="368"/>
      <c r="CQ108" s="368"/>
      <c r="CR108" s="368"/>
      <c r="CS108" s="368"/>
      <c r="CT108" s="368"/>
      <c r="CU108" s="368"/>
      <c r="CV108" s="368"/>
      <c r="CW108" s="368"/>
      <c r="CX108" s="368"/>
      <c r="CY108" s="368"/>
      <c r="CZ108" s="368"/>
      <c r="DA108" s="368"/>
      <c r="DB108" s="368"/>
      <c r="DC108" s="368"/>
      <c r="DD108" s="368"/>
      <c r="DE108" s="368"/>
      <c r="DF108" s="368"/>
      <c r="DG108" s="368"/>
      <c r="DH108" s="368"/>
      <c r="DI108" s="368"/>
      <c r="DJ108" s="368"/>
      <c r="DK108" s="368"/>
      <c r="DL108" s="368"/>
      <c r="DM108" s="368"/>
      <c r="DN108" s="368"/>
      <c r="DO108" s="368"/>
      <c r="DP108" s="368"/>
      <c r="DQ108" s="368"/>
      <c r="DR108" s="368"/>
      <c r="DS108" s="368"/>
      <c r="DT108" s="368"/>
      <c r="DU108" s="368"/>
      <c r="DV108" s="368"/>
      <c r="DW108" s="368"/>
      <c r="DX108" s="368"/>
      <c r="DY108" s="368"/>
      <c r="DZ108" s="368"/>
      <c r="EA108" s="368"/>
      <c r="EB108" s="368"/>
      <c r="EC108" s="368"/>
      <c r="ED108" s="368"/>
      <c r="EE108" s="368"/>
      <c r="EF108" s="368"/>
      <c r="EG108" s="368"/>
      <c r="EH108" s="368"/>
      <c r="EI108" s="368"/>
      <c r="EJ108" s="368"/>
      <c r="EK108" s="368"/>
      <c r="EL108" s="368"/>
      <c r="EM108" s="368"/>
      <c r="EN108" s="368"/>
      <c r="EO108" s="368"/>
      <c r="EP108" s="368"/>
      <c r="EQ108" s="368"/>
      <c r="ER108" s="368"/>
      <c r="ES108" s="368"/>
      <c r="ET108" s="368"/>
      <c r="EU108" s="368"/>
      <c r="EV108" s="368"/>
      <c r="EW108" s="368"/>
      <c r="EX108" s="368"/>
      <c r="EY108" s="368"/>
      <c r="EZ108" s="368"/>
      <c r="FA108" s="368"/>
      <c r="FB108" s="368"/>
      <c r="FC108" s="368"/>
      <c r="FD108" s="368"/>
      <c r="FE108" s="368"/>
      <c r="FF108" s="368"/>
      <c r="FG108" s="368"/>
      <c r="FH108" s="368"/>
      <c r="FI108" s="368"/>
      <c r="FJ108" s="368"/>
      <c r="FK108" s="368"/>
      <c r="FL108" s="368"/>
      <c r="FM108" s="368"/>
      <c r="FN108" s="368"/>
      <c r="FO108" s="368"/>
      <c r="FP108" s="368"/>
      <c r="FQ108" s="368"/>
      <c r="FR108" s="368"/>
      <c r="FS108" s="368"/>
      <c r="FT108" s="368"/>
      <c r="FU108" s="368"/>
      <c r="FV108" s="368"/>
      <c r="FW108" s="368"/>
      <c r="FX108" s="368"/>
      <c r="FY108" s="368"/>
      <c r="FZ108" s="368"/>
      <c r="GA108" s="368"/>
      <c r="GB108" s="368"/>
      <c r="GC108" s="368"/>
      <c r="GD108" s="368"/>
      <c r="GE108" s="368"/>
      <c r="GF108" s="368"/>
      <c r="GG108" s="368"/>
      <c r="GH108" s="368"/>
      <c r="GI108" s="368"/>
      <c r="GJ108" s="368"/>
      <c r="GK108" s="368"/>
      <c r="GL108" s="368"/>
      <c r="GM108" s="368"/>
      <c r="GN108" s="368"/>
      <c r="GO108" s="368"/>
      <c r="GP108" s="368"/>
      <c r="GQ108" s="368"/>
      <c r="GR108" s="368"/>
      <c r="GS108" s="368"/>
      <c r="GT108" s="368"/>
      <c r="GU108" s="368"/>
      <c r="GV108" s="368"/>
      <c r="GW108" s="368"/>
      <c r="GX108" s="368"/>
      <c r="GY108" s="368"/>
      <c r="GZ108" s="368"/>
      <c r="HA108" s="368"/>
      <c r="HB108" s="368"/>
      <c r="HC108" s="368"/>
      <c r="HD108" s="368"/>
      <c r="HE108" s="368"/>
      <c r="HF108" s="368"/>
      <c r="HG108" s="368"/>
      <c r="HH108" s="368"/>
      <c r="HI108" s="368"/>
      <c r="HJ108" s="368"/>
      <c r="HK108" s="368"/>
      <c r="HL108" s="368"/>
      <c r="HM108" s="368"/>
      <c r="HN108" s="368"/>
      <c r="HO108" s="368"/>
      <c r="HP108" s="368"/>
      <c r="HQ108" s="368"/>
      <c r="HR108" s="368"/>
      <c r="HS108" s="368"/>
      <c r="HT108" s="368"/>
      <c r="HU108" s="368"/>
      <c r="HV108" s="368"/>
      <c r="HW108" s="368"/>
      <c r="HX108" s="368"/>
      <c r="HY108" s="368"/>
      <c r="HZ108" s="368"/>
      <c r="IA108" s="368"/>
      <c r="IB108" s="368"/>
      <c r="IC108" s="368"/>
      <c r="ID108" s="368"/>
      <c r="IE108" s="368"/>
      <c r="IF108" s="368"/>
      <c r="IG108" s="368"/>
      <c r="IH108" s="368"/>
      <c r="II108" s="368"/>
      <c r="IJ108" s="368"/>
      <c r="IK108" s="368"/>
      <c r="IL108" s="368"/>
      <c r="IM108" s="368"/>
      <c r="IN108" s="368"/>
      <c r="IO108" s="368"/>
      <c r="IP108" s="368"/>
      <c r="IQ108" s="368"/>
      <c r="IR108" s="368"/>
      <c r="IS108" s="368"/>
      <c r="IT108" s="368"/>
      <c r="IU108" s="368"/>
    </row>
    <row r="109" spans="2:255" ht="9" customHeight="1">
      <c r="B109" s="33"/>
      <c r="C109" s="33"/>
      <c r="D109" s="33"/>
      <c r="E109" s="33"/>
      <c r="F109" s="53"/>
      <c r="G109" s="53"/>
      <c r="H109" s="53"/>
      <c r="I109" s="33"/>
      <c r="J109" s="33"/>
      <c r="K109" s="33"/>
      <c r="L109" s="33"/>
      <c r="M109" s="33"/>
      <c r="N109" s="893"/>
      <c r="O109" s="893"/>
      <c r="P109" s="893"/>
      <c r="Q109" s="892"/>
      <c r="R109" s="368"/>
      <c r="S109" s="368"/>
      <c r="T109" s="368"/>
      <c r="U109" s="368"/>
      <c r="V109" s="368"/>
      <c r="W109" s="368"/>
      <c r="X109" s="368"/>
      <c r="Y109" s="368"/>
      <c r="Z109" s="368"/>
      <c r="AA109" s="368"/>
      <c r="AB109" s="368"/>
      <c r="AC109" s="368"/>
      <c r="AD109" s="368"/>
      <c r="AE109" s="368"/>
      <c r="AF109" s="368"/>
      <c r="AG109" s="368"/>
      <c r="AH109" s="368"/>
      <c r="AI109" s="368"/>
      <c r="AJ109" s="368"/>
      <c r="AK109" s="368"/>
      <c r="AL109" s="368"/>
      <c r="AM109" s="368"/>
      <c r="AN109" s="368"/>
      <c r="AO109" s="368"/>
      <c r="AP109" s="368"/>
      <c r="AQ109" s="368"/>
      <c r="AR109" s="368"/>
      <c r="AS109" s="368"/>
      <c r="AT109" s="368"/>
      <c r="AU109" s="368"/>
      <c r="AV109" s="368"/>
      <c r="AW109" s="368"/>
      <c r="AX109" s="368"/>
      <c r="AY109" s="368"/>
      <c r="AZ109" s="368"/>
      <c r="BA109" s="368"/>
      <c r="BB109" s="368"/>
      <c r="BC109" s="368"/>
      <c r="BD109" s="368"/>
      <c r="BE109" s="368"/>
      <c r="BF109" s="368"/>
      <c r="BG109" s="368"/>
      <c r="BH109" s="368"/>
      <c r="BI109" s="368"/>
      <c r="BJ109" s="368"/>
      <c r="BK109" s="368"/>
      <c r="BL109" s="368"/>
      <c r="BM109" s="368"/>
      <c r="BN109" s="368"/>
      <c r="BO109" s="368"/>
      <c r="BP109" s="368"/>
      <c r="BQ109" s="368"/>
      <c r="BR109" s="368"/>
      <c r="BS109" s="368"/>
      <c r="BT109" s="368"/>
      <c r="BU109" s="368"/>
      <c r="BV109" s="368"/>
      <c r="BW109" s="368"/>
      <c r="BX109" s="368"/>
      <c r="BY109" s="368"/>
      <c r="BZ109" s="368"/>
      <c r="CA109" s="368"/>
      <c r="CB109" s="368"/>
      <c r="CC109" s="368"/>
      <c r="CD109" s="368"/>
      <c r="CE109" s="368"/>
      <c r="CF109" s="368"/>
      <c r="CG109" s="368"/>
      <c r="CH109" s="368"/>
      <c r="CI109" s="368"/>
      <c r="CJ109" s="368"/>
      <c r="CK109" s="368"/>
      <c r="CL109" s="368"/>
      <c r="CM109" s="368"/>
      <c r="CN109" s="368"/>
      <c r="CO109" s="368"/>
      <c r="CP109" s="368"/>
      <c r="CQ109" s="368"/>
      <c r="CR109" s="368"/>
      <c r="CS109" s="368"/>
      <c r="CT109" s="368"/>
      <c r="CU109" s="368"/>
      <c r="CV109" s="368"/>
      <c r="CW109" s="368"/>
      <c r="CX109" s="368"/>
      <c r="CY109" s="368"/>
      <c r="CZ109" s="368"/>
      <c r="DA109" s="368"/>
      <c r="DB109" s="368"/>
      <c r="DC109" s="368"/>
      <c r="DD109" s="368"/>
      <c r="DE109" s="368"/>
      <c r="DF109" s="368"/>
      <c r="DG109" s="368"/>
      <c r="DH109" s="368"/>
      <c r="DI109" s="368"/>
      <c r="DJ109" s="368"/>
      <c r="DK109" s="368"/>
      <c r="DL109" s="368"/>
      <c r="DM109" s="368"/>
      <c r="DN109" s="368"/>
      <c r="DO109" s="368"/>
      <c r="DP109" s="368"/>
      <c r="DQ109" s="368"/>
      <c r="DR109" s="368"/>
      <c r="DS109" s="368"/>
      <c r="DT109" s="368"/>
      <c r="DU109" s="368"/>
      <c r="DV109" s="368"/>
      <c r="DW109" s="368"/>
      <c r="DX109" s="368"/>
      <c r="DY109" s="368"/>
      <c r="DZ109" s="368"/>
      <c r="EA109" s="368"/>
      <c r="EB109" s="368"/>
      <c r="EC109" s="368"/>
      <c r="ED109" s="368"/>
      <c r="EE109" s="368"/>
      <c r="EF109" s="368"/>
      <c r="EG109" s="368"/>
      <c r="EH109" s="368"/>
      <c r="EI109" s="368"/>
      <c r="EJ109" s="368"/>
      <c r="EK109" s="368"/>
      <c r="EL109" s="368"/>
      <c r="EM109" s="368"/>
      <c r="EN109" s="368"/>
      <c r="EO109" s="368"/>
      <c r="EP109" s="368"/>
      <c r="EQ109" s="368"/>
      <c r="ER109" s="368"/>
      <c r="ES109" s="368"/>
      <c r="ET109" s="368"/>
      <c r="EU109" s="368"/>
      <c r="EV109" s="368"/>
      <c r="EW109" s="368"/>
      <c r="EX109" s="368"/>
      <c r="EY109" s="368"/>
      <c r="EZ109" s="368"/>
      <c r="FA109" s="368"/>
      <c r="FB109" s="368"/>
      <c r="FC109" s="368"/>
      <c r="FD109" s="368"/>
      <c r="FE109" s="368"/>
      <c r="FF109" s="368"/>
      <c r="FG109" s="368"/>
      <c r="FH109" s="368"/>
      <c r="FI109" s="368"/>
      <c r="FJ109" s="368"/>
      <c r="FK109" s="368"/>
      <c r="FL109" s="368"/>
      <c r="FM109" s="368"/>
      <c r="FN109" s="368"/>
      <c r="FO109" s="368"/>
      <c r="FP109" s="368"/>
      <c r="FQ109" s="368"/>
      <c r="FR109" s="368"/>
      <c r="FS109" s="368"/>
      <c r="FT109" s="368"/>
      <c r="FU109" s="368"/>
      <c r="FV109" s="368"/>
      <c r="FW109" s="368"/>
      <c r="FX109" s="368"/>
      <c r="FY109" s="368"/>
      <c r="FZ109" s="368"/>
      <c r="GA109" s="368"/>
      <c r="GB109" s="368"/>
      <c r="GC109" s="368"/>
      <c r="GD109" s="368"/>
      <c r="GE109" s="368"/>
      <c r="GF109" s="368"/>
      <c r="GG109" s="368"/>
      <c r="GH109" s="368"/>
      <c r="GI109" s="368"/>
      <c r="GJ109" s="368"/>
      <c r="GK109" s="368"/>
      <c r="GL109" s="368"/>
      <c r="GM109" s="368"/>
      <c r="GN109" s="368"/>
      <c r="GO109" s="368"/>
      <c r="GP109" s="368"/>
      <c r="GQ109" s="368"/>
      <c r="GR109" s="368"/>
      <c r="GS109" s="368"/>
      <c r="GT109" s="368"/>
      <c r="GU109" s="368"/>
      <c r="GV109" s="368"/>
      <c r="GW109" s="368"/>
      <c r="GX109" s="368"/>
      <c r="GY109" s="368"/>
      <c r="GZ109" s="368"/>
      <c r="HA109" s="368"/>
      <c r="HB109" s="368"/>
      <c r="HC109" s="368"/>
      <c r="HD109" s="368"/>
      <c r="HE109" s="368"/>
      <c r="HF109" s="368"/>
      <c r="HG109" s="368"/>
      <c r="HH109" s="368"/>
      <c r="HI109" s="368"/>
      <c r="HJ109" s="368"/>
      <c r="HK109" s="368"/>
      <c r="HL109" s="368"/>
      <c r="HM109" s="368"/>
      <c r="HN109" s="368"/>
      <c r="HO109" s="368"/>
      <c r="HP109" s="368"/>
      <c r="HQ109" s="368"/>
      <c r="HR109" s="368"/>
      <c r="HS109" s="368"/>
      <c r="HT109" s="368"/>
      <c r="HU109" s="368"/>
      <c r="HV109" s="368"/>
      <c r="HW109" s="368"/>
      <c r="HX109" s="368"/>
      <c r="HY109" s="368"/>
      <c r="HZ109" s="368"/>
      <c r="IA109" s="368"/>
      <c r="IB109" s="368"/>
      <c r="IC109" s="368"/>
      <c r="ID109" s="368"/>
      <c r="IE109" s="368"/>
      <c r="IF109" s="368"/>
      <c r="IG109" s="368"/>
      <c r="IH109" s="368"/>
      <c r="II109" s="368"/>
      <c r="IJ109" s="368"/>
      <c r="IK109" s="368"/>
      <c r="IL109" s="368"/>
      <c r="IM109" s="368"/>
      <c r="IN109" s="368"/>
      <c r="IO109" s="368"/>
      <c r="IP109" s="368"/>
      <c r="IQ109" s="368"/>
      <c r="IR109" s="368"/>
      <c r="IS109" s="368"/>
      <c r="IT109" s="368"/>
      <c r="IU109" s="368"/>
    </row>
    <row r="110" spans="2:255" ht="19.5" customHeight="1">
      <c r="B110" s="53" t="s">
        <v>245</v>
      </c>
      <c r="C110" s="33"/>
      <c r="D110" s="33"/>
      <c r="E110" s="33"/>
      <c r="F110" s="53"/>
      <c r="G110" s="53"/>
      <c r="H110" s="53"/>
      <c r="I110" s="33"/>
      <c r="J110" s="33"/>
      <c r="K110" s="33"/>
      <c r="L110" s="33"/>
      <c r="M110" s="33"/>
      <c r="N110" s="893"/>
      <c r="O110" s="893"/>
      <c r="P110" s="893"/>
      <c r="Q110" s="892"/>
      <c r="R110" s="866">
        <f ca="1">'Lembar Penyelia'!H67</f>
        <v>80</v>
      </c>
      <c r="S110" s="368"/>
      <c r="T110" s="368"/>
      <c r="U110" s="368"/>
      <c r="V110" s="368"/>
      <c r="W110" s="368"/>
      <c r="X110" s="368"/>
      <c r="Y110" s="368"/>
      <c r="Z110" s="368"/>
      <c r="AA110" s="368"/>
      <c r="AB110" s="368"/>
      <c r="AC110" s="368"/>
      <c r="AD110" s="368"/>
      <c r="AE110" s="368"/>
      <c r="AF110" s="368"/>
      <c r="AG110" s="368"/>
      <c r="AH110" s="368"/>
      <c r="AI110" s="368"/>
      <c r="AJ110" s="368"/>
      <c r="AK110" s="368"/>
      <c r="AL110" s="368"/>
      <c r="AM110" s="368"/>
      <c r="AN110" s="368"/>
      <c r="AO110" s="368"/>
      <c r="AP110" s="368"/>
      <c r="AQ110" s="368"/>
      <c r="AR110" s="368"/>
      <c r="AS110" s="368"/>
      <c r="AT110" s="368"/>
      <c r="AU110" s="368"/>
      <c r="AV110" s="368"/>
      <c r="AW110" s="368"/>
      <c r="AX110" s="368"/>
      <c r="AY110" s="368"/>
      <c r="AZ110" s="368"/>
      <c r="BA110" s="368"/>
      <c r="BB110" s="368"/>
      <c r="BC110" s="368"/>
      <c r="BD110" s="368"/>
      <c r="BE110" s="368"/>
      <c r="BF110" s="368"/>
      <c r="BG110" s="368"/>
      <c r="BH110" s="368"/>
      <c r="BI110" s="368"/>
      <c r="BJ110" s="368"/>
      <c r="BK110" s="368"/>
      <c r="BL110" s="368"/>
      <c r="BM110" s="368"/>
      <c r="BN110" s="368"/>
      <c r="BO110" s="368"/>
      <c r="BP110" s="368"/>
      <c r="BQ110" s="368"/>
      <c r="BR110" s="368"/>
      <c r="BS110" s="368"/>
      <c r="BT110" s="368"/>
      <c r="BU110" s="368"/>
      <c r="BV110" s="368"/>
      <c r="BW110" s="368"/>
      <c r="BX110" s="368"/>
      <c r="BY110" s="368"/>
      <c r="BZ110" s="368"/>
      <c r="CA110" s="368"/>
      <c r="CB110" s="368"/>
      <c r="CC110" s="368"/>
      <c r="CD110" s="368"/>
      <c r="CE110" s="368"/>
      <c r="CF110" s="368"/>
      <c r="CG110" s="368"/>
      <c r="CH110" s="368"/>
      <c r="CI110" s="368"/>
      <c r="CJ110" s="368"/>
      <c r="CK110" s="368"/>
      <c r="CL110" s="368"/>
      <c r="CM110" s="368"/>
      <c r="CN110" s="368"/>
      <c r="CO110" s="368"/>
      <c r="CP110" s="368"/>
      <c r="CQ110" s="368"/>
      <c r="CR110" s="368"/>
      <c r="CS110" s="368"/>
      <c r="CT110" s="368"/>
      <c r="CU110" s="368"/>
      <c r="CV110" s="368"/>
      <c r="CW110" s="368"/>
      <c r="CX110" s="368"/>
      <c r="CY110" s="368"/>
      <c r="CZ110" s="368"/>
      <c r="DA110" s="368"/>
      <c r="DB110" s="368"/>
      <c r="DC110" s="368"/>
      <c r="DD110" s="368"/>
      <c r="DE110" s="368"/>
      <c r="DF110" s="368"/>
      <c r="DG110" s="368"/>
      <c r="DH110" s="368"/>
      <c r="DI110" s="368"/>
      <c r="DJ110" s="368"/>
      <c r="DK110" s="368"/>
      <c r="DL110" s="368"/>
      <c r="DM110" s="368"/>
      <c r="DN110" s="368"/>
      <c r="DO110" s="368"/>
      <c r="DP110" s="368"/>
      <c r="DQ110" s="368"/>
      <c r="DR110" s="368"/>
      <c r="DS110" s="368"/>
      <c r="DT110" s="368"/>
      <c r="DU110" s="368"/>
      <c r="DV110" s="368"/>
      <c r="DW110" s="368"/>
      <c r="DX110" s="368"/>
      <c r="DY110" s="368"/>
      <c r="DZ110" s="368"/>
      <c r="EA110" s="368"/>
      <c r="EB110" s="368"/>
      <c r="EC110" s="368"/>
      <c r="ED110" s="368"/>
      <c r="EE110" s="368"/>
      <c r="EF110" s="368"/>
      <c r="EG110" s="368"/>
      <c r="EH110" s="368"/>
      <c r="EI110" s="368"/>
      <c r="EJ110" s="368"/>
      <c r="EK110" s="368"/>
      <c r="EL110" s="368"/>
      <c r="EM110" s="368"/>
      <c r="EN110" s="368"/>
      <c r="EO110" s="368"/>
      <c r="EP110" s="368"/>
      <c r="EQ110" s="368"/>
      <c r="ER110" s="368"/>
      <c r="ES110" s="368"/>
      <c r="ET110" s="368"/>
      <c r="EU110" s="368"/>
      <c r="EV110" s="368"/>
      <c r="EW110" s="368"/>
      <c r="EX110" s="368"/>
      <c r="EY110" s="368"/>
      <c r="EZ110" s="368"/>
      <c r="FA110" s="368"/>
      <c r="FB110" s="368"/>
      <c r="FC110" s="368"/>
      <c r="FD110" s="368"/>
      <c r="FE110" s="368"/>
      <c r="FF110" s="368"/>
      <c r="FG110" s="368"/>
      <c r="FH110" s="368"/>
      <c r="FI110" s="368"/>
      <c r="FJ110" s="368"/>
      <c r="FK110" s="368"/>
      <c r="FL110" s="368"/>
      <c r="FM110" s="368"/>
      <c r="FN110" s="368"/>
      <c r="FO110" s="368"/>
      <c r="FP110" s="368"/>
      <c r="FQ110" s="368"/>
      <c r="FR110" s="368"/>
      <c r="FS110" s="368"/>
      <c r="FT110" s="368"/>
      <c r="FU110" s="368"/>
      <c r="FV110" s="368"/>
      <c r="FW110" s="368"/>
      <c r="FX110" s="368"/>
      <c r="FY110" s="368"/>
      <c r="FZ110" s="368"/>
      <c r="GA110" s="368"/>
      <c r="GB110" s="368"/>
      <c r="GC110" s="368"/>
      <c r="GD110" s="368"/>
      <c r="GE110" s="368"/>
      <c r="GF110" s="368"/>
      <c r="GG110" s="368"/>
      <c r="GH110" s="368"/>
      <c r="GI110" s="368"/>
      <c r="GJ110" s="368"/>
      <c r="GK110" s="368"/>
      <c r="GL110" s="368"/>
      <c r="GM110" s="368"/>
      <c r="GN110" s="368"/>
      <c r="GO110" s="368"/>
      <c r="GP110" s="368"/>
      <c r="GQ110" s="368"/>
      <c r="GR110" s="368"/>
      <c r="GS110" s="368"/>
      <c r="GT110" s="368"/>
      <c r="GU110" s="368"/>
      <c r="GV110" s="368"/>
      <c r="GW110" s="368"/>
      <c r="GX110" s="368"/>
      <c r="GY110" s="368"/>
      <c r="GZ110" s="368"/>
      <c r="HA110" s="368"/>
      <c r="HB110" s="368"/>
      <c r="HC110" s="368"/>
      <c r="HD110" s="368"/>
      <c r="HE110" s="368"/>
      <c r="HF110" s="368"/>
      <c r="HG110" s="368"/>
      <c r="HH110" s="368"/>
      <c r="HI110" s="368"/>
      <c r="HJ110" s="368"/>
      <c r="HK110" s="368"/>
      <c r="HL110" s="368"/>
      <c r="HM110" s="368"/>
      <c r="HN110" s="368"/>
      <c r="HO110" s="368"/>
      <c r="HP110" s="368"/>
      <c r="HQ110" s="368"/>
      <c r="HR110" s="368"/>
      <c r="HS110" s="368"/>
      <c r="HT110" s="368"/>
      <c r="HU110" s="368"/>
      <c r="HV110" s="368"/>
      <c r="HW110" s="368"/>
      <c r="HX110" s="368"/>
      <c r="HY110" s="368"/>
      <c r="HZ110" s="368"/>
      <c r="IA110" s="368"/>
      <c r="IB110" s="368"/>
      <c r="IC110" s="368"/>
      <c r="ID110" s="368"/>
      <c r="IE110" s="368"/>
      <c r="IF110" s="368"/>
      <c r="IG110" s="368"/>
      <c r="IH110" s="368"/>
      <c r="II110" s="368"/>
      <c r="IJ110" s="368"/>
      <c r="IK110" s="368"/>
      <c r="IL110" s="368"/>
      <c r="IM110" s="368"/>
      <c r="IN110" s="368"/>
      <c r="IO110" s="368"/>
      <c r="IP110" s="368"/>
      <c r="IQ110" s="368"/>
      <c r="IR110" s="368"/>
      <c r="IS110" s="368"/>
      <c r="IT110" s="368"/>
      <c r="IU110" s="368"/>
    </row>
    <row r="111" spans="2:255" ht="19.5" customHeight="1">
      <c r="B111" s="1017" t="s">
        <v>385</v>
      </c>
      <c r="C111" s="1017"/>
      <c r="D111" s="1017"/>
      <c r="E111" s="1017"/>
      <c r="F111" s="1017"/>
      <c r="G111" s="1017"/>
      <c r="H111" s="1017"/>
      <c r="I111" s="1017"/>
      <c r="J111" s="33"/>
      <c r="K111" s="33"/>
      <c r="L111" s="33"/>
      <c r="M111" s="33"/>
      <c r="N111" s="893"/>
      <c r="O111" s="893"/>
      <c r="P111" s="893"/>
      <c r="Q111" s="892"/>
      <c r="S111" s="368"/>
      <c r="T111" s="368"/>
      <c r="U111" s="368"/>
      <c r="V111" s="368"/>
      <c r="W111" s="368"/>
      <c r="X111" s="368"/>
      <c r="Y111" s="368"/>
      <c r="Z111" s="368"/>
      <c r="AA111" s="368"/>
      <c r="AB111" s="368"/>
      <c r="AC111" s="368"/>
      <c r="AD111" s="368"/>
      <c r="AE111" s="368"/>
      <c r="AF111" s="368"/>
      <c r="AG111" s="368"/>
      <c r="AH111" s="368"/>
      <c r="AI111" s="368"/>
      <c r="AJ111" s="368"/>
      <c r="AK111" s="368"/>
      <c r="AL111" s="368"/>
      <c r="AM111" s="368"/>
      <c r="AN111" s="368"/>
      <c r="AO111" s="368"/>
      <c r="AP111" s="368"/>
      <c r="AQ111" s="368"/>
      <c r="AR111" s="368"/>
      <c r="AS111" s="368"/>
      <c r="AT111" s="368"/>
      <c r="AU111" s="368"/>
      <c r="AV111" s="368"/>
      <c r="AW111" s="368"/>
      <c r="AX111" s="368"/>
      <c r="AY111" s="368"/>
      <c r="AZ111" s="368"/>
      <c r="BA111" s="368"/>
      <c r="BB111" s="368"/>
      <c r="BC111" s="368"/>
      <c r="BD111" s="368"/>
      <c r="BE111" s="368"/>
      <c r="BF111" s="368"/>
      <c r="BG111" s="368"/>
      <c r="BH111" s="368"/>
      <c r="BI111" s="368"/>
      <c r="BJ111" s="368"/>
      <c r="BK111" s="368"/>
      <c r="BL111" s="368"/>
      <c r="BM111" s="368"/>
      <c r="BN111" s="368"/>
      <c r="BO111" s="368"/>
      <c r="BP111" s="368"/>
      <c r="BQ111" s="368"/>
      <c r="BR111" s="368"/>
      <c r="BS111" s="368"/>
      <c r="BT111" s="368"/>
      <c r="BU111" s="368"/>
      <c r="BV111" s="368"/>
      <c r="BW111" s="368"/>
      <c r="BX111" s="368"/>
      <c r="BY111" s="368"/>
      <c r="BZ111" s="368"/>
      <c r="CA111" s="368"/>
      <c r="CB111" s="368"/>
      <c r="CC111" s="368"/>
      <c r="CD111" s="368"/>
      <c r="CE111" s="368"/>
      <c r="CF111" s="368"/>
      <c r="CG111" s="368"/>
      <c r="CH111" s="368"/>
      <c r="CI111" s="368"/>
      <c r="CJ111" s="368"/>
      <c r="CK111" s="368"/>
      <c r="CL111" s="368"/>
      <c r="CM111" s="368"/>
      <c r="CN111" s="368"/>
      <c r="CO111" s="368"/>
      <c r="CP111" s="368"/>
      <c r="CQ111" s="368"/>
      <c r="CR111" s="368"/>
      <c r="CS111" s="368"/>
      <c r="CT111" s="368"/>
      <c r="CU111" s="368"/>
      <c r="CV111" s="368"/>
      <c r="CW111" s="368"/>
      <c r="CX111" s="368"/>
      <c r="CY111" s="368"/>
      <c r="CZ111" s="368"/>
      <c r="DA111" s="368"/>
      <c r="DB111" s="368"/>
      <c r="DC111" s="368"/>
      <c r="DD111" s="368"/>
      <c r="DE111" s="368"/>
      <c r="DF111" s="368"/>
      <c r="DG111" s="368"/>
      <c r="DH111" s="368"/>
      <c r="DI111" s="368"/>
      <c r="DJ111" s="368"/>
      <c r="DK111" s="368"/>
      <c r="DL111" s="368"/>
      <c r="DM111" s="368"/>
      <c r="DN111" s="368"/>
      <c r="DO111" s="368"/>
      <c r="DP111" s="368"/>
      <c r="DQ111" s="368"/>
      <c r="DR111" s="368"/>
      <c r="DS111" s="368"/>
      <c r="DT111" s="368"/>
      <c r="DU111" s="368"/>
      <c r="DV111" s="368"/>
      <c r="DW111" s="368"/>
      <c r="DX111" s="368"/>
      <c r="DY111" s="368"/>
      <c r="DZ111" s="368"/>
      <c r="EA111" s="368"/>
      <c r="EB111" s="368"/>
      <c r="EC111" s="368"/>
      <c r="ED111" s="368"/>
      <c r="EE111" s="368"/>
      <c r="EF111" s="368"/>
      <c r="EG111" s="368"/>
      <c r="EH111" s="368"/>
      <c r="EI111" s="368"/>
      <c r="EJ111" s="368"/>
      <c r="EK111" s="368"/>
      <c r="EL111" s="368"/>
      <c r="EM111" s="368"/>
      <c r="EN111" s="368"/>
      <c r="EO111" s="368"/>
      <c r="EP111" s="368"/>
      <c r="EQ111" s="368"/>
      <c r="ER111" s="368"/>
      <c r="ES111" s="368"/>
      <c r="ET111" s="368"/>
      <c r="EU111" s="368"/>
      <c r="EV111" s="368"/>
      <c r="EW111" s="368"/>
      <c r="EX111" s="368"/>
      <c r="EY111" s="368"/>
      <c r="EZ111" s="368"/>
      <c r="FA111" s="368"/>
      <c r="FB111" s="368"/>
      <c r="FC111" s="368"/>
      <c r="FD111" s="368"/>
      <c r="FE111" s="368"/>
      <c r="FF111" s="368"/>
      <c r="FG111" s="368"/>
      <c r="FH111" s="368"/>
      <c r="FI111" s="368"/>
      <c r="FJ111" s="368"/>
      <c r="FK111" s="368"/>
      <c r="FL111" s="368"/>
      <c r="FM111" s="368"/>
      <c r="FN111" s="368"/>
      <c r="FO111" s="368"/>
      <c r="FP111" s="368"/>
      <c r="FQ111" s="368"/>
      <c r="FR111" s="368"/>
      <c r="FS111" s="368"/>
      <c r="FT111" s="368"/>
      <c r="FU111" s="368"/>
      <c r="FV111" s="368"/>
      <c r="FW111" s="368"/>
      <c r="FX111" s="368"/>
      <c r="FY111" s="368"/>
      <c r="FZ111" s="368"/>
      <c r="GA111" s="368"/>
      <c r="GB111" s="368"/>
      <c r="GC111" s="368"/>
      <c r="GD111" s="368"/>
      <c r="GE111" s="368"/>
      <c r="GF111" s="368"/>
      <c r="GG111" s="368"/>
      <c r="GH111" s="368"/>
      <c r="GI111" s="368"/>
      <c r="GJ111" s="368"/>
      <c r="GK111" s="368"/>
      <c r="GL111" s="368"/>
      <c r="GM111" s="368"/>
      <c r="GN111" s="368"/>
      <c r="GO111" s="368"/>
      <c r="GP111" s="368"/>
      <c r="GQ111" s="368"/>
      <c r="GR111" s="368"/>
      <c r="GS111" s="368"/>
      <c r="GT111" s="368"/>
      <c r="GU111" s="368"/>
      <c r="GV111" s="368"/>
      <c r="GW111" s="368"/>
      <c r="GX111" s="368"/>
      <c r="GY111" s="368"/>
      <c r="GZ111" s="368"/>
      <c r="HA111" s="368"/>
      <c r="HB111" s="368"/>
      <c r="HC111" s="368"/>
      <c r="HD111" s="368"/>
      <c r="HE111" s="368"/>
      <c r="HF111" s="368"/>
      <c r="HG111" s="368"/>
      <c r="HH111" s="368"/>
      <c r="HI111" s="368"/>
      <c r="HJ111" s="368"/>
      <c r="HK111" s="368"/>
      <c r="HL111" s="368"/>
      <c r="HM111" s="368"/>
      <c r="HN111" s="368"/>
      <c r="HO111" s="368"/>
      <c r="HP111" s="368"/>
      <c r="HQ111" s="368"/>
      <c r="HR111" s="368"/>
      <c r="HS111" s="368"/>
      <c r="HT111" s="368"/>
      <c r="HU111" s="368"/>
      <c r="HV111" s="368"/>
      <c r="HW111" s="368"/>
      <c r="HX111" s="368"/>
      <c r="HY111" s="368"/>
      <c r="HZ111" s="368"/>
      <c r="IA111" s="368"/>
      <c r="IB111" s="368"/>
      <c r="IC111" s="368"/>
      <c r="ID111" s="368"/>
      <c r="IE111" s="368"/>
      <c r="IF111" s="368"/>
      <c r="IG111" s="368"/>
      <c r="IH111" s="368"/>
      <c r="II111" s="368"/>
      <c r="IJ111" s="368"/>
      <c r="IK111" s="368"/>
      <c r="IL111" s="368"/>
      <c r="IM111" s="368"/>
      <c r="IN111" s="368"/>
      <c r="IO111" s="368"/>
      <c r="IP111" s="368"/>
      <c r="IQ111" s="368"/>
      <c r="IR111" s="368"/>
      <c r="IS111" s="368"/>
      <c r="IT111" s="368"/>
      <c r="IU111" s="368"/>
    </row>
    <row r="112" spans="2:255" ht="19.5" customHeight="1">
      <c r="B112" s="1017"/>
      <c r="C112" s="1017"/>
      <c r="D112" s="1017"/>
      <c r="E112" s="1017"/>
      <c r="F112" s="1017"/>
      <c r="G112" s="1017"/>
      <c r="H112" s="1017"/>
      <c r="I112" s="1017"/>
      <c r="J112" s="33"/>
      <c r="K112" s="33"/>
      <c r="L112" s="33"/>
      <c r="M112" s="33"/>
      <c r="N112" s="893"/>
      <c r="O112" s="893"/>
      <c r="P112" s="893"/>
      <c r="Q112" s="892"/>
      <c r="R112" s="18" t="str">
        <f>B108</f>
        <v>Tidak terdapat grounding di ruangan</v>
      </c>
      <c r="AD112" s="368"/>
      <c r="AE112" s="368"/>
      <c r="AF112" s="368"/>
      <c r="AG112" s="368"/>
      <c r="AH112" s="368"/>
      <c r="AI112" s="368"/>
      <c r="AJ112" s="368"/>
      <c r="AK112" s="368"/>
      <c r="AL112" s="368"/>
      <c r="AM112" s="368"/>
      <c r="AN112" s="368"/>
      <c r="AO112" s="368"/>
      <c r="AP112" s="368"/>
      <c r="AQ112" s="368"/>
      <c r="AR112" s="368"/>
      <c r="AS112" s="368"/>
      <c r="AT112" s="368"/>
      <c r="AU112" s="368"/>
      <c r="AV112" s="368"/>
      <c r="AW112" s="368"/>
      <c r="AX112" s="368"/>
      <c r="AY112" s="368"/>
      <c r="AZ112" s="368"/>
      <c r="BA112" s="368"/>
      <c r="BB112" s="368"/>
      <c r="BC112" s="368"/>
      <c r="BD112" s="368"/>
      <c r="BE112" s="368"/>
      <c r="BF112" s="368"/>
      <c r="BG112" s="368"/>
      <c r="BH112" s="368"/>
      <c r="BI112" s="368"/>
      <c r="BJ112" s="368"/>
      <c r="BK112" s="368"/>
      <c r="BL112" s="368"/>
      <c r="BM112" s="368"/>
      <c r="BN112" s="368"/>
      <c r="BO112" s="368"/>
      <c r="BP112" s="368"/>
      <c r="BQ112" s="368"/>
      <c r="BR112" s="368"/>
      <c r="BS112" s="368"/>
      <c r="BT112" s="368"/>
      <c r="BU112" s="368"/>
      <c r="BV112" s="368"/>
      <c r="BW112" s="368"/>
      <c r="BX112" s="368"/>
      <c r="BY112" s="368"/>
      <c r="BZ112" s="368"/>
      <c r="CA112" s="368"/>
      <c r="CB112" s="368"/>
      <c r="CC112" s="368"/>
      <c r="CD112" s="368"/>
      <c r="CE112" s="368"/>
      <c r="CF112" s="368"/>
      <c r="CG112" s="368"/>
      <c r="CH112" s="368"/>
      <c r="CI112" s="368"/>
      <c r="CJ112" s="368"/>
      <c r="CK112" s="368"/>
      <c r="CL112" s="368"/>
      <c r="CM112" s="368"/>
      <c r="CN112" s="368"/>
      <c r="CO112" s="368"/>
      <c r="CP112" s="368"/>
      <c r="CQ112" s="368"/>
      <c r="CR112" s="368"/>
      <c r="CS112" s="368"/>
      <c r="CT112" s="368"/>
      <c r="CU112" s="368"/>
      <c r="CV112" s="368"/>
      <c r="CW112" s="368"/>
      <c r="CX112" s="368"/>
      <c r="CY112" s="368"/>
      <c r="CZ112" s="368"/>
      <c r="DA112" s="368"/>
      <c r="DB112" s="368"/>
      <c r="DC112" s="368"/>
      <c r="DD112" s="368"/>
      <c r="DE112" s="368"/>
      <c r="DF112" s="368"/>
      <c r="DG112" s="368"/>
      <c r="DH112" s="368"/>
      <c r="DI112" s="368"/>
      <c r="DJ112" s="368"/>
      <c r="DK112" s="368"/>
      <c r="DL112" s="368"/>
      <c r="DM112" s="368"/>
      <c r="DN112" s="368"/>
      <c r="DO112" s="368"/>
      <c r="DP112" s="368"/>
      <c r="DQ112" s="368"/>
      <c r="DR112" s="368"/>
      <c r="DS112" s="368"/>
      <c r="DT112" s="368"/>
      <c r="DU112" s="368"/>
      <c r="DV112" s="368"/>
      <c r="DW112" s="368"/>
      <c r="DX112" s="368"/>
      <c r="DY112" s="368"/>
      <c r="DZ112" s="368"/>
      <c r="EA112" s="368"/>
      <c r="EB112" s="368"/>
      <c r="EC112" s="368"/>
      <c r="ED112" s="368"/>
      <c r="EE112" s="368"/>
      <c r="EF112" s="368"/>
      <c r="EG112" s="368"/>
      <c r="EH112" s="368"/>
      <c r="EI112" s="368"/>
      <c r="EJ112" s="368"/>
      <c r="EK112" s="368"/>
      <c r="EL112" s="368"/>
      <c r="EM112" s="368"/>
      <c r="EN112" s="368"/>
      <c r="EO112" s="368"/>
      <c r="EP112" s="368"/>
      <c r="EQ112" s="368"/>
      <c r="ER112" s="368"/>
      <c r="ES112" s="368"/>
      <c r="ET112" s="368"/>
      <c r="EU112" s="368"/>
      <c r="EV112" s="368"/>
      <c r="EW112" s="368"/>
      <c r="EX112" s="368"/>
      <c r="EY112" s="368"/>
      <c r="EZ112" s="368"/>
      <c r="FA112" s="368"/>
      <c r="FB112" s="368"/>
      <c r="FC112" s="368"/>
      <c r="FD112" s="368"/>
      <c r="FE112" s="368"/>
      <c r="FF112" s="368"/>
      <c r="FG112" s="368"/>
      <c r="FH112" s="368"/>
      <c r="FI112" s="368"/>
      <c r="FJ112" s="368"/>
      <c r="FK112" s="368"/>
      <c r="FL112" s="368"/>
      <c r="FM112" s="368"/>
      <c r="FN112" s="368"/>
      <c r="FO112" s="368"/>
      <c r="FP112" s="368"/>
      <c r="FQ112" s="368"/>
      <c r="FR112" s="368"/>
      <c r="FS112" s="368"/>
      <c r="FT112" s="368"/>
      <c r="FU112" s="368"/>
      <c r="FV112" s="368"/>
      <c r="FW112" s="368"/>
      <c r="FX112" s="368"/>
      <c r="FY112" s="368"/>
      <c r="FZ112" s="368"/>
      <c r="GA112" s="368"/>
      <c r="GB112" s="368"/>
      <c r="GC112" s="368"/>
      <c r="GD112" s="368"/>
      <c r="GE112" s="368"/>
      <c r="GF112" s="368"/>
      <c r="GG112" s="368"/>
      <c r="GH112" s="368"/>
      <c r="GI112" s="368"/>
      <c r="GJ112" s="368"/>
      <c r="GK112" s="368"/>
      <c r="GL112" s="368"/>
      <c r="GM112" s="368"/>
      <c r="GN112" s="368"/>
      <c r="GO112" s="368"/>
      <c r="GP112" s="368"/>
      <c r="GQ112" s="368"/>
      <c r="GR112" s="368"/>
      <c r="GS112" s="368"/>
      <c r="GT112" s="368"/>
      <c r="GU112" s="368"/>
      <c r="GV112" s="368"/>
      <c r="GW112" s="368"/>
      <c r="GX112" s="368"/>
      <c r="GY112" s="368"/>
      <c r="GZ112" s="368"/>
      <c r="HA112" s="368"/>
      <c r="HB112" s="368"/>
      <c r="HC112" s="368"/>
      <c r="HD112" s="368"/>
      <c r="HE112" s="368"/>
      <c r="HF112" s="368"/>
      <c r="HG112" s="368"/>
      <c r="HH112" s="368"/>
      <c r="HI112" s="368"/>
      <c r="HJ112" s="368"/>
      <c r="HK112" s="368"/>
      <c r="HL112" s="368"/>
      <c r="HM112" s="368"/>
      <c r="HN112" s="368"/>
      <c r="HO112" s="368"/>
      <c r="HP112" s="368"/>
      <c r="HQ112" s="368"/>
      <c r="HR112" s="368"/>
      <c r="HS112" s="368"/>
      <c r="HT112" s="368"/>
      <c r="HU112" s="368"/>
      <c r="HV112" s="368"/>
      <c r="HW112" s="368"/>
      <c r="HX112" s="368"/>
      <c r="HY112" s="368"/>
      <c r="HZ112" s="368"/>
      <c r="IA112" s="368"/>
      <c r="IB112" s="368"/>
      <c r="IC112" s="368"/>
      <c r="ID112" s="368"/>
      <c r="IE112" s="368"/>
      <c r="IF112" s="368"/>
      <c r="IG112" s="368"/>
      <c r="IH112" s="368"/>
      <c r="II112" s="368"/>
      <c r="IJ112" s="368"/>
      <c r="IK112" s="368"/>
      <c r="IL112" s="368"/>
      <c r="IM112" s="368"/>
      <c r="IN112" s="368"/>
      <c r="IO112" s="368"/>
      <c r="IP112" s="368"/>
      <c r="IQ112" s="368"/>
      <c r="IR112" s="368"/>
      <c r="IS112" s="368"/>
      <c r="IT112" s="368"/>
      <c r="IU112" s="368"/>
    </row>
    <row r="113" spans="2:255" ht="19.5" customHeight="1">
      <c r="B113" s="1023" t="s">
        <v>545</v>
      </c>
      <c r="C113" s="1023"/>
      <c r="D113" s="1023"/>
      <c r="E113" s="1023"/>
      <c r="F113" s="1023"/>
      <c r="G113" s="1023"/>
      <c r="H113" s="1023"/>
      <c r="I113" s="1023"/>
      <c r="J113" s="33"/>
      <c r="K113" s="33"/>
      <c r="L113" s="33"/>
      <c r="M113" s="33"/>
      <c r="N113" s="893"/>
      <c r="O113" s="893"/>
      <c r="P113" s="893"/>
      <c r="Q113" s="892"/>
      <c r="R113" s="18" t="str">
        <f ca="1">A2</f>
        <v>Nomor Sertifikat : 30 /</v>
      </c>
      <c r="AD113" s="368"/>
      <c r="AE113" s="368"/>
      <c r="AF113" s="368"/>
      <c r="AG113" s="368"/>
      <c r="AH113" s="368"/>
      <c r="AI113" s="368"/>
      <c r="AJ113" s="368"/>
      <c r="AK113" s="368"/>
      <c r="AL113" s="368"/>
      <c r="AM113" s="368"/>
      <c r="AN113" s="368"/>
      <c r="AO113" s="368"/>
      <c r="AP113" s="368"/>
      <c r="AQ113" s="368"/>
      <c r="AR113" s="368"/>
      <c r="AS113" s="368"/>
      <c r="AT113" s="368"/>
      <c r="AU113" s="368"/>
      <c r="AV113" s="368"/>
      <c r="AW113" s="368"/>
      <c r="AX113" s="368"/>
      <c r="AY113" s="368"/>
      <c r="AZ113" s="368"/>
      <c r="BA113" s="368"/>
      <c r="BB113" s="368"/>
      <c r="BC113" s="368"/>
      <c r="BD113" s="368"/>
      <c r="BE113" s="368"/>
      <c r="BF113" s="368"/>
      <c r="BG113" s="368"/>
      <c r="BH113" s="368"/>
      <c r="BI113" s="368"/>
      <c r="BJ113" s="368"/>
      <c r="BK113" s="368"/>
      <c r="BL113" s="368"/>
      <c r="BM113" s="368"/>
      <c r="BN113" s="368"/>
      <c r="BO113" s="368"/>
      <c r="BP113" s="368"/>
      <c r="BQ113" s="368"/>
      <c r="BR113" s="368"/>
      <c r="BS113" s="368"/>
      <c r="BT113" s="368"/>
      <c r="BU113" s="368"/>
      <c r="BV113" s="368"/>
      <c r="BW113" s="368"/>
      <c r="BX113" s="368"/>
      <c r="BY113" s="368"/>
      <c r="BZ113" s="368"/>
      <c r="CA113" s="368"/>
      <c r="CB113" s="368"/>
      <c r="CC113" s="368"/>
      <c r="CD113" s="368"/>
      <c r="CE113" s="368"/>
      <c r="CF113" s="368"/>
      <c r="CG113" s="368"/>
      <c r="CH113" s="368"/>
      <c r="CI113" s="368"/>
      <c r="CJ113" s="368"/>
      <c r="CK113" s="368"/>
      <c r="CL113" s="368"/>
      <c r="CM113" s="368"/>
      <c r="CN113" s="368"/>
      <c r="CO113" s="368"/>
      <c r="CP113" s="368"/>
      <c r="CQ113" s="368"/>
      <c r="CR113" s="368"/>
      <c r="CS113" s="368"/>
      <c r="CT113" s="368"/>
      <c r="CU113" s="368"/>
      <c r="CV113" s="368"/>
      <c r="CW113" s="368"/>
      <c r="CX113" s="368"/>
      <c r="CY113" s="368"/>
      <c r="CZ113" s="368"/>
      <c r="DA113" s="368"/>
      <c r="DB113" s="368"/>
      <c r="DC113" s="368"/>
      <c r="DD113" s="368"/>
      <c r="DE113" s="368"/>
      <c r="DF113" s="368"/>
      <c r="DG113" s="368"/>
      <c r="DH113" s="368"/>
      <c r="DI113" s="368"/>
      <c r="DJ113" s="368"/>
      <c r="DK113" s="368"/>
      <c r="DL113" s="368"/>
      <c r="DM113" s="368"/>
      <c r="DN113" s="368"/>
      <c r="DO113" s="368"/>
      <c r="DP113" s="368"/>
      <c r="DQ113" s="368"/>
      <c r="DR113" s="368"/>
      <c r="DS113" s="368"/>
      <c r="DT113" s="368"/>
      <c r="DU113" s="368"/>
      <c r="DV113" s="368"/>
      <c r="DW113" s="368"/>
      <c r="DX113" s="368"/>
      <c r="DY113" s="368"/>
      <c r="DZ113" s="368"/>
      <c r="EA113" s="368"/>
      <c r="EB113" s="368"/>
      <c r="EC113" s="368"/>
      <c r="ED113" s="368"/>
      <c r="EE113" s="368"/>
      <c r="EF113" s="368"/>
      <c r="EG113" s="368"/>
      <c r="EH113" s="368"/>
      <c r="EI113" s="368"/>
      <c r="EJ113" s="368"/>
      <c r="EK113" s="368"/>
      <c r="EL113" s="368"/>
      <c r="EM113" s="368"/>
      <c r="EN113" s="368"/>
      <c r="EO113" s="368"/>
      <c r="EP113" s="368"/>
      <c r="EQ113" s="368"/>
      <c r="ER113" s="368"/>
      <c r="ES113" s="368"/>
      <c r="ET113" s="368"/>
      <c r="EU113" s="368"/>
      <c r="EV113" s="368"/>
      <c r="EW113" s="368"/>
      <c r="EX113" s="368"/>
      <c r="EY113" s="368"/>
      <c r="EZ113" s="368"/>
      <c r="FA113" s="368"/>
      <c r="FB113" s="368"/>
      <c r="FC113" s="368"/>
      <c r="FD113" s="368"/>
      <c r="FE113" s="368"/>
      <c r="FF113" s="368"/>
      <c r="FG113" s="368"/>
      <c r="FH113" s="368"/>
      <c r="FI113" s="368"/>
      <c r="FJ113" s="368"/>
      <c r="FK113" s="368"/>
      <c r="FL113" s="368"/>
      <c r="FM113" s="368"/>
      <c r="FN113" s="368"/>
      <c r="FO113" s="368"/>
      <c r="FP113" s="368"/>
      <c r="FQ113" s="368"/>
      <c r="FR113" s="368"/>
      <c r="FS113" s="368"/>
      <c r="FT113" s="368"/>
      <c r="FU113" s="368"/>
      <c r="FV113" s="368"/>
      <c r="FW113" s="368"/>
      <c r="FX113" s="368"/>
      <c r="FY113" s="368"/>
      <c r="FZ113" s="368"/>
      <c r="GA113" s="368"/>
      <c r="GB113" s="368"/>
      <c r="GC113" s="368"/>
      <c r="GD113" s="368"/>
      <c r="GE113" s="368"/>
      <c r="GF113" s="368"/>
      <c r="GG113" s="368"/>
      <c r="GH113" s="368"/>
      <c r="GI113" s="368"/>
      <c r="GJ113" s="368"/>
      <c r="GK113" s="368"/>
      <c r="GL113" s="368"/>
      <c r="GM113" s="368"/>
      <c r="GN113" s="368"/>
      <c r="GO113" s="368"/>
      <c r="GP113" s="368"/>
      <c r="GQ113" s="368"/>
      <c r="GR113" s="368"/>
      <c r="GS113" s="368"/>
      <c r="GT113" s="368"/>
      <c r="GU113" s="368"/>
      <c r="GV113" s="368"/>
      <c r="GW113" s="368"/>
      <c r="GX113" s="368"/>
      <c r="GY113" s="368"/>
      <c r="GZ113" s="368"/>
      <c r="HA113" s="368"/>
      <c r="HB113" s="368"/>
      <c r="HC113" s="368"/>
      <c r="HD113" s="368"/>
      <c r="HE113" s="368"/>
      <c r="HF113" s="368"/>
      <c r="HG113" s="368"/>
      <c r="HH113" s="368"/>
      <c r="HI113" s="368"/>
      <c r="HJ113" s="368"/>
      <c r="HK113" s="368"/>
      <c r="HL113" s="368"/>
      <c r="HM113" s="368"/>
      <c r="HN113" s="368"/>
      <c r="HO113" s="368"/>
      <c r="HP113" s="368"/>
      <c r="HQ113" s="368"/>
      <c r="HR113" s="368"/>
      <c r="HS113" s="368"/>
      <c r="HT113" s="368"/>
      <c r="HU113" s="368"/>
      <c r="HV113" s="368"/>
      <c r="HW113" s="368"/>
      <c r="HX113" s="368"/>
      <c r="HY113" s="368"/>
      <c r="HZ113" s="368"/>
      <c r="IA113" s="368"/>
      <c r="IB113" s="368"/>
      <c r="IC113" s="368"/>
      <c r="ID113" s="368"/>
      <c r="IE113" s="368"/>
      <c r="IF113" s="368"/>
      <c r="IG113" s="368"/>
      <c r="IH113" s="368"/>
      <c r="II113" s="368"/>
      <c r="IJ113" s="368"/>
      <c r="IK113" s="368"/>
      <c r="IL113" s="368"/>
      <c r="IM113" s="368"/>
      <c r="IN113" s="368"/>
      <c r="IO113" s="368"/>
      <c r="IP113" s="368"/>
      <c r="IQ113" s="368"/>
      <c r="IR113" s="368"/>
      <c r="IS113" s="368"/>
      <c r="IT113" s="368"/>
      <c r="IU113" s="368"/>
    </row>
    <row r="114" spans="2:255" ht="19.5" customHeight="1">
      <c r="B114" s="1017" t="s">
        <v>490</v>
      </c>
      <c r="C114" s="1017"/>
      <c r="D114" s="1017"/>
      <c r="E114" s="1017"/>
      <c r="F114" s="1017"/>
      <c r="G114" s="1017"/>
      <c r="H114" s="1017"/>
      <c r="I114" s="1017"/>
      <c r="J114" s="33"/>
      <c r="K114" s="33"/>
      <c r="L114" s="33"/>
      <c r="M114" s="263"/>
      <c r="N114" s="893"/>
      <c r="O114" s="893"/>
      <c r="P114" s="893"/>
      <c r="AD114" s="368"/>
      <c r="AE114" s="368"/>
      <c r="AF114" s="368"/>
      <c r="AG114" s="368"/>
      <c r="AH114" s="368"/>
      <c r="AI114" s="368"/>
      <c r="AJ114" s="368"/>
      <c r="AK114" s="368"/>
      <c r="AL114" s="368"/>
      <c r="AM114" s="368"/>
      <c r="AN114" s="368"/>
      <c r="AO114" s="368"/>
      <c r="AP114" s="368"/>
      <c r="AQ114" s="368"/>
      <c r="AR114" s="368"/>
      <c r="AS114" s="368"/>
      <c r="AT114" s="368"/>
      <c r="AU114" s="368"/>
      <c r="AV114" s="368"/>
      <c r="AW114" s="368"/>
      <c r="AX114" s="368"/>
      <c r="AY114" s="368"/>
      <c r="AZ114" s="368"/>
      <c r="BA114" s="368"/>
      <c r="BB114" s="368"/>
      <c r="BC114" s="368"/>
      <c r="BD114" s="368"/>
      <c r="BE114" s="368"/>
      <c r="BF114" s="368"/>
      <c r="BG114" s="368"/>
      <c r="BH114" s="368"/>
      <c r="BI114" s="368"/>
      <c r="BJ114" s="368"/>
      <c r="BK114" s="368"/>
      <c r="BL114" s="368"/>
      <c r="BM114" s="368"/>
      <c r="BN114" s="368"/>
      <c r="BO114" s="368"/>
      <c r="BP114" s="368"/>
      <c r="BQ114" s="368"/>
      <c r="BR114" s="368"/>
      <c r="BS114" s="368"/>
      <c r="BT114" s="368"/>
      <c r="BU114" s="368"/>
      <c r="BV114" s="368"/>
      <c r="BW114" s="368"/>
      <c r="BX114" s="368"/>
      <c r="BY114" s="368"/>
      <c r="BZ114" s="368"/>
      <c r="CA114" s="368"/>
      <c r="CB114" s="368"/>
      <c r="CC114" s="368"/>
      <c r="CD114" s="368"/>
      <c r="CE114" s="368"/>
      <c r="CF114" s="368"/>
      <c r="CG114" s="368"/>
      <c r="CH114" s="368"/>
      <c r="CI114" s="368"/>
      <c r="CJ114" s="368"/>
      <c r="CK114" s="368"/>
      <c r="CL114" s="368"/>
      <c r="CM114" s="368"/>
      <c r="CN114" s="368"/>
      <c r="CO114" s="368"/>
      <c r="CP114" s="368"/>
      <c r="CQ114" s="368"/>
      <c r="CR114" s="368"/>
      <c r="CS114" s="368"/>
      <c r="CT114" s="368"/>
      <c r="CU114" s="368"/>
      <c r="CV114" s="368"/>
      <c r="CW114" s="368"/>
      <c r="CX114" s="368"/>
      <c r="CY114" s="368"/>
      <c r="CZ114" s="368"/>
      <c r="DA114" s="368"/>
      <c r="DB114" s="368"/>
      <c r="DC114" s="368"/>
      <c r="DD114" s="368"/>
      <c r="DE114" s="368"/>
      <c r="DF114" s="368"/>
      <c r="DG114" s="368"/>
      <c r="DH114" s="368"/>
      <c r="DI114" s="368"/>
      <c r="DJ114" s="368"/>
      <c r="DK114" s="368"/>
      <c r="DL114" s="368"/>
      <c r="DM114" s="368"/>
      <c r="DN114" s="368"/>
      <c r="DO114" s="368"/>
      <c r="DP114" s="368"/>
      <c r="DQ114" s="368"/>
      <c r="DR114" s="368"/>
      <c r="DS114" s="368"/>
      <c r="DT114" s="368"/>
      <c r="DU114" s="368"/>
      <c r="DV114" s="368"/>
      <c r="DW114" s="368"/>
      <c r="DX114" s="368"/>
      <c r="DY114" s="368"/>
      <c r="DZ114" s="368"/>
      <c r="EA114" s="368"/>
      <c r="EB114" s="368"/>
      <c r="EC114" s="368"/>
      <c r="ED114" s="368"/>
      <c r="EE114" s="368"/>
      <c r="EF114" s="368"/>
      <c r="EG114" s="368"/>
      <c r="EH114" s="368"/>
      <c r="EI114" s="368"/>
      <c r="EJ114" s="368"/>
      <c r="EK114" s="368"/>
      <c r="EL114" s="368"/>
      <c r="EM114" s="368"/>
      <c r="EN114" s="368"/>
      <c r="EO114" s="368"/>
      <c r="EP114" s="368"/>
      <c r="EQ114" s="368"/>
      <c r="ER114" s="368"/>
      <c r="ES114" s="368"/>
      <c r="ET114" s="368"/>
      <c r="EU114" s="368"/>
      <c r="EV114" s="368"/>
      <c r="EW114" s="368"/>
      <c r="EX114" s="368"/>
      <c r="EY114" s="368"/>
      <c r="EZ114" s="368"/>
      <c r="FA114" s="368"/>
      <c r="FB114" s="368"/>
      <c r="FC114" s="368"/>
      <c r="FD114" s="368"/>
      <c r="FE114" s="368"/>
      <c r="FF114" s="368"/>
      <c r="FG114" s="368"/>
      <c r="FH114" s="368"/>
      <c r="FI114" s="368"/>
      <c r="FJ114" s="368"/>
      <c r="FK114" s="368"/>
      <c r="FL114" s="368"/>
      <c r="FM114" s="368"/>
      <c r="FN114" s="368"/>
      <c r="FO114" s="368"/>
      <c r="FP114" s="368"/>
      <c r="FQ114" s="368"/>
      <c r="FR114" s="368"/>
      <c r="FS114" s="368"/>
      <c r="FT114" s="368"/>
      <c r="FU114" s="368"/>
      <c r="FV114" s="368"/>
      <c r="FW114" s="368"/>
      <c r="FX114" s="368"/>
      <c r="FY114" s="368"/>
      <c r="FZ114" s="368"/>
      <c r="GA114" s="368"/>
      <c r="GB114" s="368"/>
      <c r="GC114" s="368"/>
      <c r="GD114" s="368"/>
      <c r="GE114" s="368"/>
      <c r="GF114" s="368"/>
      <c r="GG114" s="368"/>
      <c r="GH114" s="368"/>
      <c r="GI114" s="368"/>
      <c r="GJ114" s="368"/>
      <c r="GK114" s="368"/>
      <c r="GL114" s="368"/>
      <c r="GM114" s="368"/>
      <c r="GN114" s="368"/>
      <c r="GO114" s="368"/>
      <c r="GP114" s="368"/>
      <c r="GQ114" s="368"/>
      <c r="GR114" s="368"/>
      <c r="GS114" s="368"/>
      <c r="GT114" s="368"/>
      <c r="GU114" s="368"/>
      <c r="GV114" s="368"/>
      <c r="GW114" s="368"/>
      <c r="GX114" s="368"/>
      <c r="GY114" s="368"/>
      <c r="GZ114" s="368"/>
      <c r="HA114" s="368"/>
      <c r="HB114" s="368"/>
      <c r="HC114" s="368"/>
      <c r="HD114" s="368"/>
      <c r="HE114" s="368"/>
      <c r="HF114" s="368"/>
      <c r="HG114" s="368"/>
      <c r="HH114" s="368"/>
      <c r="HI114" s="368"/>
      <c r="HJ114" s="368"/>
      <c r="HK114" s="368"/>
      <c r="HL114" s="368"/>
      <c r="HM114" s="368"/>
      <c r="HN114" s="368"/>
      <c r="HO114" s="368"/>
      <c r="HP114" s="368"/>
      <c r="HQ114" s="368"/>
      <c r="HR114" s="368"/>
      <c r="HS114" s="368"/>
      <c r="HT114" s="368"/>
      <c r="HU114" s="368"/>
      <c r="HV114" s="368"/>
      <c r="HW114" s="368"/>
      <c r="HX114" s="368"/>
      <c r="HY114" s="368"/>
      <c r="HZ114" s="368"/>
      <c r="IA114" s="368"/>
      <c r="IB114" s="368"/>
      <c r="IC114" s="368"/>
      <c r="ID114" s="368"/>
      <c r="IE114" s="368"/>
      <c r="IF114" s="368"/>
      <c r="IG114" s="368"/>
      <c r="IH114" s="368"/>
      <c r="II114" s="368"/>
      <c r="IJ114" s="368"/>
      <c r="IK114" s="368"/>
      <c r="IL114" s="368"/>
      <c r="IM114" s="368"/>
      <c r="IN114" s="368"/>
      <c r="IO114" s="368"/>
      <c r="IP114" s="368"/>
      <c r="IQ114" s="368"/>
      <c r="IR114" s="368"/>
      <c r="IS114" s="368"/>
      <c r="IT114" s="368"/>
      <c r="IU114" s="368"/>
    </row>
    <row r="115" spans="2:255" ht="16.5" customHeight="1">
      <c r="F115" s="23"/>
      <c r="G115" s="23"/>
      <c r="H115" s="23"/>
      <c r="M115" s="21"/>
      <c r="N115" s="893"/>
      <c r="O115" s="42"/>
      <c r="P115" s="1022"/>
      <c r="AD115" s="368"/>
      <c r="AE115" s="368"/>
      <c r="AF115" s="368"/>
      <c r="AG115" s="368"/>
      <c r="AH115" s="368"/>
      <c r="AI115" s="368"/>
      <c r="AJ115" s="368"/>
      <c r="AK115" s="368"/>
      <c r="AL115" s="368"/>
      <c r="AM115" s="368"/>
      <c r="AN115" s="368"/>
      <c r="AO115" s="368"/>
      <c r="AP115" s="368"/>
      <c r="AQ115" s="368"/>
      <c r="AR115" s="368"/>
      <c r="AS115" s="368"/>
      <c r="AT115" s="368"/>
      <c r="AU115" s="368"/>
      <c r="AV115" s="368"/>
      <c r="AW115" s="368"/>
      <c r="AX115" s="368"/>
      <c r="AY115" s="368"/>
      <c r="AZ115" s="368"/>
      <c r="BA115" s="368"/>
      <c r="BB115" s="368"/>
      <c r="BC115" s="368"/>
      <c r="BD115" s="368"/>
      <c r="BE115" s="368"/>
      <c r="BF115" s="368"/>
      <c r="BG115" s="368"/>
      <c r="BH115" s="368"/>
      <c r="BI115" s="368"/>
      <c r="BJ115" s="368"/>
      <c r="BK115" s="368"/>
      <c r="BL115" s="368"/>
      <c r="BM115" s="368"/>
      <c r="BN115" s="368"/>
      <c r="BO115" s="368"/>
      <c r="BP115" s="368"/>
      <c r="BQ115" s="368"/>
      <c r="BR115" s="368"/>
      <c r="BS115" s="368"/>
      <c r="BT115" s="368"/>
      <c r="BU115" s="368"/>
      <c r="BV115" s="368"/>
      <c r="BW115" s="368"/>
      <c r="BX115" s="368"/>
      <c r="BY115" s="368"/>
      <c r="BZ115" s="368"/>
      <c r="CA115" s="368"/>
      <c r="CB115" s="368"/>
      <c r="CC115" s="368"/>
      <c r="CD115" s="368"/>
      <c r="CE115" s="368"/>
      <c r="CF115" s="368"/>
      <c r="CG115" s="368"/>
      <c r="CH115" s="368"/>
      <c r="CI115" s="368"/>
      <c r="CJ115" s="368"/>
      <c r="CK115" s="368"/>
      <c r="CL115" s="368"/>
      <c r="CM115" s="368"/>
      <c r="CN115" s="368"/>
      <c r="CO115" s="368"/>
      <c r="CP115" s="368"/>
      <c r="CQ115" s="368"/>
      <c r="CR115" s="368"/>
      <c r="CS115" s="368"/>
      <c r="CT115" s="368"/>
      <c r="CU115" s="368"/>
      <c r="CV115" s="368"/>
      <c r="CW115" s="368"/>
      <c r="CX115" s="368"/>
      <c r="CY115" s="368"/>
      <c r="CZ115" s="368"/>
      <c r="DA115" s="368"/>
      <c r="DB115" s="368"/>
      <c r="DC115" s="368"/>
      <c r="DD115" s="368"/>
      <c r="DE115" s="368"/>
      <c r="DF115" s="368"/>
      <c r="DG115" s="368"/>
      <c r="DH115" s="368"/>
      <c r="DI115" s="368"/>
      <c r="DJ115" s="368"/>
      <c r="DK115" s="368"/>
      <c r="DL115" s="368"/>
      <c r="DM115" s="368"/>
      <c r="DN115" s="368"/>
      <c r="DO115" s="368"/>
      <c r="DP115" s="368"/>
      <c r="DQ115" s="368"/>
      <c r="DR115" s="368"/>
      <c r="DS115" s="368"/>
      <c r="DT115" s="368"/>
      <c r="DU115" s="368"/>
      <c r="DV115" s="368"/>
      <c r="DW115" s="368"/>
      <c r="DX115" s="368"/>
      <c r="DY115" s="368"/>
      <c r="DZ115" s="368"/>
      <c r="EA115" s="368"/>
      <c r="EB115" s="368"/>
      <c r="EC115" s="368"/>
      <c r="ED115" s="368"/>
      <c r="EE115" s="368"/>
      <c r="EF115" s="368"/>
      <c r="EG115" s="368"/>
      <c r="EH115" s="368"/>
      <c r="EI115" s="368"/>
      <c r="EJ115" s="368"/>
      <c r="EK115" s="368"/>
      <c r="EL115" s="368"/>
      <c r="EM115" s="368"/>
      <c r="EN115" s="368"/>
      <c r="EO115" s="368"/>
      <c r="EP115" s="368"/>
      <c r="EQ115" s="368"/>
      <c r="ER115" s="368"/>
      <c r="ES115" s="368"/>
      <c r="ET115" s="368"/>
      <c r="EU115" s="368"/>
      <c r="EV115" s="368"/>
      <c r="EW115" s="368"/>
      <c r="EX115" s="368"/>
      <c r="EY115" s="368"/>
      <c r="EZ115" s="368"/>
      <c r="FA115" s="368"/>
      <c r="FB115" s="368"/>
      <c r="FC115" s="368"/>
      <c r="FD115" s="368"/>
      <c r="FE115" s="368"/>
      <c r="FF115" s="368"/>
      <c r="FG115" s="368"/>
      <c r="FH115" s="368"/>
      <c r="FI115" s="368"/>
      <c r="FJ115" s="368"/>
      <c r="FK115" s="368"/>
      <c r="FL115" s="368"/>
      <c r="FM115" s="368"/>
      <c r="FN115" s="368"/>
      <c r="FO115" s="368"/>
      <c r="FP115" s="368"/>
      <c r="FQ115" s="368"/>
      <c r="FR115" s="368"/>
      <c r="FS115" s="368"/>
      <c r="FT115" s="368"/>
      <c r="FU115" s="368"/>
      <c r="FV115" s="368"/>
      <c r="FW115" s="368"/>
      <c r="FX115" s="368"/>
      <c r="FY115" s="368"/>
      <c r="FZ115" s="368"/>
      <c r="GA115" s="368"/>
      <c r="GB115" s="368"/>
      <c r="GC115" s="368"/>
      <c r="GD115" s="368"/>
      <c r="GE115" s="368"/>
      <c r="GF115" s="368"/>
      <c r="GG115" s="368"/>
      <c r="GH115" s="368"/>
      <c r="GI115" s="368"/>
      <c r="GJ115" s="368"/>
      <c r="GK115" s="368"/>
      <c r="GL115" s="368"/>
      <c r="GM115" s="368"/>
      <c r="GN115" s="368"/>
      <c r="GO115" s="368"/>
      <c r="GP115" s="368"/>
      <c r="GQ115" s="368"/>
      <c r="GR115" s="368"/>
      <c r="GS115" s="368"/>
      <c r="GT115" s="368"/>
      <c r="GU115" s="368"/>
      <c r="GV115" s="368"/>
      <c r="GW115" s="368"/>
      <c r="GX115" s="368"/>
      <c r="GY115" s="368"/>
      <c r="GZ115" s="368"/>
      <c r="HA115" s="368"/>
      <c r="HB115" s="368"/>
      <c r="HC115" s="368"/>
      <c r="HD115" s="368"/>
      <c r="HE115" s="368"/>
      <c r="HF115" s="368"/>
      <c r="HG115" s="368"/>
      <c r="HH115" s="368"/>
      <c r="HI115" s="368"/>
      <c r="HJ115" s="368"/>
      <c r="HK115" s="368"/>
      <c r="HL115" s="368"/>
      <c r="HM115" s="368"/>
      <c r="HN115" s="368"/>
      <c r="HO115" s="368"/>
      <c r="HP115" s="368"/>
      <c r="HQ115" s="368"/>
      <c r="HR115" s="368"/>
      <c r="HS115" s="368"/>
      <c r="HT115" s="368"/>
      <c r="HU115" s="368"/>
      <c r="HV115" s="368"/>
      <c r="HW115" s="368"/>
      <c r="HX115" s="368"/>
      <c r="HY115" s="368"/>
      <c r="HZ115" s="368"/>
      <c r="IA115" s="368"/>
      <c r="IB115" s="368"/>
      <c r="IC115" s="368"/>
      <c r="ID115" s="368"/>
      <c r="IE115" s="368"/>
      <c r="IF115" s="368"/>
      <c r="IG115" s="368"/>
      <c r="IH115" s="368"/>
      <c r="II115" s="368"/>
      <c r="IJ115" s="368"/>
      <c r="IK115" s="368"/>
      <c r="IL115" s="368"/>
      <c r="IM115" s="368"/>
      <c r="IN115" s="368"/>
      <c r="IO115" s="368"/>
      <c r="IP115" s="368"/>
      <c r="IQ115" s="368"/>
      <c r="IR115" s="368"/>
      <c r="IS115" s="368"/>
      <c r="IT115" s="368"/>
      <c r="IU115" s="368"/>
    </row>
    <row r="116" spans="2:255" ht="19.5" customHeight="1">
      <c r="B116" s="39" t="s">
        <v>249</v>
      </c>
      <c r="F116" s="23"/>
      <c r="G116" s="23"/>
      <c r="H116" s="23"/>
      <c r="N116" s="893"/>
      <c r="O116" s="42"/>
      <c r="P116" s="1022"/>
      <c r="AD116" s="368"/>
      <c r="AE116" s="368"/>
      <c r="AF116" s="368"/>
      <c r="AG116" s="368"/>
      <c r="AH116" s="368"/>
      <c r="AI116" s="368"/>
      <c r="AJ116" s="368"/>
      <c r="AK116" s="368"/>
      <c r="AL116" s="368"/>
      <c r="AM116" s="368"/>
      <c r="AN116" s="368"/>
      <c r="AO116" s="368"/>
      <c r="AP116" s="368"/>
      <c r="AQ116" s="368"/>
      <c r="AR116" s="368"/>
      <c r="AS116" s="368"/>
      <c r="AT116" s="368"/>
      <c r="AU116" s="368"/>
      <c r="AV116" s="368"/>
      <c r="AW116" s="368"/>
      <c r="AX116" s="368"/>
      <c r="AY116" s="368"/>
      <c r="AZ116" s="368"/>
      <c r="BA116" s="368"/>
      <c r="BB116" s="368"/>
      <c r="BC116" s="368"/>
      <c r="BD116" s="368"/>
      <c r="BE116" s="368"/>
      <c r="BF116" s="368"/>
      <c r="BG116" s="368"/>
      <c r="BH116" s="368"/>
      <c r="BI116" s="368"/>
      <c r="BJ116" s="368"/>
      <c r="BK116" s="368"/>
      <c r="BL116" s="368"/>
      <c r="BM116" s="368"/>
      <c r="BN116" s="368"/>
      <c r="BO116" s="368"/>
      <c r="BP116" s="368"/>
      <c r="BQ116" s="368"/>
      <c r="BR116" s="368"/>
      <c r="BS116" s="368"/>
      <c r="BT116" s="368"/>
      <c r="BU116" s="368"/>
      <c r="BV116" s="368"/>
      <c r="BW116" s="368"/>
      <c r="BX116" s="368"/>
      <c r="BY116" s="368"/>
      <c r="BZ116" s="368"/>
      <c r="CA116" s="368"/>
      <c r="CB116" s="368"/>
      <c r="CC116" s="368"/>
      <c r="CD116" s="368"/>
      <c r="CE116" s="368"/>
      <c r="CF116" s="368"/>
      <c r="CG116" s="368"/>
      <c r="CH116" s="368"/>
      <c r="CI116" s="368"/>
      <c r="CJ116" s="368"/>
      <c r="CK116" s="368"/>
      <c r="CL116" s="368"/>
      <c r="CM116" s="368"/>
      <c r="CN116" s="368"/>
      <c r="CO116" s="368"/>
      <c r="CP116" s="368"/>
      <c r="CQ116" s="368"/>
      <c r="CR116" s="368"/>
      <c r="CS116" s="368"/>
      <c r="CT116" s="368"/>
      <c r="CU116" s="368"/>
      <c r="CV116" s="368"/>
      <c r="CW116" s="368"/>
      <c r="CX116" s="368"/>
      <c r="CY116" s="368"/>
      <c r="CZ116" s="368"/>
      <c r="DA116" s="368"/>
      <c r="DB116" s="368"/>
      <c r="DC116" s="368"/>
      <c r="DD116" s="368"/>
      <c r="DE116" s="368"/>
      <c r="DF116" s="368"/>
      <c r="DG116" s="368"/>
      <c r="DH116" s="368"/>
      <c r="DI116" s="368"/>
      <c r="DJ116" s="368"/>
      <c r="DK116" s="368"/>
      <c r="DL116" s="368"/>
      <c r="DM116" s="368"/>
      <c r="DN116" s="368"/>
      <c r="DO116" s="368"/>
      <c r="DP116" s="368"/>
      <c r="DQ116" s="368"/>
      <c r="DR116" s="368"/>
      <c r="DS116" s="368"/>
      <c r="DT116" s="368"/>
      <c r="DU116" s="368"/>
      <c r="DV116" s="368"/>
      <c r="DW116" s="368"/>
      <c r="DX116" s="368"/>
      <c r="DY116" s="368"/>
      <c r="DZ116" s="368"/>
      <c r="EA116" s="368"/>
      <c r="EB116" s="368"/>
      <c r="EC116" s="368"/>
      <c r="ED116" s="368"/>
      <c r="EE116" s="368"/>
      <c r="EF116" s="368"/>
      <c r="EG116" s="368"/>
      <c r="EH116" s="368"/>
      <c r="EI116" s="368"/>
      <c r="EJ116" s="368"/>
      <c r="EK116" s="368"/>
      <c r="EL116" s="368"/>
      <c r="EM116" s="368"/>
      <c r="EN116" s="368"/>
      <c r="EO116" s="368"/>
      <c r="EP116" s="368"/>
      <c r="EQ116" s="368"/>
      <c r="ER116" s="368"/>
      <c r="ES116" s="368"/>
      <c r="ET116" s="368"/>
      <c r="EU116" s="368"/>
      <c r="EV116" s="368"/>
      <c r="EW116" s="368"/>
      <c r="EX116" s="368"/>
      <c r="EY116" s="368"/>
      <c r="EZ116" s="368"/>
      <c r="FA116" s="368"/>
      <c r="FB116" s="368"/>
      <c r="FC116" s="368"/>
      <c r="FD116" s="368"/>
      <c r="FE116" s="368"/>
      <c r="FF116" s="368"/>
      <c r="FG116" s="368"/>
      <c r="FH116" s="368"/>
      <c r="FI116" s="368"/>
      <c r="FJ116" s="368"/>
      <c r="FK116" s="368"/>
      <c r="FL116" s="368"/>
      <c r="FM116" s="368"/>
      <c r="FN116" s="368"/>
      <c r="FO116" s="368"/>
      <c r="FP116" s="368"/>
      <c r="FQ116" s="368"/>
      <c r="FR116" s="368"/>
      <c r="FS116" s="368"/>
      <c r="FT116" s="368"/>
      <c r="FU116" s="368"/>
      <c r="FV116" s="368"/>
      <c r="FW116" s="368"/>
      <c r="FX116" s="368"/>
      <c r="FY116" s="368"/>
      <c r="FZ116" s="368"/>
      <c r="GA116" s="368"/>
      <c r="GB116" s="368"/>
      <c r="GC116" s="368"/>
      <c r="GD116" s="368"/>
      <c r="GE116" s="368"/>
      <c r="GF116" s="368"/>
      <c r="GG116" s="368"/>
      <c r="GH116" s="368"/>
      <c r="GI116" s="368"/>
      <c r="GJ116" s="368"/>
      <c r="GK116" s="368"/>
      <c r="GL116" s="368"/>
      <c r="GM116" s="368"/>
      <c r="GN116" s="368"/>
      <c r="GO116" s="368"/>
      <c r="GP116" s="368"/>
      <c r="GQ116" s="368"/>
      <c r="GR116" s="368"/>
      <c r="GS116" s="368"/>
      <c r="GT116" s="368"/>
      <c r="GU116" s="368"/>
      <c r="GV116" s="368"/>
      <c r="GW116" s="368"/>
      <c r="GX116" s="368"/>
      <c r="GY116" s="368"/>
      <c r="GZ116" s="368"/>
      <c r="HA116" s="368"/>
      <c r="HB116" s="368"/>
      <c r="HC116" s="368"/>
      <c r="HD116" s="368"/>
      <c r="HE116" s="368"/>
      <c r="HF116" s="368"/>
      <c r="HG116" s="368"/>
      <c r="HH116" s="368"/>
      <c r="HI116" s="368"/>
      <c r="HJ116" s="368"/>
      <c r="HK116" s="368"/>
      <c r="HL116" s="368"/>
      <c r="HM116" s="368"/>
      <c r="HN116" s="368"/>
      <c r="HO116" s="368"/>
      <c r="HP116" s="368"/>
      <c r="HQ116" s="368"/>
      <c r="HR116" s="368"/>
      <c r="HS116" s="368"/>
      <c r="HT116" s="368"/>
      <c r="HU116" s="368"/>
      <c r="HV116" s="368"/>
      <c r="HW116" s="368"/>
      <c r="HX116" s="368"/>
      <c r="HY116" s="368"/>
      <c r="HZ116" s="368"/>
      <c r="IA116" s="368"/>
      <c r="IB116" s="368"/>
      <c r="IC116" s="368"/>
      <c r="ID116" s="368"/>
      <c r="IE116" s="368"/>
      <c r="IF116" s="368"/>
      <c r="IG116" s="368"/>
      <c r="IH116" s="368"/>
      <c r="II116" s="368"/>
      <c r="IJ116" s="368"/>
      <c r="IK116" s="368"/>
      <c r="IL116" s="368"/>
      <c r="IM116" s="368"/>
      <c r="IN116" s="368"/>
      <c r="IO116" s="368"/>
      <c r="IP116" s="368"/>
      <c r="IQ116" s="368"/>
      <c r="IR116" s="368"/>
      <c r="IS116" s="368"/>
      <c r="IT116" s="368"/>
      <c r="IU116" s="368"/>
    </row>
    <row r="117" spans="2:255" ht="40.5" customHeight="1">
      <c r="B117" s="1024" t="str">
        <f ca="1">IF('Lembar Penyelia'!H67&gt;=70%,U7,U8)</f>
        <v>Alat yang dikalibrasi dalam batas toleransi dan dinyatakan LAIK PAKAI, dimana hasil atau skor akhir sama dengan atau melampaui 70% berdasarkan Keputusan Direktur Jenderal Pelayanan Kesehatan No : HK.02.02/V/0412/2020</v>
      </c>
      <c r="C117" s="1024"/>
      <c r="D117" s="1024"/>
      <c r="E117" s="1024"/>
      <c r="F117" s="1024"/>
      <c r="G117" s="1024"/>
      <c r="H117" s="1024"/>
      <c r="I117" s="1024"/>
      <c r="J117" s="1024"/>
      <c r="K117" s="1024"/>
      <c r="L117" s="1024"/>
      <c r="M117" s="1024"/>
      <c r="N117" s="1024"/>
      <c r="O117" s="1024"/>
      <c r="AD117" s="368"/>
      <c r="AE117" s="368"/>
      <c r="AF117" s="368"/>
      <c r="AG117" s="368"/>
      <c r="AH117" s="368"/>
      <c r="AI117" s="368"/>
      <c r="AJ117" s="368"/>
      <c r="AK117" s="368"/>
      <c r="AL117" s="368"/>
      <c r="AM117" s="368"/>
      <c r="AN117" s="368"/>
      <c r="AO117" s="368"/>
      <c r="AP117" s="368"/>
      <c r="AQ117" s="368"/>
      <c r="AR117" s="368"/>
      <c r="AS117" s="368"/>
      <c r="AT117" s="368"/>
      <c r="AU117" s="368"/>
      <c r="AV117" s="368"/>
      <c r="AW117" s="368"/>
      <c r="AX117" s="368"/>
      <c r="AY117" s="368"/>
      <c r="AZ117" s="368"/>
      <c r="BA117" s="368"/>
      <c r="BB117" s="368"/>
      <c r="BC117" s="368"/>
      <c r="BD117" s="368"/>
      <c r="BE117" s="368"/>
      <c r="BF117" s="368"/>
      <c r="BG117" s="368"/>
      <c r="BH117" s="368"/>
      <c r="BI117" s="368"/>
      <c r="BJ117" s="368"/>
      <c r="BK117" s="368"/>
      <c r="BL117" s="368"/>
      <c r="BM117" s="368"/>
      <c r="BN117" s="368"/>
      <c r="BO117" s="368"/>
      <c r="BP117" s="368"/>
      <c r="BQ117" s="368"/>
      <c r="BR117" s="368"/>
      <c r="BS117" s="368"/>
      <c r="BT117" s="368"/>
      <c r="BU117" s="368"/>
      <c r="BV117" s="368"/>
      <c r="BW117" s="368"/>
      <c r="BX117" s="368"/>
      <c r="BY117" s="368"/>
      <c r="BZ117" s="368"/>
      <c r="CA117" s="368"/>
      <c r="CB117" s="368"/>
      <c r="CC117" s="368"/>
      <c r="CD117" s="368"/>
      <c r="CE117" s="368"/>
      <c r="CF117" s="368"/>
      <c r="CG117" s="368"/>
      <c r="CH117" s="368"/>
      <c r="CI117" s="368"/>
      <c r="CJ117" s="368"/>
      <c r="CK117" s="368"/>
      <c r="CL117" s="368"/>
      <c r="CM117" s="368"/>
      <c r="CN117" s="368"/>
      <c r="CO117" s="368"/>
      <c r="CP117" s="368"/>
      <c r="CQ117" s="368"/>
      <c r="CR117" s="368"/>
      <c r="CS117" s="368"/>
      <c r="CT117" s="368"/>
      <c r="CU117" s="368"/>
      <c r="CV117" s="368"/>
      <c r="CW117" s="368"/>
      <c r="CX117" s="368"/>
      <c r="CY117" s="368"/>
      <c r="CZ117" s="368"/>
      <c r="DA117" s="368"/>
      <c r="DB117" s="368"/>
      <c r="DC117" s="368"/>
      <c r="DD117" s="368"/>
      <c r="DE117" s="368"/>
      <c r="DF117" s="368"/>
      <c r="DG117" s="368"/>
      <c r="DH117" s="368"/>
      <c r="DI117" s="368"/>
      <c r="DJ117" s="368"/>
      <c r="DK117" s="368"/>
      <c r="DL117" s="368"/>
      <c r="DM117" s="368"/>
      <c r="DN117" s="368"/>
      <c r="DO117" s="368"/>
      <c r="DP117" s="368"/>
      <c r="DQ117" s="368"/>
      <c r="DR117" s="368"/>
      <c r="DS117" s="368"/>
      <c r="DT117" s="368"/>
      <c r="DU117" s="368"/>
      <c r="DV117" s="368"/>
      <c r="DW117" s="368"/>
      <c r="DX117" s="368"/>
      <c r="DY117" s="368"/>
      <c r="DZ117" s="368"/>
      <c r="EA117" s="368"/>
      <c r="EB117" s="368"/>
      <c r="EC117" s="368"/>
      <c r="ED117" s="368"/>
      <c r="EE117" s="368"/>
      <c r="EF117" s="368"/>
      <c r="EG117" s="368"/>
      <c r="EH117" s="368"/>
      <c r="EI117" s="368"/>
      <c r="EJ117" s="368"/>
      <c r="EK117" s="368"/>
      <c r="EL117" s="368"/>
      <c r="EM117" s="368"/>
      <c r="EN117" s="368"/>
      <c r="EO117" s="368"/>
      <c r="EP117" s="368"/>
      <c r="EQ117" s="368"/>
      <c r="ER117" s="368"/>
      <c r="ES117" s="368"/>
      <c r="ET117" s="368"/>
      <c r="EU117" s="368"/>
      <c r="EV117" s="368"/>
      <c r="EW117" s="368"/>
      <c r="EX117" s="368"/>
      <c r="EY117" s="368"/>
      <c r="EZ117" s="368"/>
      <c r="FA117" s="368"/>
      <c r="FB117" s="368"/>
      <c r="FC117" s="368"/>
      <c r="FD117" s="368"/>
      <c r="FE117" s="368"/>
      <c r="FF117" s="368"/>
      <c r="FG117" s="368"/>
      <c r="FH117" s="368"/>
      <c r="FI117" s="368"/>
      <c r="FJ117" s="368"/>
      <c r="FK117" s="368"/>
      <c r="FL117" s="368"/>
      <c r="FM117" s="368"/>
      <c r="FN117" s="368"/>
      <c r="FO117" s="368"/>
      <c r="FP117" s="368"/>
      <c r="FQ117" s="368"/>
      <c r="FR117" s="368"/>
      <c r="FS117" s="368"/>
      <c r="FT117" s="368"/>
      <c r="FU117" s="368"/>
      <c r="FV117" s="368"/>
      <c r="FW117" s="368"/>
      <c r="FX117" s="368"/>
      <c r="FY117" s="368"/>
      <c r="FZ117" s="368"/>
      <c r="GA117" s="368"/>
      <c r="GB117" s="368"/>
      <c r="GC117" s="368"/>
      <c r="GD117" s="368"/>
      <c r="GE117" s="368"/>
      <c r="GF117" s="368"/>
      <c r="GG117" s="368"/>
      <c r="GH117" s="368"/>
      <c r="GI117" s="368"/>
      <c r="GJ117" s="368"/>
      <c r="GK117" s="368"/>
      <c r="GL117" s="368"/>
      <c r="GM117" s="368"/>
      <c r="GN117" s="368"/>
      <c r="GO117" s="368"/>
      <c r="GP117" s="368"/>
      <c r="GQ117" s="368"/>
      <c r="GR117" s="368"/>
      <c r="GS117" s="368"/>
      <c r="GT117" s="368"/>
      <c r="GU117" s="368"/>
      <c r="GV117" s="368"/>
      <c r="GW117" s="368"/>
      <c r="GX117" s="368"/>
      <c r="GY117" s="368"/>
      <c r="GZ117" s="368"/>
      <c r="HA117" s="368"/>
      <c r="HB117" s="368"/>
      <c r="HC117" s="368"/>
      <c r="HD117" s="368"/>
      <c r="HE117" s="368"/>
      <c r="HF117" s="368"/>
      <c r="HG117" s="368"/>
      <c r="HH117" s="368"/>
      <c r="HI117" s="368"/>
      <c r="HJ117" s="368"/>
      <c r="HK117" s="368"/>
      <c r="HL117" s="368"/>
      <c r="HM117" s="368"/>
      <c r="HN117" s="368"/>
      <c r="HO117" s="368"/>
      <c r="HP117" s="368"/>
      <c r="HQ117" s="368"/>
      <c r="HR117" s="368"/>
      <c r="HS117" s="368"/>
      <c r="HT117" s="368"/>
      <c r="HU117" s="368"/>
      <c r="HV117" s="368"/>
      <c r="HW117" s="368"/>
      <c r="HX117" s="368"/>
      <c r="HY117" s="368"/>
      <c r="HZ117" s="368"/>
      <c r="IA117" s="368"/>
      <c r="IB117" s="368"/>
      <c r="IC117" s="368"/>
      <c r="ID117" s="368"/>
      <c r="IE117" s="368"/>
      <c r="IF117" s="368"/>
      <c r="IG117" s="368"/>
      <c r="IH117" s="368"/>
      <c r="II117" s="368"/>
      <c r="IJ117" s="368"/>
      <c r="IK117" s="368"/>
      <c r="IL117" s="368"/>
      <c r="IM117" s="368"/>
      <c r="IN117" s="368"/>
      <c r="IO117" s="368"/>
      <c r="IP117" s="368"/>
      <c r="IQ117" s="368"/>
      <c r="IR117" s="368"/>
      <c r="IS117" s="368"/>
      <c r="IT117" s="368"/>
      <c r="IU117" s="368"/>
    </row>
    <row r="118" spans="2:255" ht="16.5" customHeight="1">
      <c r="F118" s="23"/>
      <c r="G118" s="23"/>
      <c r="H118" s="23"/>
      <c r="I118" s="894"/>
      <c r="AD118" s="368"/>
      <c r="AE118" s="368"/>
      <c r="AF118" s="368"/>
      <c r="AG118" s="368"/>
      <c r="AH118" s="368"/>
      <c r="AI118" s="368"/>
      <c r="AJ118" s="368"/>
      <c r="AK118" s="368"/>
      <c r="AL118" s="368"/>
      <c r="AM118" s="368"/>
      <c r="AN118" s="368"/>
      <c r="AO118" s="368"/>
      <c r="AP118" s="368"/>
      <c r="AQ118" s="368"/>
      <c r="AR118" s="368"/>
      <c r="AS118" s="368"/>
      <c r="AT118" s="368"/>
      <c r="AU118" s="368"/>
      <c r="AV118" s="368"/>
      <c r="AW118" s="368"/>
      <c r="AX118" s="368"/>
      <c r="AY118" s="368"/>
      <c r="AZ118" s="368"/>
      <c r="BA118" s="368"/>
      <c r="BB118" s="368"/>
      <c r="BC118" s="368"/>
      <c r="BD118" s="368"/>
      <c r="BE118" s="368"/>
      <c r="BF118" s="368"/>
      <c r="BG118" s="368"/>
      <c r="BH118" s="368"/>
      <c r="BI118" s="368"/>
      <c r="BJ118" s="368"/>
      <c r="BK118" s="368"/>
      <c r="BL118" s="368"/>
      <c r="BM118" s="368"/>
      <c r="BN118" s="368"/>
      <c r="BO118" s="368"/>
      <c r="BP118" s="368"/>
      <c r="BQ118" s="368"/>
      <c r="BR118" s="368"/>
      <c r="BS118" s="368"/>
      <c r="BT118" s="368"/>
      <c r="BU118" s="368"/>
      <c r="BV118" s="368"/>
      <c r="BW118" s="368"/>
      <c r="BX118" s="368"/>
      <c r="BY118" s="368"/>
      <c r="BZ118" s="368"/>
      <c r="CA118" s="368"/>
      <c r="CB118" s="368"/>
      <c r="CC118" s="368"/>
      <c r="CD118" s="368"/>
      <c r="CE118" s="368"/>
      <c r="CF118" s="368"/>
      <c r="CG118" s="368"/>
      <c r="CH118" s="368"/>
      <c r="CI118" s="368"/>
      <c r="CJ118" s="368"/>
      <c r="CK118" s="368"/>
      <c r="CL118" s="368"/>
      <c r="CM118" s="368"/>
      <c r="CN118" s="368"/>
      <c r="CO118" s="368"/>
      <c r="CP118" s="368"/>
      <c r="CQ118" s="368"/>
      <c r="CR118" s="368"/>
      <c r="CS118" s="368"/>
      <c r="CT118" s="368"/>
      <c r="CU118" s="368"/>
      <c r="CV118" s="368"/>
      <c r="CW118" s="368"/>
      <c r="CX118" s="368"/>
      <c r="CY118" s="368"/>
      <c r="CZ118" s="368"/>
      <c r="DA118" s="368"/>
      <c r="DB118" s="368"/>
      <c r="DC118" s="368"/>
      <c r="DD118" s="368"/>
      <c r="DE118" s="368"/>
      <c r="DF118" s="368"/>
      <c r="DG118" s="368"/>
      <c r="DH118" s="368"/>
      <c r="DI118" s="368"/>
      <c r="DJ118" s="368"/>
      <c r="DK118" s="368"/>
      <c r="DL118" s="368"/>
      <c r="DM118" s="368"/>
      <c r="DN118" s="368"/>
      <c r="DO118" s="368"/>
      <c r="DP118" s="368"/>
      <c r="DQ118" s="368"/>
      <c r="DR118" s="368"/>
      <c r="DS118" s="368"/>
      <c r="DT118" s="368"/>
      <c r="DU118" s="368"/>
      <c r="DV118" s="368"/>
      <c r="DW118" s="368"/>
      <c r="DX118" s="368"/>
      <c r="DY118" s="368"/>
      <c r="DZ118" s="368"/>
      <c r="EA118" s="368"/>
      <c r="EB118" s="368"/>
      <c r="EC118" s="368"/>
      <c r="ED118" s="368"/>
      <c r="EE118" s="368"/>
      <c r="EF118" s="368"/>
      <c r="EG118" s="368"/>
      <c r="EH118" s="368"/>
      <c r="EI118" s="368"/>
      <c r="EJ118" s="368"/>
      <c r="EK118" s="368"/>
      <c r="EL118" s="368"/>
      <c r="EM118" s="368"/>
      <c r="EN118" s="368"/>
      <c r="EO118" s="368"/>
      <c r="EP118" s="368"/>
      <c r="EQ118" s="368"/>
      <c r="ER118" s="368"/>
      <c r="ES118" s="368"/>
      <c r="ET118" s="368"/>
      <c r="EU118" s="368"/>
      <c r="EV118" s="368"/>
      <c r="EW118" s="368"/>
      <c r="EX118" s="368"/>
      <c r="EY118" s="368"/>
      <c r="EZ118" s="368"/>
      <c r="FA118" s="368"/>
      <c r="FB118" s="368"/>
      <c r="FC118" s="368"/>
      <c r="FD118" s="368"/>
      <c r="FE118" s="368"/>
      <c r="FF118" s="368"/>
      <c r="FG118" s="368"/>
      <c r="FH118" s="368"/>
      <c r="FI118" s="368"/>
      <c r="FJ118" s="368"/>
      <c r="FK118" s="368"/>
      <c r="FL118" s="368"/>
      <c r="FM118" s="368"/>
      <c r="FN118" s="368"/>
      <c r="FO118" s="368"/>
      <c r="FP118" s="368"/>
      <c r="FQ118" s="368"/>
      <c r="FR118" s="368"/>
      <c r="FS118" s="368"/>
      <c r="FT118" s="368"/>
      <c r="FU118" s="368"/>
      <c r="FV118" s="368"/>
      <c r="FW118" s="368"/>
      <c r="FX118" s="368"/>
      <c r="FY118" s="368"/>
      <c r="FZ118" s="368"/>
      <c r="GA118" s="368"/>
      <c r="GB118" s="368"/>
      <c r="GC118" s="368"/>
      <c r="GD118" s="368"/>
      <c r="GE118" s="368"/>
      <c r="GF118" s="368"/>
      <c r="GG118" s="368"/>
      <c r="GH118" s="368"/>
      <c r="GI118" s="368"/>
      <c r="GJ118" s="368"/>
      <c r="GK118" s="368"/>
      <c r="GL118" s="368"/>
      <c r="GM118" s="368"/>
      <c r="GN118" s="368"/>
      <c r="GO118" s="368"/>
      <c r="GP118" s="368"/>
      <c r="GQ118" s="368"/>
      <c r="GR118" s="368"/>
      <c r="GS118" s="368"/>
      <c r="GT118" s="368"/>
      <c r="GU118" s="368"/>
      <c r="GV118" s="368"/>
      <c r="GW118" s="368"/>
      <c r="GX118" s="368"/>
      <c r="GY118" s="368"/>
      <c r="GZ118" s="368"/>
      <c r="HA118" s="368"/>
      <c r="HB118" s="368"/>
      <c r="HC118" s="368"/>
      <c r="HD118" s="368"/>
      <c r="HE118" s="368"/>
      <c r="HF118" s="368"/>
      <c r="HG118" s="368"/>
      <c r="HH118" s="368"/>
      <c r="HI118" s="368"/>
      <c r="HJ118" s="368"/>
      <c r="HK118" s="368"/>
      <c r="HL118" s="368"/>
      <c r="HM118" s="368"/>
      <c r="HN118" s="368"/>
      <c r="HO118" s="368"/>
      <c r="HP118" s="368"/>
      <c r="HQ118" s="368"/>
      <c r="HR118" s="368"/>
      <c r="HS118" s="368"/>
      <c r="HT118" s="368"/>
      <c r="HU118" s="368"/>
      <c r="HV118" s="368"/>
      <c r="HW118" s="368"/>
      <c r="HX118" s="368"/>
      <c r="HY118" s="368"/>
      <c r="HZ118" s="368"/>
      <c r="IA118" s="368"/>
      <c r="IB118" s="368"/>
      <c r="IC118" s="368"/>
      <c r="ID118" s="368"/>
      <c r="IE118" s="368"/>
      <c r="IF118" s="368"/>
      <c r="IG118" s="368"/>
      <c r="IH118" s="368"/>
      <c r="II118" s="368"/>
      <c r="IJ118" s="368"/>
      <c r="IK118" s="368"/>
      <c r="IL118" s="368"/>
      <c r="IM118" s="368"/>
      <c r="IN118" s="368"/>
      <c r="IO118" s="368"/>
      <c r="IP118" s="368"/>
      <c r="IQ118" s="368"/>
      <c r="IR118" s="368"/>
      <c r="IS118" s="368"/>
      <c r="IT118" s="368"/>
      <c r="IU118" s="368"/>
    </row>
    <row r="119" spans="2:255" ht="20.149999999999999" customHeight="1">
      <c r="B119" s="12" t="s">
        <v>250</v>
      </c>
      <c r="F119" s="23"/>
      <c r="G119" s="23"/>
      <c r="H119" s="23"/>
      <c r="M119" s="38"/>
      <c r="AD119" s="368"/>
      <c r="AE119" s="368"/>
      <c r="AF119" s="368"/>
      <c r="AG119" s="368"/>
      <c r="AH119" s="368"/>
      <c r="AI119" s="368"/>
      <c r="AJ119" s="368"/>
      <c r="AK119" s="368"/>
      <c r="AL119" s="368"/>
      <c r="AM119" s="368"/>
      <c r="AN119" s="368"/>
      <c r="AO119" s="368"/>
      <c r="AP119" s="368"/>
      <c r="AQ119" s="368"/>
      <c r="AR119" s="368"/>
      <c r="AS119" s="368"/>
      <c r="AT119" s="368"/>
      <c r="AU119" s="368"/>
      <c r="AV119" s="368"/>
      <c r="AW119" s="368"/>
      <c r="AX119" s="368"/>
      <c r="AY119" s="368"/>
      <c r="AZ119" s="368"/>
      <c r="BA119" s="368"/>
      <c r="BB119" s="368"/>
      <c r="BC119" s="368"/>
      <c r="BD119" s="368"/>
      <c r="BE119" s="368"/>
      <c r="BF119" s="368"/>
      <c r="BG119" s="368"/>
      <c r="BH119" s="368"/>
      <c r="BI119" s="368"/>
      <c r="BJ119" s="368"/>
      <c r="BK119" s="368"/>
      <c r="BL119" s="368"/>
      <c r="BM119" s="368"/>
      <c r="BN119" s="368"/>
      <c r="BO119" s="368"/>
      <c r="BP119" s="368"/>
      <c r="BQ119" s="368"/>
      <c r="BR119" s="368"/>
      <c r="BS119" s="368"/>
      <c r="BT119" s="368"/>
      <c r="BU119" s="368"/>
      <c r="BV119" s="368"/>
      <c r="BW119" s="368"/>
      <c r="BX119" s="368"/>
      <c r="BY119" s="368"/>
      <c r="BZ119" s="368"/>
      <c r="CA119" s="368"/>
      <c r="CB119" s="368"/>
      <c r="CC119" s="368"/>
      <c r="CD119" s="368"/>
      <c r="CE119" s="368"/>
      <c r="CF119" s="368"/>
      <c r="CG119" s="368"/>
      <c r="CH119" s="368"/>
      <c r="CI119" s="368"/>
      <c r="CJ119" s="368"/>
      <c r="CK119" s="368"/>
      <c r="CL119" s="368"/>
      <c r="CM119" s="368"/>
      <c r="CN119" s="368"/>
      <c r="CO119" s="368"/>
      <c r="CP119" s="368"/>
      <c r="CQ119" s="368"/>
      <c r="CR119" s="368"/>
      <c r="CS119" s="368"/>
      <c r="CT119" s="368"/>
      <c r="CU119" s="368"/>
      <c r="CV119" s="368"/>
      <c r="CW119" s="368"/>
      <c r="CX119" s="368"/>
      <c r="CY119" s="368"/>
      <c r="CZ119" s="368"/>
      <c r="DA119" s="368"/>
      <c r="DB119" s="368"/>
      <c r="DC119" s="368"/>
      <c r="DD119" s="368"/>
      <c r="DE119" s="368"/>
      <c r="DF119" s="368"/>
      <c r="DG119" s="368"/>
      <c r="DH119" s="368"/>
      <c r="DI119" s="368"/>
      <c r="DJ119" s="368"/>
      <c r="DK119" s="368"/>
      <c r="DL119" s="368"/>
      <c r="DM119" s="368"/>
      <c r="DN119" s="368"/>
      <c r="DO119" s="368"/>
      <c r="DP119" s="368"/>
      <c r="DQ119" s="368"/>
      <c r="DR119" s="368"/>
      <c r="DS119" s="368"/>
      <c r="DT119" s="368"/>
      <c r="DU119" s="368"/>
      <c r="DV119" s="368"/>
      <c r="DW119" s="368"/>
      <c r="DX119" s="368"/>
      <c r="DY119" s="368"/>
      <c r="DZ119" s="368"/>
      <c r="EA119" s="368"/>
      <c r="EB119" s="368"/>
      <c r="EC119" s="368"/>
      <c r="ED119" s="368"/>
      <c r="EE119" s="368"/>
      <c r="EF119" s="368"/>
      <c r="EG119" s="368"/>
      <c r="EH119" s="368"/>
      <c r="EI119" s="368"/>
      <c r="EJ119" s="368"/>
      <c r="EK119" s="368"/>
      <c r="EL119" s="368"/>
      <c r="EM119" s="368"/>
      <c r="EN119" s="368"/>
      <c r="EO119" s="368"/>
      <c r="EP119" s="368"/>
      <c r="EQ119" s="368"/>
      <c r="ER119" s="368"/>
      <c r="ES119" s="368"/>
      <c r="ET119" s="368"/>
      <c r="EU119" s="368"/>
      <c r="EV119" s="368"/>
      <c r="EW119" s="368"/>
      <c r="EX119" s="368"/>
      <c r="EY119" s="368"/>
      <c r="EZ119" s="368"/>
      <c r="FA119" s="368"/>
      <c r="FB119" s="368"/>
      <c r="FC119" s="368"/>
      <c r="FD119" s="368"/>
      <c r="FE119" s="368"/>
      <c r="FF119" s="368"/>
      <c r="FG119" s="368"/>
      <c r="FH119" s="368"/>
      <c r="FI119" s="368"/>
      <c r="FJ119" s="368"/>
      <c r="FK119" s="368"/>
      <c r="FL119" s="368"/>
      <c r="FM119" s="368"/>
      <c r="FN119" s="368"/>
      <c r="FO119" s="368"/>
      <c r="FP119" s="368"/>
      <c r="FQ119" s="368"/>
      <c r="FR119" s="368"/>
      <c r="FS119" s="368"/>
      <c r="FT119" s="368"/>
      <c r="FU119" s="368"/>
      <c r="FV119" s="368"/>
      <c r="FW119" s="368"/>
      <c r="FX119" s="368"/>
      <c r="FY119" s="368"/>
      <c r="FZ119" s="368"/>
      <c r="GA119" s="368"/>
      <c r="GB119" s="368"/>
      <c r="GC119" s="368"/>
      <c r="GD119" s="368"/>
      <c r="GE119" s="368"/>
      <c r="GF119" s="368"/>
      <c r="GG119" s="368"/>
      <c r="GH119" s="368"/>
      <c r="GI119" s="368"/>
      <c r="GJ119" s="368"/>
      <c r="GK119" s="368"/>
      <c r="GL119" s="368"/>
      <c r="GM119" s="368"/>
      <c r="GN119" s="368"/>
      <c r="GO119" s="368"/>
      <c r="GP119" s="368"/>
      <c r="GQ119" s="368"/>
      <c r="GR119" s="368"/>
      <c r="GS119" s="368"/>
      <c r="GT119" s="368"/>
      <c r="GU119" s="368"/>
      <c r="GV119" s="368"/>
      <c r="GW119" s="368"/>
      <c r="GX119" s="368"/>
      <c r="GY119" s="368"/>
      <c r="GZ119" s="368"/>
      <c r="HA119" s="368"/>
      <c r="HB119" s="368"/>
      <c r="HC119" s="368"/>
      <c r="HD119" s="368"/>
      <c r="HE119" s="368"/>
      <c r="HF119" s="368"/>
      <c r="HG119" s="368"/>
      <c r="HH119" s="368"/>
      <c r="HI119" s="368"/>
      <c r="HJ119" s="368"/>
      <c r="HK119" s="368"/>
      <c r="HL119" s="368"/>
      <c r="HM119" s="368"/>
      <c r="HN119" s="368"/>
      <c r="HO119" s="368"/>
      <c r="HP119" s="368"/>
      <c r="HQ119" s="368"/>
      <c r="HR119" s="368"/>
      <c r="HS119" s="368"/>
      <c r="HT119" s="368"/>
      <c r="HU119" s="368"/>
      <c r="HV119" s="368"/>
      <c r="HW119" s="368"/>
      <c r="HX119" s="368"/>
      <c r="HY119" s="368"/>
      <c r="HZ119" s="368"/>
      <c r="IA119" s="368"/>
      <c r="IB119" s="368"/>
      <c r="IC119" s="368"/>
      <c r="ID119" s="368"/>
      <c r="IE119" s="368"/>
      <c r="IF119" s="368"/>
      <c r="IG119" s="368"/>
      <c r="IH119" s="368"/>
      <c r="II119" s="368"/>
      <c r="IJ119" s="368"/>
      <c r="IK119" s="368"/>
      <c r="IL119" s="368"/>
      <c r="IM119" s="368"/>
      <c r="IN119" s="368"/>
      <c r="IO119" s="368"/>
      <c r="IP119" s="368"/>
      <c r="IQ119" s="368"/>
      <c r="IR119" s="368"/>
      <c r="IS119" s="368"/>
      <c r="IT119" s="368"/>
      <c r="IU119" s="368"/>
    </row>
    <row r="120" spans="2:255" ht="20.149999999999999" customHeight="1">
      <c r="B120" s="1017" t="s">
        <v>553</v>
      </c>
      <c r="C120" s="1017"/>
      <c r="D120" s="1017"/>
      <c r="E120" s="33"/>
      <c r="F120" s="53"/>
      <c r="G120" s="23"/>
      <c r="H120" s="23"/>
      <c r="M120" s="13"/>
      <c r="AD120" s="368"/>
      <c r="AE120" s="368"/>
      <c r="AF120" s="368"/>
      <c r="AG120" s="368"/>
      <c r="AH120" s="368"/>
      <c r="AI120" s="368"/>
      <c r="AJ120" s="368"/>
      <c r="AK120" s="368"/>
      <c r="AL120" s="368"/>
      <c r="AM120" s="368"/>
      <c r="AN120" s="368"/>
      <c r="AO120" s="368"/>
      <c r="AP120" s="368"/>
      <c r="AQ120" s="368"/>
      <c r="AR120" s="368"/>
      <c r="AS120" s="368"/>
      <c r="AT120" s="368"/>
      <c r="AU120" s="368"/>
      <c r="AV120" s="368"/>
      <c r="AW120" s="368"/>
      <c r="AX120" s="368"/>
      <c r="AY120" s="368"/>
      <c r="AZ120" s="368"/>
      <c r="BA120" s="368"/>
      <c r="BB120" s="368"/>
      <c r="BC120" s="368"/>
      <c r="BD120" s="368"/>
      <c r="BE120" s="368"/>
      <c r="BF120" s="368"/>
      <c r="BG120" s="368"/>
      <c r="BH120" s="368"/>
      <c r="BI120" s="368"/>
      <c r="BJ120" s="368"/>
      <c r="BK120" s="368"/>
      <c r="BL120" s="368"/>
      <c r="BM120" s="368"/>
      <c r="BN120" s="368"/>
      <c r="BO120" s="368"/>
      <c r="BP120" s="368"/>
      <c r="BQ120" s="368"/>
      <c r="BR120" s="368"/>
      <c r="BS120" s="368"/>
      <c r="BT120" s="368"/>
      <c r="BU120" s="368"/>
      <c r="BV120" s="368"/>
      <c r="BW120" s="368"/>
      <c r="BX120" s="368"/>
      <c r="BY120" s="368"/>
      <c r="BZ120" s="368"/>
      <c r="CA120" s="368"/>
      <c r="CB120" s="368"/>
      <c r="CC120" s="368"/>
      <c r="CD120" s="368"/>
      <c r="CE120" s="368"/>
      <c r="CF120" s="368"/>
      <c r="CG120" s="368"/>
      <c r="CH120" s="368"/>
      <c r="CI120" s="368"/>
      <c r="CJ120" s="368"/>
      <c r="CK120" s="368"/>
      <c r="CL120" s="368"/>
      <c r="CM120" s="368"/>
      <c r="CN120" s="368"/>
      <c r="CO120" s="368"/>
      <c r="CP120" s="368"/>
      <c r="CQ120" s="368"/>
      <c r="CR120" s="368"/>
      <c r="CS120" s="368"/>
      <c r="CT120" s="368"/>
      <c r="CU120" s="368"/>
      <c r="CV120" s="368"/>
      <c r="CW120" s="368"/>
      <c r="CX120" s="368"/>
      <c r="CY120" s="368"/>
      <c r="CZ120" s="368"/>
      <c r="DA120" s="368"/>
      <c r="DB120" s="368"/>
      <c r="DC120" s="368"/>
      <c r="DD120" s="368"/>
      <c r="DE120" s="368"/>
      <c r="DF120" s="368"/>
      <c r="DG120" s="368"/>
      <c r="DH120" s="368"/>
      <c r="DI120" s="368"/>
      <c r="DJ120" s="368"/>
      <c r="DK120" s="368"/>
      <c r="DL120" s="368"/>
      <c r="DM120" s="368"/>
      <c r="DN120" s="368"/>
      <c r="DO120" s="368"/>
      <c r="DP120" s="368"/>
      <c r="DQ120" s="368"/>
      <c r="DR120" s="368"/>
      <c r="DS120" s="368"/>
      <c r="DT120" s="368"/>
      <c r="DU120" s="368"/>
      <c r="DV120" s="368"/>
      <c r="DW120" s="368"/>
      <c r="DX120" s="368"/>
      <c r="DY120" s="368"/>
      <c r="DZ120" s="368"/>
      <c r="EA120" s="368"/>
      <c r="EB120" s="368"/>
      <c r="EC120" s="368"/>
      <c r="ED120" s="368"/>
      <c r="EE120" s="368"/>
      <c r="EF120" s="368"/>
      <c r="EG120" s="368"/>
      <c r="EH120" s="368"/>
      <c r="EI120" s="368"/>
      <c r="EJ120" s="368"/>
      <c r="EK120" s="368"/>
      <c r="EL120" s="368"/>
      <c r="EM120" s="368"/>
      <c r="EN120" s="368"/>
      <c r="EO120" s="368"/>
      <c r="EP120" s="368"/>
      <c r="EQ120" s="368"/>
      <c r="ER120" s="368"/>
      <c r="ES120" s="368"/>
      <c r="ET120" s="368"/>
      <c r="EU120" s="368"/>
      <c r="EV120" s="368"/>
      <c r="EW120" s="368"/>
      <c r="EX120" s="368"/>
      <c r="EY120" s="368"/>
      <c r="EZ120" s="368"/>
      <c r="FA120" s="368"/>
      <c r="FB120" s="368"/>
      <c r="FC120" s="368"/>
      <c r="FD120" s="368"/>
      <c r="FE120" s="368"/>
      <c r="FF120" s="368"/>
      <c r="FG120" s="368"/>
      <c r="FH120" s="368"/>
      <c r="FI120" s="368"/>
      <c r="FJ120" s="368"/>
      <c r="FK120" s="368"/>
      <c r="FL120" s="368"/>
      <c r="FM120" s="368"/>
      <c r="FN120" s="368"/>
      <c r="FO120" s="368"/>
      <c r="FP120" s="368"/>
      <c r="FQ120" s="368"/>
      <c r="FR120" s="368"/>
      <c r="FS120" s="368"/>
      <c r="FT120" s="368"/>
      <c r="FU120" s="368"/>
      <c r="FV120" s="368"/>
      <c r="FW120" s="368"/>
      <c r="FX120" s="368"/>
      <c r="FY120" s="368"/>
      <c r="FZ120" s="368"/>
      <c r="GA120" s="368"/>
      <c r="GB120" s="368"/>
      <c r="GC120" s="368"/>
      <c r="GD120" s="368"/>
      <c r="GE120" s="368"/>
      <c r="GF120" s="368"/>
      <c r="GG120" s="368"/>
      <c r="GH120" s="368"/>
      <c r="GI120" s="368"/>
      <c r="GJ120" s="368"/>
      <c r="GK120" s="368"/>
      <c r="GL120" s="368"/>
      <c r="GM120" s="368"/>
      <c r="GN120" s="368"/>
      <c r="GO120" s="368"/>
      <c r="GP120" s="368"/>
      <c r="GQ120" s="368"/>
      <c r="GR120" s="368"/>
      <c r="GS120" s="368"/>
      <c r="GT120" s="368"/>
      <c r="GU120" s="368"/>
      <c r="GV120" s="368"/>
      <c r="GW120" s="368"/>
      <c r="GX120" s="368"/>
      <c r="GY120" s="368"/>
      <c r="GZ120" s="368"/>
      <c r="HA120" s="368"/>
      <c r="HB120" s="368"/>
      <c r="HC120" s="368"/>
      <c r="HD120" s="368"/>
      <c r="HE120" s="368"/>
      <c r="HF120" s="368"/>
      <c r="HG120" s="368"/>
      <c r="HH120" s="368"/>
      <c r="HI120" s="368"/>
      <c r="HJ120" s="368"/>
      <c r="HK120" s="368"/>
      <c r="HL120" s="368"/>
      <c r="HM120" s="368"/>
      <c r="HN120" s="368"/>
      <c r="HO120" s="368"/>
      <c r="HP120" s="368"/>
      <c r="HQ120" s="368"/>
      <c r="HR120" s="368"/>
      <c r="HS120" s="368"/>
      <c r="HT120" s="368"/>
      <c r="HU120" s="368"/>
      <c r="HV120" s="368"/>
      <c r="HW120" s="368"/>
      <c r="HX120" s="368"/>
      <c r="HY120" s="368"/>
      <c r="HZ120" s="368"/>
      <c r="IA120" s="368"/>
      <c r="IB120" s="368"/>
      <c r="IC120" s="368"/>
      <c r="ID120" s="368"/>
      <c r="IE120" s="368"/>
      <c r="IF120" s="368"/>
      <c r="IG120" s="368"/>
      <c r="IH120" s="368"/>
      <c r="II120" s="368"/>
      <c r="IJ120" s="368"/>
      <c r="IK120" s="368"/>
      <c r="IL120" s="368"/>
      <c r="IM120" s="368"/>
      <c r="IN120" s="368"/>
      <c r="IO120" s="368"/>
      <c r="IP120" s="368"/>
      <c r="IQ120" s="368"/>
      <c r="IR120" s="368"/>
      <c r="IS120" s="368"/>
      <c r="IT120" s="368"/>
      <c r="IU120" s="368"/>
    </row>
    <row r="121" spans="2:255" ht="16.5" customHeight="1">
      <c r="B121" s="21"/>
      <c r="F121" s="23"/>
      <c r="G121" s="23"/>
      <c r="H121" s="23"/>
      <c r="AD121" s="368"/>
      <c r="AE121" s="368"/>
      <c r="AF121" s="368"/>
      <c r="AG121" s="368"/>
      <c r="AH121" s="368"/>
      <c r="AI121" s="368"/>
      <c r="AJ121" s="368"/>
      <c r="AK121" s="368"/>
      <c r="AL121" s="368"/>
      <c r="AM121" s="368"/>
      <c r="AN121" s="368"/>
      <c r="AO121" s="368"/>
      <c r="AP121" s="368"/>
      <c r="AQ121" s="368"/>
      <c r="AR121" s="368"/>
      <c r="AS121" s="368"/>
      <c r="AT121" s="368"/>
      <c r="AU121" s="368"/>
      <c r="AV121" s="368"/>
      <c r="AW121" s="368"/>
      <c r="AX121" s="368"/>
      <c r="AY121" s="368"/>
      <c r="AZ121" s="368"/>
      <c r="BA121" s="368"/>
      <c r="BB121" s="368"/>
      <c r="BC121" s="368"/>
      <c r="BD121" s="368"/>
      <c r="BE121" s="368"/>
      <c r="BF121" s="368"/>
      <c r="BG121" s="368"/>
      <c r="BH121" s="368"/>
      <c r="BI121" s="368"/>
      <c r="BJ121" s="368"/>
      <c r="BK121" s="368"/>
      <c r="BL121" s="368"/>
      <c r="BM121" s="368"/>
      <c r="BN121" s="368"/>
      <c r="BO121" s="368"/>
      <c r="BP121" s="368"/>
      <c r="BQ121" s="368"/>
      <c r="BR121" s="368"/>
      <c r="BS121" s="368"/>
      <c r="BT121" s="368"/>
      <c r="BU121" s="368"/>
      <c r="BV121" s="368"/>
      <c r="BW121" s="368"/>
      <c r="BX121" s="368"/>
      <c r="BY121" s="368"/>
      <c r="BZ121" s="368"/>
      <c r="CA121" s="368"/>
      <c r="CB121" s="368"/>
      <c r="CC121" s="368"/>
      <c r="CD121" s="368"/>
      <c r="CE121" s="368"/>
      <c r="CF121" s="368"/>
      <c r="CG121" s="368"/>
      <c r="CH121" s="368"/>
      <c r="CI121" s="368"/>
      <c r="CJ121" s="368"/>
      <c r="CK121" s="368"/>
      <c r="CL121" s="368"/>
      <c r="CM121" s="368"/>
      <c r="CN121" s="368"/>
      <c r="CO121" s="368"/>
      <c r="CP121" s="368"/>
      <c r="CQ121" s="368"/>
      <c r="CR121" s="368"/>
      <c r="CS121" s="368"/>
      <c r="CT121" s="368"/>
      <c r="CU121" s="368"/>
      <c r="CV121" s="368"/>
      <c r="CW121" s="368"/>
      <c r="CX121" s="368"/>
      <c r="CY121" s="368"/>
      <c r="CZ121" s="368"/>
      <c r="DA121" s="368"/>
      <c r="DB121" s="368"/>
      <c r="DC121" s="368"/>
      <c r="DD121" s="368"/>
      <c r="DE121" s="368"/>
      <c r="DF121" s="368"/>
      <c r="DG121" s="368"/>
      <c r="DH121" s="368"/>
      <c r="DI121" s="368"/>
      <c r="DJ121" s="368"/>
      <c r="DK121" s="368"/>
      <c r="DL121" s="368"/>
      <c r="DM121" s="368"/>
      <c r="DN121" s="368"/>
      <c r="DO121" s="368"/>
      <c r="DP121" s="368"/>
      <c r="DQ121" s="368"/>
      <c r="DR121" s="368"/>
      <c r="DS121" s="368"/>
      <c r="DT121" s="368"/>
      <c r="DU121" s="368"/>
      <c r="DV121" s="368"/>
      <c r="DW121" s="368"/>
      <c r="DX121" s="368"/>
      <c r="DY121" s="368"/>
      <c r="DZ121" s="368"/>
      <c r="EA121" s="368"/>
      <c r="EB121" s="368"/>
      <c r="EC121" s="368"/>
      <c r="ED121" s="368"/>
      <c r="EE121" s="368"/>
      <c r="EF121" s="368"/>
      <c r="EG121" s="368"/>
      <c r="EH121" s="368"/>
      <c r="EI121" s="368"/>
      <c r="EJ121" s="368"/>
      <c r="EK121" s="368"/>
      <c r="EL121" s="368"/>
      <c r="EM121" s="368"/>
      <c r="EN121" s="368"/>
      <c r="EO121" s="368"/>
      <c r="EP121" s="368"/>
      <c r="EQ121" s="368"/>
      <c r="ER121" s="368"/>
      <c r="ES121" s="368"/>
      <c r="ET121" s="368"/>
      <c r="EU121" s="368"/>
      <c r="EV121" s="368"/>
      <c r="EW121" s="368"/>
      <c r="EX121" s="368"/>
      <c r="EY121" s="368"/>
      <c r="EZ121" s="368"/>
      <c r="FA121" s="368"/>
      <c r="FB121" s="368"/>
      <c r="FC121" s="368"/>
      <c r="FD121" s="368"/>
      <c r="FE121" s="368"/>
      <c r="FF121" s="368"/>
      <c r="FG121" s="368"/>
      <c r="FH121" s="368"/>
      <c r="FI121" s="368"/>
      <c r="FJ121" s="368"/>
      <c r="FK121" s="368"/>
      <c r="FL121" s="368"/>
      <c r="FM121" s="368"/>
      <c r="FN121" s="368"/>
      <c r="FO121" s="368"/>
      <c r="FP121" s="368"/>
      <c r="FQ121" s="368"/>
      <c r="FR121" s="368"/>
      <c r="FS121" s="368"/>
      <c r="FT121" s="368"/>
      <c r="FU121" s="368"/>
      <c r="FV121" s="368"/>
      <c r="FW121" s="368"/>
      <c r="FX121" s="368"/>
      <c r="FY121" s="368"/>
      <c r="FZ121" s="368"/>
      <c r="GA121" s="368"/>
      <c r="GB121" s="368"/>
      <c r="GC121" s="368"/>
      <c r="GD121" s="368"/>
      <c r="GE121" s="368"/>
      <c r="GF121" s="368"/>
      <c r="GG121" s="368"/>
      <c r="GH121" s="368"/>
      <c r="GI121" s="368"/>
      <c r="GJ121" s="368"/>
      <c r="GK121" s="368"/>
      <c r="GL121" s="368"/>
      <c r="GM121" s="368"/>
      <c r="GN121" s="368"/>
      <c r="GO121" s="368"/>
      <c r="GP121" s="368"/>
      <c r="GQ121" s="368"/>
      <c r="GR121" s="368"/>
      <c r="GS121" s="368"/>
      <c r="GT121" s="368"/>
      <c r="GU121" s="368"/>
      <c r="GV121" s="368"/>
      <c r="GW121" s="368"/>
      <c r="GX121" s="368"/>
      <c r="GY121" s="368"/>
      <c r="GZ121" s="368"/>
      <c r="HA121" s="368"/>
      <c r="HB121" s="368"/>
      <c r="HC121" s="368"/>
      <c r="HD121" s="368"/>
      <c r="HE121" s="368"/>
      <c r="HF121" s="368"/>
      <c r="HG121" s="368"/>
      <c r="HH121" s="368"/>
      <c r="HI121" s="368"/>
      <c r="HJ121" s="368"/>
      <c r="HK121" s="368"/>
      <c r="HL121" s="368"/>
      <c r="HM121" s="368"/>
      <c r="HN121" s="368"/>
      <c r="HO121" s="368"/>
      <c r="HP121" s="368"/>
      <c r="HQ121" s="368"/>
      <c r="HR121" s="368"/>
      <c r="HS121" s="368"/>
      <c r="HT121" s="368"/>
      <c r="HU121" s="368"/>
      <c r="HV121" s="368"/>
      <c r="HW121" s="368"/>
      <c r="HX121" s="368"/>
      <c r="HY121" s="368"/>
      <c r="HZ121" s="368"/>
      <c r="IA121" s="368"/>
      <c r="IB121" s="368"/>
      <c r="IC121" s="368"/>
      <c r="ID121" s="368"/>
      <c r="IE121" s="368"/>
      <c r="IF121" s="368"/>
      <c r="IG121" s="368"/>
      <c r="IH121" s="368"/>
      <c r="II121" s="368"/>
      <c r="IJ121" s="368"/>
      <c r="IK121" s="368"/>
      <c r="IL121" s="368"/>
      <c r="IM121" s="368"/>
      <c r="IN121" s="368"/>
      <c r="IO121" s="368"/>
      <c r="IP121" s="368"/>
      <c r="IQ121" s="368"/>
      <c r="IR121" s="368"/>
      <c r="IS121" s="368"/>
      <c r="IT121" s="368"/>
      <c r="IU121" s="368"/>
    </row>
    <row r="122" spans="2:255" ht="20.149999999999999" customHeight="1">
      <c r="B122" s="23" t="s">
        <v>252</v>
      </c>
      <c r="E122" s="14"/>
      <c r="F122" s="14"/>
      <c r="G122" s="14"/>
      <c r="H122" s="14"/>
      <c r="I122" s="14"/>
      <c r="J122" s="14"/>
      <c r="K122" s="14"/>
      <c r="AD122" s="368"/>
      <c r="AE122" s="368"/>
      <c r="AF122" s="368"/>
      <c r="AG122" s="368"/>
      <c r="AH122" s="368"/>
      <c r="AI122" s="368"/>
      <c r="AJ122" s="368"/>
      <c r="AK122" s="368"/>
      <c r="AL122" s="368"/>
      <c r="AM122" s="368"/>
      <c r="AN122" s="368"/>
      <c r="AO122" s="368"/>
      <c r="AP122" s="368"/>
      <c r="AQ122" s="368"/>
      <c r="AR122" s="368"/>
      <c r="AS122" s="368"/>
      <c r="AT122" s="368"/>
      <c r="AU122" s="368"/>
      <c r="AV122" s="368"/>
      <c r="AW122" s="368"/>
      <c r="AX122" s="368"/>
      <c r="AY122" s="368"/>
      <c r="AZ122" s="368"/>
      <c r="BA122" s="368"/>
      <c r="BB122" s="368"/>
      <c r="BC122" s="368"/>
      <c r="BD122" s="368"/>
      <c r="BE122" s="368"/>
      <c r="BF122" s="368"/>
      <c r="BG122" s="368"/>
      <c r="BH122" s="368"/>
      <c r="BI122" s="368"/>
      <c r="BJ122" s="368"/>
      <c r="BK122" s="368"/>
      <c r="BL122" s="368"/>
      <c r="BM122" s="368"/>
      <c r="BN122" s="368"/>
      <c r="BO122" s="368"/>
      <c r="BP122" s="368"/>
      <c r="BQ122" s="368"/>
      <c r="BR122" s="368"/>
      <c r="BS122" s="368"/>
      <c r="BT122" s="368"/>
      <c r="BU122" s="368"/>
      <c r="BV122" s="368"/>
      <c r="BW122" s="368"/>
      <c r="BX122" s="368"/>
      <c r="BY122" s="368"/>
      <c r="BZ122" s="368"/>
      <c r="CA122" s="368"/>
      <c r="CB122" s="368"/>
      <c r="CC122" s="368"/>
      <c r="CD122" s="368"/>
      <c r="CE122" s="368"/>
      <c r="CF122" s="368"/>
      <c r="CG122" s="368"/>
      <c r="CH122" s="368"/>
      <c r="CI122" s="368"/>
      <c r="CJ122" s="368"/>
      <c r="CK122" s="368"/>
      <c r="CL122" s="368"/>
      <c r="CM122" s="368"/>
      <c r="CN122" s="368"/>
      <c r="CO122" s="368"/>
      <c r="CP122" s="368"/>
      <c r="CQ122" s="368"/>
      <c r="CR122" s="368"/>
      <c r="CS122" s="368"/>
      <c r="CT122" s="368"/>
      <c r="CU122" s="368"/>
      <c r="CV122" s="368"/>
      <c r="CW122" s="368"/>
      <c r="CX122" s="368"/>
      <c r="CY122" s="368"/>
      <c r="CZ122" s="368"/>
      <c r="DA122" s="368"/>
      <c r="DB122" s="368"/>
      <c r="DC122" s="368"/>
      <c r="DD122" s="368"/>
      <c r="DE122" s="368"/>
      <c r="DF122" s="368"/>
      <c r="DG122" s="368"/>
      <c r="DH122" s="368"/>
      <c r="DI122" s="368"/>
      <c r="DJ122" s="368"/>
      <c r="DK122" s="368"/>
      <c r="DL122" s="368"/>
      <c r="DM122" s="368"/>
      <c r="DN122" s="368"/>
      <c r="DO122" s="368"/>
      <c r="DP122" s="368"/>
      <c r="DQ122" s="368"/>
      <c r="DR122" s="368"/>
      <c r="DS122" s="368"/>
      <c r="DT122" s="368"/>
      <c r="DU122" s="368"/>
      <c r="DV122" s="368"/>
      <c r="DW122" s="368"/>
      <c r="DX122" s="368"/>
      <c r="DY122" s="368"/>
      <c r="DZ122" s="368"/>
      <c r="EA122" s="368"/>
      <c r="EB122" s="368"/>
      <c r="EC122" s="368"/>
      <c r="ED122" s="368"/>
      <c r="EE122" s="368"/>
      <c r="EF122" s="368"/>
      <c r="EG122" s="368"/>
      <c r="EH122" s="368"/>
      <c r="EI122" s="368"/>
      <c r="EJ122" s="368"/>
      <c r="EK122" s="368"/>
      <c r="EL122" s="368"/>
      <c r="EM122" s="368"/>
      <c r="EN122" s="368"/>
      <c r="EO122" s="368"/>
      <c r="EP122" s="368"/>
      <c r="EQ122" s="368"/>
      <c r="ER122" s="368"/>
      <c r="ES122" s="368"/>
      <c r="ET122" s="368"/>
      <c r="EU122" s="368"/>
      <c r="EV122" s="368"/>
      <c r="EW122" s="368"/>
      <c r="EX122" s="368"/>
      <c r="EY122" s="368"/>
      <c r="EZ122" s="368"/>
      <c r="FA122" s="368"/>
      <c r="FB122" s="368"/>
      <c r="FC122" s="368"/>
      <c r="FD122" s="368"/>
      <c r="FE122" s="368"/>
      <c r="FF122" s="368"/>
      <c r="FG122" s="368"/>
      <c r="FH122" s="368"/>
      <c r="FI122" s="368"/>
      <c r="FJ122" s="368"/>
      <c r="FK122" s="368"/>
      <c r="FL122" s="368"/>
      <c r="FM122" s="368"/>
      <c r="FN122" s="368"/>
      <c r="FO122" s="368"/>
      <c r="FP122" s="368"/>
      <c r="FQ122" s="368"/>
      <c r="FR122" s="368"/>
      <c r="FS122" s="368"/>
      <c r="FT122" s="368"/>
      <c r="FU122" s="368"/>
      <c r="FV122" s="368"/>
      <c r="FW122" s="368"/>
      <c r="FX122" s="368"/>
      <c r="FY122" s="368"/>
      <c r="FZ122" s="368"/>
      <c r="GA122" s="368"/>
      <c r="GB122" s="368"/>
      <c r="GC122" s="368"/>
      <c r="GD122" s="368"/>
      <c r="GE122" s="368"/>
      <c r="GF122" s="368"/>
      <c r="GG122" s="368"/>
      <c r="GH122" s="368"/>
      <c r="GI122" s="368"/>
      <c r="GJ122" s="368"/>
      <c r="GK122" s="368"/>
      <c r="GL122" s="368"/>
      <c r="GM122" s="368"/>
      <c r="GN122" s="368"/>
      <c r="GO122" s="368"/>
      <c r="GP122" s="368"/>
      <c r="GQ122" s="368"/>
      <c r="GR122" s="368"/>
      <c r="GS122" s="368"/>
      <c r="GT122" s="368"/>
      <c r="GU122" s="368"/>
      <c r="GV122" s="368"/>
      <c r="GW122" s="368"/>
      <c r="GX122" s="368"/>
      <c r="GY122" s="368"/>
      <c r="GZ122" s="368"/>
      <c r="HA122" s="368"/>
      <c r="HB122" s="368"/>
      <c r="HC122" s="368"/>
      <c r="HD122" s="368"/>
      <c r="HE122" s="368"/>
      <c r="HF122" s="368"/>
      <c r="HG122" s="368"/>
      <c r="HH122" s="368"/>
      <c r="HI122" s="368"/>
      <c r="HJ122" s="368"/>
      <c r="HK122" s="368"/>
      <c r="HL122" s="368"/>
      <c r="HM122" s="368"/>
      <c r="HN122" s="368"/>
      <c r="HO122" s="368"/>
      <c r="HP122" s="368"/>
      <c r="HQ122" s="368"/>
      <c r="HR122" s="368"/>
      <c r="HS122" s="368"/>
      <c r="HT122" s="368"/>
      <c r="HU122" s="368"/>
      <c r="HV122" s="368"/>
      <c r="HW122" s="368"/>
      <c r="HX122" s="368"/>
      <c r="HY122" s="368"/>
      <c r="HZ122" s="368"/>
      <c r="IA122" s="368"/>
      <c r="IB122" s="368"/>
      <c r="IC122" s="368"/>
      <c r="ID122" s="368"/>
      <c r="IE122" s="368"/>
      <c r="IF122" s="368"/>
      <c r="IG122" s="368"/>
      <c r="IH122" s="368"/>
      <c r="II122" s="368"/>
      <c r="IJ122" s="368"/>
      <c r="IK122" s="368"/>
      <c r="IL122" s="368"/>
      <c r="IM122" s="368"/>
      <c r="IN122" s="368"/>
      <c r="IO122" s="368"/>
      <c r="IP122" s="368"/>
      <c r="IQ122" s="368"/>
      <c r="IR122" s="368"/>
      <c r="IS122" s="368"/>
      <c r="IT122" s="368"/>
      <c r="IU122" s="368"/>
    </row>
    <row r="123" spans="2:255" ht="20.149999999999999" customHeight="1">
      <c r="B123" s="1017" t="s">
        <v>649</v>
      </c>
      <c r="C123" s="1017"/>
      <c r="D123" s="1017"/>
      <c r="E123" s="1017"/>
      <c r="F123" s="1017"/>
      <c r="G123" s="1017"/>
      <c r="H123" s="1017"/>
      <c r="I123" s="1017"/>
      <c r="J123" s="1017"/>
      <c r="K123" s="1017"/>
      <c r="L123" s="1017"/>
      <c r="M123" s="1017"/>
      <c r="N123" s="1017"/>
      <c r="O123" s="15"/>
      <c r="Q123" s="25"/>
      <c r="AD123" s="368"/>
      <c r="AE123" s="368"/>
      <c r="AF123" s="368"/>
      <c r="AG123" s="368"/>
      <c r="AH123" s="368"/>
      <c r="AI123" s="368"/>
      <c r="AJ123" s="368"/>
      <c r="AK123" s="368"/>
      <c r="AL123" s="368"/>
      <c r="AM123" s="368"/>
      <c r="AN123" s="368"/>
      <c r="AO123" s="368"/>
      <c r="AP123" s="368"/>
      <c r="AQ123" s="368"/>
      <c r="AR123" s="368"/>
      <c r="AS123" s="368"/>
      <c r="AT123" s="368"/>
      <c r="AU123" s="368"/>
      <c r="AV123" s="368"/>
      <c r="AW123" s="368"/>
      <c r="AX123" s="368"/>
      <c r="AY123" s="368"/>
      <c r="AZ123" s="368"/>
      <c r="BA123" s="368"/>
      <c r="BB123" s="368"/>
      <c r="BC123" s="368"/>
      <c r="BD123" s="368"/>
      <c r="BE123" s="368"/>
      <c r="BF123" s="368"/>
      <c r="BG123" s="368"/>
      <c r="BH123" s="368"/>
      <c r="BI123" s="368"/>
      <c r="BJ123" s="368"/>
      <c r="BK123" s="368"/>
      <c r="BL123" s="368"/>
      <c r="BM123" s="368"/>
      <c r="BN123" s="368"/>
      <c r="BO123" s="368"/>
      <c r="BP123" s="368"/>
      <c r="BQ123" s="368"/>
      <c r="BR123" s="368"/>
      <c r="BS123" s="368"/>
      <c r="BT123" s="368"/>
      <c r="BU123" s="368"/>
      <c r="BV123" s="368"/>
      <c r="BW123" s="368"/>
      <c r="BX123" s="368"/>
      <c r="BY123" s="368"/>
      <c r="BZ123" s="368"/>
      <c r="CA123" s="368"/>
      <c r="CB123" s="368"/>
      <c r="CC123" s="368"/>
      <c r="CD123" s="368"/>
      <c r="CE123" s="368"/>
      <c r="CF123" s="368"/>
      <c r="CG123" s="368"/>
      <c r="CH123" s="368"/>
      <c r="CI123" s="368"/>
      <c r="CJ123" s="368"/>
      <c r="CK123" s="368"/>
      <c r="CL123" s="368"/>
      <c r="CM123" s="368"/>
      <c r="CN123" s="368"/>
      <c r="CO123" s="368"/>
      <c r="CP123" s="368"/>
      <c r="CQ123" s="368"/>
      <c r="CR123" s="368"/>
      <c r="CS123" s="368"/>
      <c r="CT123" s="368"/>
      <c r="CU123" s="368"/>
      <c r="CV123" s="368"/>
      <c r="CW123" s="368"/>
      <c r="CX123" s="368"/>
      <c r="CY123" s="368"/>
      <c r="CZ123" s="368"/>
      <c r="DA123" s="368"/>
      <c r="DB123" s="368"/>
      <c r="DC123" s="368"/>
      <c r="DD123" s="368"/>
      <c r="DE123" s="368"/>
      <c r="DF123" s="368"/>
      <c r="DG123" s="368"/>
      <c r="DH123" s="368"/>
      <c r="DI123" s="368"/>
      <c r="DJ123" s="368"/>
      <c r="DK123" s="368"/>
      <c r="DL123" s="368"/>
      <c r="DM123" s="368"/>
      <c r="DN123" s="368"/>
      <c r="DO123" s="368"/>
      <c r="DP123" s="368"/>
      <c r="DQ123" s="368"/>
      <c r="DR123" s="368"/>
      <c r="DS123" s="368"/>
      <c r="DT123" s="368"/>
      <c r="DU123" s="368"/>
      <c r="DV123" s="368"/>
      <c r="DW123" s="368"/>
      <c r="DX123" s="368"/>
      <c r="DY123" s="368"/>
      <c r="DZ123" s="368"/>
      <c r="EA123" s="368"/>
      <c r="EB123" s="368"/>
      <c r="EC123" s="368"/>
      <c r="ED123" s="368"/>
      <c r="EE123" s="368"/>
      <c r="EF123" s="368"/>
      <c r="EG123" s="368"/>
      <c r="EH123" s="368"/>
      <c r="EI123" s="368"/>
      <c r="EJ123" s="368"/>
      <c r="EK123" s="368"/>
      <c r="EL123" s="368"/>
      <c r="EM123" s="368"/>
      <c r="EN123" s="368"/>
      <c r="EO123" s="368"/>
      <c r="EP123" s="368"/>
      <c r="EQ123" s="368"/>
      <c r="ER123" s="368"/>
      <c r="ES123" s="368"/>
      <c r="ET123" s="368"/>
      <c r="EU123" s="368"/>
      <c r="EV123" s="368"/>
      <c r="EW123" s="368"/>
      <c r="EX123" s="368"/>
      <c r="EY123" s="368"/>
      <c r="EZ123" s="368"/>
      <c r="FA123" s="368"/>
      <c r="FB123" s="368"/>
      <c r="FC123" s="368"/>
      <c r="FD123" s="368"/>
      <c r="FE123" s="368"/>
      <c r="FF123" s="368"/>
      <c r="FG123" s="368"/>
      <c r="FH123" s="368"/>
      <c r="FI123" s="368"/>
      <c r="FJ123" s="368"/>
      <c r="FK123" s="368"/>
      <c r="FL123" s="368"/>
      <c r="FM123" s="368"/>
      <c r="FN123" s="368"/>
      <c r="FO123" s="368"/>
      <c r="FP123" s="368"/>
      <c r="FQ123" s="368"/>
      <c r="FR123" s="368"/>
      <c r="FS123" s="368"/>
      <c r="FT123" s="368"/>
      <c r="FU123" s="368"/>
      <c r="FV123" s="368"/>
      <c r="FW123" s="368"/>
      <c r="FX123" s="368"/>
      <c r="FY123" s="368"/>
      <c r="FZ123" s="368"/>
      <c r="GA123" s="368"/>
      <c r="GB123" s="368"/>
      <c r="GC123" s="368"/>
      <c r="GD123" s="368"/>
      <c r="GE123" s="368"/>
      <c r="GF123" s="368"/>
      <c r="GG123" s="368"/>
      <c r="GH123" s="368"/>
      <c r="GI123" s="368"/>
      <c r="GJ123" s="368"/>
      <c r="GK123" s="368"/>
      <c r="GL123" s="368"/>
      <c r="GM123" s="368"/>
      <c r="GN123" s="368"/>
      <c r="GO123" s="368"/>
      <c r="GP123" s="368"/>
      <c r="GQ123" s="368"/>
      <c r="GR123" s="368"/>
      <c r="GS123" s="368"/>
      <c r="GT123" s="368"/>
      <c r="GU123" s="368"/>
      <c r="GV123" s="368"/>
      <c r="GW123" s="368"/>
      <c r="GX123" s="368"/>
      <c r="GY123" s="368"/>
      <c r="GZ123" s="368"/>
      <c r="HA123" s="368"/>
      <c r="HB123" s="368"/>
      <c r="HC123" s="368"/>
      <c r="HD123" s="368"/>
      <c r="HE123" s="368"/>
      <c r="HF123" s="368"/>
      <c r="HG123" s="368"/>
      <c r="HH123" s="368"/>
      <c r="HI123" s="368"/>
      <c r="HJ123" s="368"/>
      <c r="HK123" s="368"/>
      <c r="HL123" s="368"/>
      <c r="HM123" s="368"/>
      <c r="HN123" s="368"/>
      <c r="HO123" s="368"/>
      <c r="HP123" s="368"/>
      <c r="HQ123" s="368"/>
      <c r="HR123" s="368"/>
      <c r="HS123" s="368"/>
      <c r="HT123" s="368"/>
      <c r="HU123" s="368"/>
      <c r="HV123" s="368"/>
      <c r="HW123" s="368"/>
      <c r="HX123" s="368"/>
      <c r="HY123" s="368"/>
      <c r="HZ123" s="368"/>
      <c r="IA123" s="368"/>
      <c r="IB123" s="368"/>
      <c r="IC123" s="368"/>
      <c r="ID123" s="368"/>
      <c r="IE123" s="368"/>
      <c r="IF123" s="368"/>
      <c r="IG123" s="368"/>
      <c r="IH123" s="368"/>
      <c r="II123" s="368"/>
      <c r="IJ123" s="368"/>
      <c r="IK123" s="368"/>
      <c r="IL123" s="368"/>
      <c r="IM123" s="368"/>
      <c r="IN123" s="368"/>
      <c r="IO123" s="368"/>
      <c r="IP123" s="368"/>
      <c r="IQ123" s="368"/>
      <c r="IR123" s="368"/>
      <c r="IS123" s="368"/>
      <c r="IT123" s="368"/>
      <c r="IU123" s="368"/>
    </row>
    <row r="124" spans="2:255" ht="20.25" customHeight="1">
      <c r="N124" s="15"/>
      <c r="O124" s="15"/>
      <c r="Q124" s="25"/>
      <c r="AD124" s="368"/>
      <c r="AE124" s="368"/>
      <c r="AF124" s="368"/>
      <c r="AG124" s="368"/>
      <c r="AH124" s="368"/>
      <c r="AI124" s="368"/>
      <c r="AJ124" s="368"/>
      <c r="AK124" s="368"/>
      <c r="AL124" s="368"/>
      <c r="AM124" s="368"/>
      <c r="AN124" s="368"/>
      <c r="AO124" s="368"/>
      <c r="AP124" s="368"/>
      <c r="AQ124" s="368"/>
      <c r="AR124" s="368"/>
      <c r="AS124" s="368"/>
      <c r="AT124" s="368"/>
      <c r="AU124" s="368"/>
      <c r="AV124" s="368"/>
      <c r="AW124" s="368"/>
      <c r="AX124" s="368"/>
      <c r="AY124" s="368"/>
      <c r="AZ124" s="368"/>
      <c r="BA124" s="368"/>
      <c r="BB124" s="368"/>
      <c r="BC124" s="368"/>
      <c r="BD124" s="368"/>
      <c r="BE124" s="368"/>
      <c r="BF124" s="368"/>
      <c r="BG124" s="368"/>
      <c r="BH124" s="368"/>
      <c r="BI124" s="368"/>
      <c r="BJ124" s="368"/>
      <c r="BK124" s="368"/>
      <c r="BL124" s="368"/>
      <c r="BM124" s="368"/>
      <c r="BN124" s="368"/>
      <c r="BO124" s="368"/>
      <c r="BP124" s="368"/>
      <c r="BQ124" s="368"/>
      <c r="BR124" s="368"/>
      <c r="BS124" s="368"/>
      <c r="BT124" s="368"/>
      <c r="BU124" s="368"/>
      <c r="BV124" s="368"/>
      <c r="BW124" s="368"/>
      <c r="BX124" s="368"/>
      <c r="BY124" s="368"/>
      <c r="BZ124" s="368"/>
      <c r="CA124" s="368"/>
      <c r="CB124" s="368"/>
      <c r="CC124" s="368"/>
      <c r="CD124" s="368"/>
      <c r="CE124" s="368"/>
      <c r="CF124" s="368"/>
      <c r="CG124" s="368"/>
      <c r="CH124" s="368"/>
      <c r="CI124" s="368"/>
      <c r="CJ124" s="368"/>
      <c r="CK124" s="368"/>
      <c r="CL124" s="368"/>
      <c r="CM124" s="368"/>
      <c r="CN124" s="368"/>
      <c r="CO124" s="368"/>
      <c r="CP124" s="368"/>
      <c r="CQ124" s="368"/>
      <c r="CR124" s="368"/>
      <c r="CS124" s="368"/>
      <c r="CT124" s="368"/>
      <c r="CU124" s="368"/>
      <c r="CV124" s="368"/>
      <c r="CW124" s="368"/>
      <c r="CX124" s="368"/>
      <c r="CY124" s="368"/>
      <c r="CZ124" s="368"/>
      <c r="DA124" s="368"/>
      <c r="DB124" s="368"/>
      <c r="DC124" s="368"/>
      <c r="DD124" s="368"/>
      <c r="DE124" s="368"/>
      <c r="DF124" s="368"/>
      <c r="DG124" s="368"/>
      <c r="DH124" s="368"/>
      <c r="DI124" s="368"/>
      <c r="DJ124" s="368"/>
      <c r="DK124" s="368"/>
      <c r="DL124" s="368"/>
      <c r="DM124" s="368"/>
      <c r="DN124" s="368"/>
      <c r="DO124" s="368"/>
      <c r="DP124" s="368"/>
      <c r="DQ124" s="368"/>
      <c r="DR124" s="368"/>
      <c r="DS124" s="368"/>
      <c r="DT124" s="368"/>
      <c r="DU124" s="368"/>
      <c r="DV124" s="368"/>
      <c r="DW124" s="368"/>
      <c r="DX124" s="368"/>
      <c r="DY124" s="368"/>
      <c r="DZ124" s="368"/>
      <c r="EA124" s="368"/>
      <c r="EB124" s="368"/>
      <c r="EC124" s="368"/>
      <c r="ED124" s="368"/>
      <c r="EE124" s="368"/>
      <c r="EF124" s="368"/>
      <c r="EG124" s="368"/>
      <c r="EH124" s="368"/>
      <c r="EI124" s="368"/>
      <c r="EJ124" s="368"/>
      <c r="EK124" s="368"/>
      <c r="EL124" s="368"/>
      <c r="EM124" s="368"/>
      <c r="EN124" s="368"/>
      <c r="EO124" s="368"/>
      <c r="EP124" s="368"/>
      <c r="EQ124" s="368"/>
      <c r="ER124" s="368"/>
      <c r="ES124" s="368"/>
      <c r="ET124" s="368"/>
      <c r="EU124" s="368"/>
      <c r="EV124" s="368"/>
      <c r="EW124" s="368"/>
      <c r="EX124" s="368"/>
      <c r="EY124" s="368"/>
      <c r="EZ124" s="368"/>
      <c r="FA124" s="368"/>
      <c r="FB124" s="368"/>
      <c r="FC124" s="368"/>
      <c r="FD124" s="368"/>
      <c r="FE124" s="368"/>
      <c r="FF124" s="368"/>
      <c r="FG124" s="368"/>
      <c r="FH124" s="368"/>
      <c r="FI124" s="368"/>
      <c r="FJ124" s="368"/>
      <c r="FK124" s="368"/>
      <c r="FL124" s="368"/>
      <c r="FM124" s="368"/>
      <c r="FN124" s="368"/>
      <c r="FO124" s="368"/>
      <c r="FP124" s="368"/>
      <c r="FQ124" s="368"/>
      <c r="FR124" s="368"/>
      <c r="FS124" s="368"/>
      <c r="FT124" s="368"/>
      <c r="FU124" s="368"/>
      <c r="FV124" s="368"/>
      <c r="FW124" s="368"/>
      <c r="FX124" s="368"/>
      <c r="FY124" s="368"/>
      <c r="FZ124" s="368"/>
      <c r="GA124" s="368"/>
      <c r="GB124" s="368"/>
      <c r="GC124" s="368"/>
      <c r="GD124" s="368"/>
      <c r="GE124" s="368"/>
      <c r="GF124" s="368"/>
      <c r="GG124" s="368"/>
      <c r="GH124" s="368"/>
      <c r="GI124" s="368"/>
      <c r="GJ124" s="368"/>
      <c r="GK124" s="368"/>
      <c r="GL124" s="368"/>
      <c r="GM124" s="368"/>
      <c r="GN124" s="368"/>
      <c r="GO124" s="368"/>
      <c r="GP124" s="368"/>
      <c r="GQ124" s="368"/>
      <c r="GR124" s="368"/>
      <c r="GS124" s="368"/>
      <c r="GT124" s="368"/>
      <c r="GU124" s="368"/>
      <c r="GV124" s="368"/>
      <c r="GW124" s="368"/>
      <c r="GX124" s="368"/>
      <c r="GY124" s="368"/>
      <c r="GZ124" s="368"/>
      <c r="HA124" s="368"/>
      <c r="HB124" s="368"/>
      <c r="HC124" s="368"/>
      <c r="HD124" s="368"/>
      <c r="HE124" s="368"/>
      <c r="HF124" s="368"/>
      <c r="HG124" s="368"/>
      <c r="HH124" s="368"/>
      <c r="HI124" s="368"/>
      <c r="HJ124" s="368"/>
      <c r="HK124" s="368"/>
      <c r="HL124" s="368"/>
      <c r="HM124" s="368"/>
      <c r="HN124" s="368"/>
      <c r="HO124" s="368"/>
      <c r="HP124" s="368"/>
      <c r="HQ124" s="368"/>
      <c r="HR124" s="368"/>
      <c r="HS124" s="368"/>
      <c r="HT124" s="368"/>
      <c r="HU124" s="368"/>
      <c r="HV124" s="368"/>
      <c r="HW124" s="368"/>
      <c r="HX124" s="368"/>
      <c r="HY124" s="368"/>
      <c r="HZ124" s="368"/>
      <c r="IA124" s="368"/>
      <c r="IB124" s="368"/>
      <c r="IC124" s="368"/>
      <c r="ID124" s="368"/>
      <c r="IE124" s="368"/>
      <c r="IF124" s="368"/>
      <c r="IG124" s="368"/>
      <c r="IH124" s="368"/>
      <c r="II124" s="368"/>
      <c r="IJ124" s="368"/>
      <c r="IK124" s="368"/>
      <c r="IL124" s="368"/>
      <c r="IM124" s="368"/>
      <c r="IN124" s="368"/>
      <c r="IO124" s="368"/>
      <c r="IP124" s="368"/>
      <c r="IQ124" s="368"/>
      <c r="IR124" s="368"/>
      <c r="IS124" s="368"/>
      <c r="IT124" s="368"/>
      <c r="IU124" s="368"/>
    </row>
    <row r="125" spans="2:255" ht="20.25" customHeight="1">
      <c r="AD125" s="368"/>
      <c r="AE125" s="368"/>
      <c r="AF125" s="368"/>
      <c r="AG125" s="368"/>
      <c r="AH125" s="368"/>
      <c r="AI125" s="368"/>
      <c r="AJ125" s="368"/>
      <c r="AK125" s="368"/>
      <c r="AL125" s="368"/>
      <c r="AM125" s="368"/>
      <c r="AN125" s="368"/>
      <c r="AO125" s="368"/>
      <c r="AP125" s="368"/>
      <c r="AQ125" s="368"/>
      <c r="AR125" s="368"/>
      <c r="AS125" s="368"/>
      <c r="AT125" s="368"/>
      <c r="AU125" s="368"/>
      <c r="AV125" s="368"/>
      <c r="AW125" s="368"/>
      <c r="AX125" s="368"/>
      <c r="AY125" s="368"/>
      <c r="AZ125" s="368"/>
      <c r="BA125" s="368"/>
      <c r="BB125" s="368"/>
      <c r="BC125" s="368"/>
      <c r="BD125" s="368"/>
      <c r="BE125" s="368"/>
      <c r="BF125" s="368"/>
      <c r="BG125" s="368"/>
      <c r="BH125" s="368"/>
      <c r="BI125" s="368"/>
      <c r="BJ125" s="368"/>
      <c r="BK125" s="368"/>
      <c r="BL125" s="368"/>
      <c r="BM125" s="368"/>
      <c r="BN125" s="368"/>
      <c r="BO125" s="368"/>
      <c r="BP125" s="368"/>
      <c r="BQ125" s="368"/>
      <c r="BR125" s="368"/>
      <c r="BS125" s="368"/>
      <c r="BT125" s="368"/>
      <c r="BU125" s="368"/>
      <c r="BV125" s="368"/>
      <c r="BW125" s="368"/>
      <c r="BX125" s="368"/>
      <c r="BY125" s="368"/>
      <c r="BZ125" s="368"/>
      <c r="CA125" s="368"/>
      <c r="CB125" s="368"/>
      <c r="CC125" s="368"/>
      <c r="CD125" s="368"/>
      <c r="CE125" s="368"/>
      <c r="CF125" s="368"/>
      <c r="CG125" s="368"/>
      <c r="CH125" s="368"/>
      <c r="CI125" s="368"/>
      <c r="CJ125" s="368"/>
      <c r="CK125" s="368"/>
      <c r="CL125" s="368"/>
      <c r="CM125" s="368"/>
      <c r="CN125" s="368"/>
      <c r="CO125" s="368"/>
      <c r="CP125" s="368"/>
      <c r="CQ125" s="368"/>
      <c r="CR125" s="368"/>
      <c r="CS125" s="368"/>
      <c r="CT125" s="368"/>
      <c r="CU125" s="368"/>
      <c r="CV125" s="368"/>
      <c r="CW125" s="368"/>
      <c r="CX125" s="368"/>
      <c r="CY125" s="368"/>
      <c r="CZ125" s="368"/>
      <c r="DA125" s="368"/>
      <c r="DB125" s="368"/>
      <c r="DC125" s="368"/>
      <c r="DD125" s="368"/>
      <c r="DE125" s="368"/>
      <c r="DF125" s="368"/>
      <c r="DG125" s="368"/>
      <c r="DH125" s="368"/>
      <c r="DI125" s="368"/>
      <c r="DJ125" s="368"/>
      <c r="DK125" s="368"/>
      <c r="DL125" s="368"/>
      <c r="DM125" s="368"/>
      <c r="DN125" s="368"/>
      <c r="DO125" s="368"/>
      <c r="DP125" s="368"/>
      <c r="DQ125" s="368"/>
      <c r="DR125" s="368"/>
      <c r="DS125" s="368"/>
      <c r="DT125" s="368"/>
      <c r="DU125" s="368"/>
      <c r="DV125" s="368"/>
      <c r="DW125" s="368"/>
      <c r="DX125" s="368"/>
      <c r="DY125" s="368"/>
      <c r="DZ125" s="368"/>
      <c r="EA125" s="368"/>
      <c r="EB125" s="368"/>
      <c r="EC125" s="368"/>
      <c r="ED125" s="368"/>
      <c r="EE125" s="368"/>
      <c r="EF125" s="368"/>
      <c r="EG125" s="368"/>
      <c r="EH125" s="368"/>
      <c r="EI125" s="368"/>
      <c r="EJ125" s="368"/>
      <c r="EK125" s="368"/>
      <c r="EL125" s="368"/>
      <c r="EM125" s="368"/>
      <c r="EN125" s="368"/>
      <c r="EO125" s="368"/>
      <c r="EP125" s="368"/>
      <c r="EQ125" s="368"/>
      <c r="ER125" s="368"/>
      <c r="ES125" s="368"/>
      <c r="ET125" s="368"/>
      <c r="EU125" s="368"/>
      <c r="EV125" s="368"/>
      <c r="EW125" s="368"/>
      <c r="EX125" s="368"/>
      <c r="EY125" s="368"/>
      <c r="EZ125" s="368"/>
      <c r="FA125" s="368"/>
      <c r="FB125" s="368"/>
      <c r="FC125" s="368"/>
      <c r="FD125" s="368"/>
      <c r="FE125" s="368"/>
      <c r="FF125" s="368"/>
      <c r="FG125" s="368"/>
      <c r="FH125" s="368"/>
      <c r="FI125" s="368"/>
      <c r="FJ125" s="368"/>
      <c r="FK125" s="368"/>
      <c r="FL125" s="368"/>
      <c r="FM125" s="368"/>
      <c r="FN125" s="368"/>
      <c r="FO125" s="368"/>
      <c r="FP125" s="368"/>
      <c r="FQ125" s="368"/>
      <c r="FR125" s="368"/>
      <c r="FS125" s="368"/>
      <c r="FT125" s="368"/>
      <c r="FU125" s="368"/>
      <c r="FV125" s="368"/>
      <c r="FW125" s="368"/>
      <c r="FX125" s="368"/>
      <c r="FY125" s="368"/>
      <c r="FZ125" s="368"/>
      <c r="GA125" s="368"/>
      <c r="GB125" s="368"/>
      <c r="GC125" s="368"/>
      <c r="GD125" s="368"/>
      <c r="GE125" s="368"/>
      <c r="GF125" s="368"/>
      <c r="GG125" s="368"/>
      <c r="GH125" s="368"/>
      <c r="GI125" s="368"/>
      <c r="GJ125" s="368"/>
      <c r="GK125" s="368"/>
      <c r="GL125" s="368"/>
      <c r="GM125" s="368"/>
      <c r="GN125" s="368"/>
      <c r="GO125" s="368"/>
      <c r="GP125" s="368"/>
      <c r="GQ125" s="368"/>
      <c r="GR125" s="368"/>
      <c r="GS125" s="368"/>
      <c r="GT125" s="368"/>
      <c r="GU125" s="368"/>
      <c r="GV125" s="368"/>
      <c r="GW125" s="368"/>
      <c r="GX125" s="368"/>
      <c r="GY125" s="368"/>
      <c r="GZ125" s="368"/>
      <c r="HA125" s="368"/>
      <c r="HB125" s="368"/>
      <c r="HC125" s="368"/>
      <c r="HD125" s="368"/>
      <c r="HE125" s="368"/>
      <c r="HF125" s="368"/>
      <c r="HG125" s="368"/>
      <c r="HH125" s="368"/>
      <c r="HI125" s="368"/>
      <c r="HJ125" s="368"/>
      <c r="HK125" s="368"/>
      <c r="HL125" s="368"/>
      <c r="HM125" s="368"/>
      <c r="HN125" s="368"/>
      <c r="HO125" s="368"/>
      <c r="HP125" s="368"/>
      <c r="HQ125" s="368"/>
      <c r="HR125" s="368"/>
      <c r="HS125" s="368"/>
      <c r="HT125" s="368"/>
      <c r="HU125" s="368"/>
      <c r="HV125" s="368"/>
      <c r="HW125" s="368"/>
      <c r="HX125" s="368"/>
      <c r="HY125" s="368"/>
      <c r="HZ125" s="368"/>
      <c r="IA125" s="368"/>
      <c r="IB125" s="368"/>
      <c r="IC125" s="368"/>
      <c r="ID125" s="368"/>
      <c r="IE125" s="368"/>
      <c r="IF125" s="368"/>
      <c r="IG125" s="368"/>
      <c r="IH125" s="368"/>
      <c r="II125" s="368"/>
      <c r="IJ125" s="368"/>
      <c r="IK125" s="368"/>
      <c r="IL125" s="368"/>
      <c r="IM125" s="368"/>
      <c r="IN125" s="368"/>
      <c r="IO125" s="368"/>
      <c r="IP125" s="368"/>
      <c r="IQ125" s="368"/>
      <c r="IR125" s="368"/>
      <c r="IS125" s="368"/>
      <c r="IT125" s="368"/>
      <c r="IU125" s="368"/>
    </row>
    <row r="126" spans="2:255" ht="20.25" customHeight="1">
      <c r="AA126" s="23"/>
      <c r="AB126" s="23"/>
      <c r="AC126" s="23"/>
      <c r="AD126" s="368"/>
      <c r="AE126" s="368"/>
      <c r="AF126" s="368"/>
      <c r="AG126" s="368"/>
      <c r="AH126" s="368"/>
      <c r="AI126" s="368"/>
      <c r="AJ126" s="368"/>
      <c r="AK126" s="368"/>
      <c r="AL126" s="368"/>
      <c r="AM126" s="368"/>
      <c r="AN126" s="368"/>
      <c r="AO126" s="368"/>
      <c r="AP126" s="368"/>
      <c r="AQ126" s="368"/>
      <c r="AR126" s="368"/>
      <c r="AS126" s="368"/>
      <c r="AT126" s="368"/>
      <c r="AU126" s="368"/>
      <c r="AV126" s="368"/>
      <c r="AW126" s="368"/>
      <c r="AX126" s="368"/>
      <c r="AY126" s="368"/>
      <c r="AZ126" s="368"/>
      <c r="BA126" s="368"/>
      <c r="BB126" s="368"/>
      <c r="BC126" s="368"/>
      <c r="BD126" s="368"/>
      <c r="BE126" s="368"/>
      <c r="BF126" s="368"/>
      <c r="BG126" s="368"/>
      <c r="BH126" s="368"/>
      <c r="BI126" s="368"/>
      <c r="BJ126" s="368"/>
      <c r="BK126" s="368"/>
      <c r="BL126" s="368"/>
      <c r="BM126" s="368"/>
      <c r="BN126" s="368"/>
      <c r="BO126" s="368"/>
      <c r="BP126" s="368"/>
      <c r="BQ126" s="368"/>
      <c r="BR126" s="368"/>
      <c r="BS126" s="368"/>
      <c r="BT126" s="368"/>
      <c r="BU126" s="368"/>
      <c r="BV126" s="368"/>
      <c r="BW126" s="368"/>
      <c r="BX126" s="368"/>
      <c r="BY126" s="368"/>
      <c r="BZ126" s="368"/>
      <c r="CA126" s="368"/>
      <c r="CB126" s="368"/>
      <c r="CC126" s="368"/>
      <c r="CD126" s="368"/>
      <c r="CE126" s="368"/>
      <c r="CF126" s="368"/>
      <c r="CG126" s="368"/>
      <c r="CH126" s="368"/>
      <c r="CI126" s="368"/>
      <c r="CJ126" s="368"/>
      <c r="CK126" s="368"/>
      <c r="CL126" s="368"/>
      <c r="CM126" s="368"/>
      <c r="CN126" s="368"/>
      <c r="CO126" s="368"/>
      <c r="CP126" s="368"/>
      <c r="CQ126" s="368"/>
      <c r="CR126" s="368"/>
      <c r="CS126" s="368"/>
      <c r="CT126" s="368"/>
      <c r="CU126" s="368"/>
      <c r="CV126" s="368"/>
      <c r="CW126" s="368"/>
      <c r="CX126" s="368"/>
      <c r="CY126" s="368"/>
      <c r="CZ126" s="368"/>
      <c r="DA126" s="368"/>
      <c r="DB126" s="368"/>
      <c r="DC126" s="368"/>
      <c r="DD126" s="368"/>
      <c r="DE126" s="368"/>
      <c r="DF126" s="368"/>
      <c r="DG126" s="368"/>
      <c r="DH126" s="368"/>
      <c r="DI126" s="368"/>
      <c r="DJ126" s="368"/>
      <c r="DK126" s="368"/>
      <c r="DL126" s="368"/>
      <c r="DM126" s="368"/>
      <c r="DN126" s="368"/>
      <c r="DO126" s="368"/>
      <c r="DP126" s="368"/>
      <c r="DQ126" s="368"/>
      <c r="DR126" s="368"/>
      <c r="DS126" s="368"/>
      <c r="DT126" s="368"/>
      <c r="DU126" s="368"/>
      <c r="DV126" s="368"/>
      <c r="DW126" s="368"/>
      <c r="DX126" s="368"/>
      <c r="DY126" s="368"/>
      <c r="DZ126" s="368"/>
      <c r="EA126" s="368"/>
      <c r="EB126" s="368"/>
      <c r="EC126" s="368"/>
      <c r="ED126" s="368"/>
      <c r="EE126" s="368"/>
      <c r="EF126" s="368"/>
      <c r="EG126" s="368"/>
      <c r="EH126" s="368"/>
      <c r="EI126" s="368"/>
      <c r="EJ126" s="368"/>
      <c r="EK126" s="368"/>
      <c r="EL126" s="368"/>
      <c r="EM126" s="368"/>
      <c r="EN126" s="368"/>
      <c r="EO126" s="368"/>
      <c r="EP126" s="368"/>
      <c r="EQ126" s="368"/>
      <c r="ER126" s="368"/>
      <c r="ES126" s="368"/>
      <c r="ET126" s="368"/>
      <c r="EU126" s="368"/>
      <c r="EV126" s="368"/>
      <c r="EW126" s="368"/>
      <c r="EX126" s="368"/>
      <c r="EY126" s="368"/>
      <c r="EZ126" s="368"/>
      <c r="FA126" s="368"/>
      <c r="FB126" s="368"/>
      <c r="FC126" s="368"/>
      <c r="FD126" s="368"/>
      <c r="FE126" s="368"/>
      <c r="FF126" s="368"/>
      <c r="FG126" s="368"/>
      <c r="FH126" s="368"/>
      <c r="FI126" s="368"/>
      <c r="FJ126" s="368"/>
      <c r="FK126" s="368"/>
      <c r="FL126" s="368"/>
      <c r="FM126" s="368"/>
      <c r="FN126" s="368"/>
      <c r="FO126" s="368"/>
      <c r="FP126" s="368"/>
      <c r="FQ126" s="368"/>
      <c r="FR126" s="368"/>
      <c r="FS126" s="368"/>
      <c r="FT126" s="368"/>
      <c r="FU126" s="368"/>
      <c r="FV126" s="368"/>
      <c r="FW126" s="368"/>
      <c r="FX126" s="368"/>
      <c r="FY126" s="368"/>
      <c r="FZ126" s="368"/>
      <c r="GA126" s="368"/>
      <c r="GB126" s="368"/>
      <c r="GC126" s="368"/>
      <c r="GD126" s="368"/>
      <c r="GE126" s="368"/>
      <c r="GF126" s="368"/>
      <c r="GG126" s="368"/>
      <c r="GH126" s="368"/>
      <c r="GI126" s="368"/>
      <c r="GJ126" s="368"/>
      <c r="GK126" s="368"/>
      <c r="GL126" s="368"/>
      <c r="GM126" s="368"/>
      <c r="GN126" s="368"/>
      <c r="GO126" s="368"/>
      <c r="GP126" s="368"/>
      <c r="GQ126" s="368"/>
      <c r="GR126" s="368"/>
      <c r="GS126" s="368"/>
      <c r="GT126" s="368"/>
      <c r="GU126" s="368"/>
      <c r="GV126" s="368"/>
      <c r="GW126" s="368"/>
      <c r="GX126" s="368"/>
      <c r="GY126" s="368"/>
      <c r="GZ126" s="368"/>
      <c r="HA126" s="368"/>
      <c r="HB126" s="368"/>
      <c r="HC126" s="368"/>
      <c r="HD126" s="368"/>
      <c r="HE126" s="368"/>
      <c r="HF126" s="368"/>
      <c r="HG126" s="368"/>
      <c r="HH126" s="368"/>
      <c r="HI126" s="368"/>
      <c r="HJ126" s="368"/>
      <c r="HK126" s="368"/>
      <c r="HL126" s="368"/>
      <c r="HM126" s="368"/>
      <c r="HN126" s="368"/>
      <c r="HO126" s="368"/>
      <c r="HP126" s="368"/>
      <c r="HQ126" s="368"/>
      <c r="HR126" s="368"/>
      <c r="HS126" s="368"/>
      <c r="HT126" s="368"/>
      <c r="HU126" s="368"/>
      <c r="HV126" s="368"/>
      <c r="HW126" s="368"/>
      <c r="HX126" s="368"/>
      <c r="HY126" s="368"/>
      <c r="HZ126" s="368"/>
      <c r="IA126" s="368"/>
      <c r="IB126" s="368"/>
      <c r="IC126" s="368"/>
      <c r="ID126" s="368"/>
      <c r="IE126" s="368"/>
      <c r="IF126" s="368"/>
      <c r="IG126" s="368"/>
      <c r="IH126" s="368"/>
      <c r="II126" s="368"/>
      <c r="IJ126" s="368"/>
      <c r="IK126" s="368"/>
      <c r="IL126" s="368"/>
      <c r="IM126" s="368"/>
      <c r="IN126" s="368"/>
      <c r="IO126" s="368"/>
      <c r="IP126" s="368"/>
      <c r="IQ126" s="368"/>
      <c r="IR126" s="368"/>
      <c r="IS126" s="368"/>
      <c r="IT126" s="368"/>
      <c r="IU126" s="368"/>
    </row>
    <row r="127" spans="2:255" ht="20.25" customHeight="1">
      <c r="AD127" s="368"/>
      <c r="AE127" s="368"/>
      <c r="AF127" s="368"/>
      <c r="AG127" s="368"/>
      <c r="AH127" s="368"/>
      <c r="AI127" s="368"/>
      <c r="AJ127" s="368"/>
      <c r="AK127" s="368"/>
      <c r="AL127" s="368"/>
      <c r="AM127" s="368"/>
      <c r="AN127" s="368"/>
      <c r="AO127" s="368"/>
      <c r="AP127" s="368"/>
      <c r="AQ127" s="368"/>
      <c r="AR127" s="368"/>
      <c r="AS127" s="368"/>
      <c r="AT127" s="368"/>
      <c r="AU127" s="368"/>
      <c r="AV127" s="368"/>
      <c r="AW127" s="368"/>
      <c r="AX127" s="368"/>
      <c r="AY127" s="368"/>
      <c r="AZ127" s="368"/>
      <c r="BA127" s="368"/>
      <c r="BB127" s="368"/>
      <c r="BC127" s="368"/>
      <c r="BD127" s="368"/>
      <c r="BE127" s="368"/>
      <c r="BF127" s="368"/>
      <c r="BG127" s="368"/>
      <c r="BH127" s="368"/>
      <c r="BI127" s="368"/>
      <c r="BJ127" s="368"/>
      <c r="BK127" s="368"/>
      <c r="BL127" s="368"/>
      <c r="BM127" s="368"/>
      <c r="BN127" s="368"/>
      <c r="BO127" s="368"/>
      <c r="BP127" s="368"/>
      <c r="BQ127" s="368"/>
      <c r="BR127" s="368"/>
      <c r="BS127" s="368"/>
      <c r="BT127" s="368"/>
      <c r="BU127" s="368"/>
      <c r="BV127" s="368"/>
      <c r="BW127" s="368"/>
      <c r="BX127" s="368"/>
      <c r="BY127" s="368"/>
      <c r="BZ127" s="368"/>
      <c r="CA127" s="368"/>
      <c r="CB127" s="368"/>
      <c r="CC127" s="368"/>
      <c r="CD127" s="368"/>
      <c r="CE127" s="368"/>
      <c r="CF127" s="368"/>
      <c r="CG127" s="368"/>
      <c r="CH127" s="368"/>
      <c r="CI127" s="368"/>
      <c r="CJ127" s="368"/>
      <c r="CK127" s="368"/>
      <c r="CL127" s="368"/>
      <c r="CM127" s="368"/>
      <c r="CN127" s="368"/>
      <c r="CO127" s="368"/>
      <c r="CP127" s="368"/>
      <c r="CQ127" s="368"/>
      <c r="CR127" s="368"/>
      <c r="CS127" s="368"/>
      <c r="CT127" s="368"/>
      <c r="CU127" s="368"/>
      <c r="CV127" s="368"/>
      <c r="CW127" s="368"/>
      <c r="CX127" s="368"/>
      <c r="CY127" s="368"/>
      <c r="CZ127" s="368"/>
      <c r="DA127" s="368"/>
      <c r="DB127" s="368"/>
      <c r="DC127" s="368"/>
      <c r="DD127" s="368"/>
      <c r="DE127" s="368"/>
      <c r="DF127" s="368"/>
      <c r="DG127" s="368"/>
      <c r="DH127" s="368"/>
      <c r="DI127" s="368"/>
      <c r="DJ127" s="368"/>
      <c r="DK127" s="368"/>
      <c r="DL127" s="368"/>
      <c r="DM127" s="368"/>
      <c r="DN127" s="368"/>
      <c r="DO127" s="368"/>
      <c r="DP127" s="368"/>
      <c r="DQ127" s="368"/>
      <c r="DR127" s="368"/>
      <c r="DS127" s="368"/>
      <c r="DT127" s="368"/>
      <c r="DU127" s="368"/>
      <c r="DV127" s="368"/>
      <c r="DW127" s="368"/>
      <c r="DX127" s="368"/>
      <c r="DY127" s="368"/>
      <c r="DZ127" s="368"/>
      <c r="EA127" s="368"/>
      <c r="EB127" s="368"/>
      <c r="EC127" s="368"/>
      <c r="ED127" s="368"/>
      <c r="EE127" s="368"/>
      <c r="EF127" s="368"/>
      <c r="EG127" s="368"/>
      <c r="EH127" s="368"/>
      <c r="EI127" s="368"/>
      <c r="EJ127" s="368"/>
      <c r="EK127" s="368"/>
      <c r="EL127" s="368"/>
      <c r="EM127" s="368"/>
      <c r="EN127" s="368"/>
      <c r="EO127" s="368"/>
      <c r="EP127" s="368"/>
      <c r="EQ127" s="368"/>
      <c r="ER127" s="368"/>
      <c r="ES127" s="368"/>
      <c r="ET127" s="368"/>
      <c r="EU127" s="368"/>
      <c r="EV127" s="368"/>
      <c r="EW127" s="368"/>
      <c r="EX127" s="368"/>
      <c r="EY127" s="368"/>
      <c r="EZ127" s="368"/>
      <c r="FA127" s="368"/>
      <c r="FB127" s="368"/>
      <c r="FC127" s="368"/>
      <c r="FD127" s="368"/>
      <c r="FE127" s="368"/>
      <c r="FF127" s="368"/>
      <c r="FG127" s="368"/>
      <c r="FH127" s="368"/>
      <c r="FI127" s="368"/>
      <c r="FJ127" s="368"/>
      <c r="FK127" s="368"/>
      <c r="FL127" s="368"/>
      <c r="FM127" s="368"/>
      <c r="FN127" s="368"/>
      <c r="FO127" s="368"/>
      <c r="FP127" s="368"/>
      <c r="FQ127" s="368"/>
      <c r="FR127" s="368"/>
      <c r="FS127" s="368"/>
      <c r="FT127" s="368"/>
      <c r="FU127" s="368"/>
      <c r="FV127" s="368"/>
      <c r="FW127" s="368"/>
      <c r="FX127" s="368"/>
      <c r="FY127" s="368"/>
      <c r="FZ127" s="368"/>
      <c r="GA127" s="368"/>
      <c r="GB127" s="368"/>
      <c r="GC127" s="368"/>
      <c r="GD127" s="368"/>
      <c r="GE127" s="368"/>
      <c r="GF127" s="368"/>
      <c r="GG127" s="368"/>
      <c r="GH127" s="368"/>
      <c r="GI127" s="368"/>
      <c r="GJ127" s="368"/>
      <c r="GK127" s="368"/>
      <c r="GL127" s="368"/>
      <c r="GM127" s="368"/>
      <c r="GN127" s="368"/>
      <c r="GO127" s="368"/>
      <c r="GP127" s="368"/>
      <c r="GQ127" s="368"/>
      <c r="GR127" s="368"/>
      <c r="GS127" s="368"/>
      <c r="GT127" s="368"/>
      <c r="GU127" s="368"/>
      <c r="GV127" s="368"/>
      <c r="GW127" s="368"/>
      <c r="GX127" s="368"/>
      <c r="GY127" s="368"/>
      <c r="GZ127" s="368"/>
      <c r="HA127" s="368"/>
      <c r="HB127" s="368"/>
      <c r="HC127" s="368"/>
      <c r="HD127" s="368"/>
      <c r="HE127" s="368"/>
      <c r="HF127" s="368"/>
      <c r="HG127" s="368"/>
      <c r="HH127" s="368"/>
      <c r="HI127" s="368"/>
      <c r="HJ127" s="368"/>
      <c r="HK127" s="368"/>
      <c r="HL127" s="368"/>
      <c r="HM127" s="368"/>
      <c r="HN127" s="368"/>
      <c r="HO127" s="368"/>
      <c r="HP127" s="368"/>
      <c r="HQ127" s="368"/>
      <c r="HR127" s="368"/>
      <c r="HS127" s="368"/>
      <c r="HT127" s="368"/>
      <c r="HU127" s="368"/>
      <c r="HV127" s="368"/>
      <c r="HW127" s="368"/>
      <c r="HX127" s="368"/>
      <c r="HY127" s="368"/>
      <c r="HZ127" s="368"/>
      <c r="IA127" s="368"/>
      <c r="IB127" s="368"/>
      <c r="IC127" s="368"/>
      <c r="ID127" s="368"/>
      <c r="IE127" s="368"/>
      <c r="IF127" s="368"/>
      <c r="IG127" s="368"/>
      <c r="IH127" s="368"/>
      <c r="II127" s="368"/>
      <c r="IJ127" s="368"/>
      <c r="IK127" s="368"/>
      <c r="IL127" s="368"/>
      <c r="IM127" s="368"/>
      <c r="IN127" s="368"/>
      <c r="IO127" s="368"/>
      <c r="IP127" s="368"/>
      <c r="IQ127" s="368"/>
      <c r="IR127" s="368"/>
      <c r="IS127" s="368"/>
      <c r="IT127" s="368"/>
      <c r="IU127" s="368"/>
    </row>
    <row r="128" spans="2:255" ht="20.25" customHeight="1">
      <c r="AP128" s="368"/>
      <c r="AQ128" s="368"/>
      <c r="AR128" s="368"/>
      <c r="AS128" s="368"/>
      <c r="AT128" s="368"/>
      <c r="AU128" s="368"/>
      <c r="AV128" s="368"/>
      <c r="AW128" s="368"/>
      <c r="AX128" s="368"/>
      <c r="AY128" s="368"/>
      <c r="AZ128" s="368"/>
      <c r="BA128" s="368"/>
      <c r="BB128" s="368"/>
      <c r="BC128" s="368"/>
      <c r="BD128" s="368"/>
      <c r="BE128" s="368"/>
      <c r="BF128" s="368"/>
      <c r="BG128" s="368"/>
      <c r="BH128" s="368"/>
      <c r="BI128" s="368"/>
      <c r="BJ128" s="368"/>
      <c r="BK128" s="368"/>
      <c r="BL128" s="368"/>
      <c r="BM128" s="368"/>
      <c r="BN128" s="368"/>
      <c r="BO128" s="368"/>
      <c r="BP128" s="368"/>
      <c r="BQ128" s="368"/>
      <c r="BR128" s="368"/>
      <c r="BS128" s="368"/>
      <c r="BT128" s="368"/>
      <c r="BU128" s="368"/>
      <c r="BV128" s="368"/>
      <c r="BW128" s="368"/>
      <c r="BX128" s="368"/>
      <c r="BY128" s="368"/>
      <c r="BZ128" s="368"/>
      <c r="CA128" s="368"/>
      <c r="CB128" s="368"/>
      <c r="CC128" s="368"/>
      <c r="CD128" s="368"/>
      <c r="CE128" s="368"/>
      <c r="CF128" s="368"/>
      <c r="CG128" s="368"/>
      <c r="CH128" s="368"/>
      <c r="CI128" s="368"/>
      <c r="CJ128" s="368"/>
      <c r="CK128" s="368"/>
      <c r="CL128" s="368"/>
      <c r="CM128" s="368"/>
      <c r="CN128" s="368"/>
      <c r="CO128" s="368"/>
      <c r="CP128" s="368"/>
      <c r="CQ128" s="368"/>
      <c r="CR128" s="368"/>
      <c r="CS128" s="368"/>
      <c r="CT128" s="368"/>
      <c r="CU128" s="368"/>
      <c r="CV128" s="368"/>
      <c r="CW128" s="368"/>
      <c r="CX128" s="368"/>
      <c r="CY128" s="368"/>
      <c r="CZ128" s="368"/>
      <c r="DA128" s="368"/>
      <c r="DB128" s="368"/>
      <c r="DC128" s="368"/>
      <c r="DD128" s="368"/>
      <c r="DE128" s="368"/>
      <c r="DF128" s="368"/>
      <c r="DG128" s="368"/>
      <c r="DH128" s="368"/>
      <c r="DI128" s="368"/>
      <c r="DJ128" s="368"/>
      <c r="DK128" s="368"/>
      <c r="DL128" s="368"/>
      <c r="DM128" s="368"/>
      <c r="DN128" s="368"/>
      <c r="DO128" s="368"/>
      <c r="DP128" s="368"/>
      <c r="DQ128" s="368"/>
      <c r="DR128" s="368"/>
      <c r="DS128" s="368"/>
      <c r="DT128" s="368"/>
      <c r="DU128" s="368"/>
      <c r="DV128" s="368"/>
      <c r="DW128" s="368"/>
      <c r="DX128" s="368"/>
      <c r="DY128" s="368"/>
      <c r="DZ128" s="368"/>
      <c r="EA128" s="368"/>
      <c r="EB128" s="368"/>
      <c r="EC128" s="368"/>
      <c r="ED128" s="368"/>
      <c r="EE128" s="368"/>
      <c r="EF128" s="368"/>
      <c r="EG128" s="368"/>
      <c r="EH128" s="368"/>
      <c r="EI128" s="368"/>
      <c r="EJ128" s="368"/>
      <c r="EK128" s="368"/>
      <c r="EL128" s="368"/>
      <c r="EM128" s="368"/>
      <c r="EN128" s="368"/>
      <c r="EO128" s="368"/>
      <c r="EP128" s="368"/>
      <c r="EQ128" s="368"/>
      <c r="ER128" s="368"/>
      <c r="ES128" s="368"/>
      <c r="ET128" s="368"/>
      <c r="EU128" s="368"/>
      <c r="EV128" s="368"/>
      <c r="EW128" s="368"/>
      <c r="EX128" s="368"/>
      <c r="EY128" s="368"/>
      <c r="EZ128" s="368"/>
      <c r="FA128" s="368"/>
      <c r="FB128" s="368"/>
      <c r="FC128" s="368"/>
      <c r="FD128" s="368"/>
      <c r="FE128" s="368"/>
      <c r="FF128" s="368"/>
      <c r="FG128" s="368"/>
      <c r="FH128" s="368"/>
      <c r="FI128" s="368"/>
      <c r="FJ128" s="368"/>
      <c r="FK128" s="368"/>
      <c r="FL128" s="368"/>
      <c r="FM128" s="368"/>
      <c r="FN128" s="368"/>
      <c r="FO128" s="368"/>
      <c r="FP128" s="368"/>
      <c r="FQ128" s="368"/>
      <c r="FR128" s="368"/>
      <c r="FS128" s="368"/>
      <c r="FT128" s="368"/>
      <c r="FU128" s="368"/>
      <c r="FV128" s="368"/>
      <c r="FW128" s="368"/>
      <c r="FX128" s="368"/>
      <c r="FY128" s="368"/>
      <c r="FZ128" s="368"/>
      <c r="GA128" s="368"/>
      <c r="GB128" s="368"/>
      <c r="GC128" s="368"/>
      <c r="GD128" s="368"/>
      <c r="GE128" s="368"/>
      <c r="GF128" s="368"/>
      <c r="GG128" s="368"/>
      <c r="GH128" s="368"/>
      <c r="GI128" s="368"/>
      <c r="GJ128" s="368"/>
      <c r="GK128" s="368"/>
      <c r="GL128" s="368"/>
      <c r="GM128" s="368"/>
      <c r="GN128" s="368"/>
      <c r="GO128" s="368"/>
      <c r="GP128" s="368"/>
      <c r="GQ128" s="368"/>
      <c r="GR128" s="368"/>
      <c r="GS128" s="368"/>
      <c r="GT128" s="368"/>
      <c r="GU128" s="368"/>
      <c r="GV128" s="368"/>
      <c r="GW128" s="368"/>
      <c r="GX128" s="368"/>
      <c r="GY128" s="368"/>
      <c r="GZ128" s="368"/>
      <c r="HA128" s="368"/>
      <c r="HB128" s="368"/>
      <c r="HC128" s="368"/>
      <c r="HD128" s="368"/>
      <c r="HE128" s="368"/>
      <c r="HF128" s="368"/>
      <c r="HG128" s="368"/>
      <c r="HH128" s="368"/>
      <c r="HI128" s="368"/>
      <c r="HJ128" s="368"/>
      <c r="HK128" s="368"/>
      <c r="HL128" s="368"/>
      <c r="HM128" s="368"/>
      <c r="HN128" s="368"/>
      <c r="HO128" s="368"/>
      <c r="HP128" s="368"/>
      <c r="HQ128" s="368"/>
      <c r="HR128" s="368"/>
      <c r="HS128" s="368"/>
      <c r="HT128" s="368"/>
      <c r="HU128" s="368"/>
      <c r="HV128" s="368"/>
      <c r="HW128" s="368"/>
      <c r="HX128" s="368"/>
      <c r="HY128" s="368"/>
      <c r="HZ128" s="368"/>
      <c r="IA128" s="368"/>
      <c r="IB128" s="368"/>
      <c r="IC128" s="368"/>
      <c r="ID128" s="368"/>
      <c r="IE128" s="368"/>
      <c r="IF128" s="368"/>
      <c r="IG128" s="368"/>
      <c r="IH128" s="368"/>
      <c r="II128" s="368"/>
      <c r="IJ128" s="368"/>
      <c r="IK128" s="368"/>
      <c r="IL128" s="368"/>
      <c r="IM128" s="368"/>
      <c r="IN128" s="368"/>
      <c r="IO128" s="368"/>
      <c r="IP128" s="368"/>
      <c r="IQ128" s="368"/>
      <c r="IR128" s="368"/>
      <c r="IS128" s="368"/>
      <c r="IT128" s="368"/>
      <c r="IU128" s="368"/>
    </row>
    <row r="129" spans="2:255" ht="20.25" customHeight="1">
      <c r="C129" s="368"/>
      <c r="D129" s="368"/>
      <c r="E129" s="368"/>
      <c r="F129" s="368"/>
      <c r="G129" s="368"/>
      <c r="H129" s="368"/>
      <c r="I129" s="368"/>
      <c r="AP129" s="368"/>
      <c r="AQ129" s="368"/>
      <c r="AR129" s="368"/>
      <c r="AS129" s="368"/>
      <c r="AT129" s="368"/>
      <c r="AU129" s="368"/>
      <c r="AV129" s="368"/>
      <c r="AW129" s="368"/>
      <c r="AX129" s="368"/>
      <c r="AY129" s="368"/>
      <c r="AZ129" s="368"/>
      <c r="BA129" s="368"/>
      <c r="BB129" s="368"/>
      <c r="BC129" s="368"/>
      <c r="BD129" s="368"/>
      <c r="BE129" s="368"/>
      <c r="BF129" s="368"/>
      <c r="BG129" s="368"/>
      <c r="BH129" s="368"/>
      <c r="BI129" s="368"/>
      <c r="BJ129" s="368"/>
      <c r="BK129" s="368"/>
      <c r="BL129" s="368"/>
      <c r="BM129" s="368"/>
      <c r="BN129" s="368"/>
      <c r="BO129" s="368"/>
      <c r="BP129" s="368"/>
      <c r="BQ129" s="368"/>
      <c r="BR129" s="368"/>
      <c r="BS129" s="368"/>
      <c r="BT129" s="368"/>
      <c r="BU129" s="368"/>
      <c r="BV129" s="368"/>
      <c r="BW129" s="368"/>
      <c r="BX129" s="368"/>
      <c r="BY129" s="368"/>
      <c r="BZ129" s="368"/>
      <c r="CA129" s="368"/>
      <c r="CB129" s="368"/>
      <c r="CC129" s="368"/>
      <c r="CD129" s="368"/>
      <c r="CE129" s="368"/>
      <c r="CF129" s="368"/>
      <c r="CG129" s="368"/>
      <c r="CH129" s="368"/>
      <c r="CI129" s="368"/>
      <c r="CJ129" s="368"/>
      <c r="CK129" s="368"/>
      <c r="CL129" s="368"/>
      <c r="CM129" s="368"/>
      <c r="CN129" s="368"/>
      <c r="CO129" s="368"/>
      <c r="CP129" s="368"/>
      <c r="CQ129" s="368"/>
      <c r="CR129" s="368"/>
      <c r="CS129" s="368"/>
      <c r="CT129" s="368"/>
      <c r="CU129" s="368"/>
      <c r="CV129" s="368"/>
      <c r="CW129" s="368"/>
      <c r="CX129" s="368"/>
      <c r="CY129" s="368"/>
      <c r="CZ129" s="368"/>
      <c r="DA129" s="368"/>
      <c r="DB129" s="368"/>
      <c r="DC129" s="368"/>
      <c r="DD129" s="368"/>
      <c r="DE129" s="368"/>
      <c r="DF129" s="368"/>
      <c r="DG129" s="368"/>
      <c r="DH129" s="368"/>
      <c r="DI129" s="368"/>
      <c r="DJ129" s="368"/>
      <c r="DK129" s="368"/>
      <c r="DL129" s="368"/>
      <c r="DM129" s="368"/>
      <c r="DN129" s="368"/>
      <c r="DO129" s="368"/>
      <c r="DP129" s="368"/>
      <c r="DQ129" s="368"/>
      <c r="DR129" s="368"/>
      <c r="DS129" s="368"/>
      <c r="DT129" s="368"/>
      <c r="DU129" s="368"/>
      <c r="DV129" s="368"/>
      <c r="DW129" s="368"/>
      <c r="DX129" s="368"/>
      <c r="DY129" s="368"/>
      <c r="DZ129" s="368"/>
      <c r="EA129" s="368"/>
      <c r="EB129" s="368"/>
      <c r="EC129" s="368"/>
      <c r="ED129" s="368"/>
      <c r="EE129" s="368"/>
      <c r="EF129" s="368"/>
      <c r="EG129" s="368"/>
      <c r="EH129" s="368"/>
      <c r="EI129" s="368"/>
      <c r="EJ129" s="368"/>
      <c r="EK129" s="368"/>
      <c r="EL129" s="368"/>
      <c r="EM129" s="368"/>
      <c r="EN129" s="368"/>
      <c r="EO129" s="368"/>
      <c r="EP129" s="368"/>
      <c r="EQ129" s="368"/>
      <c r="ER129" s="368"/>
      <c r="ES129" s="368"/>
      <c r="ET129" s="368"/>
      <c r="EU129" s="368"/>
      <c r="EV129" s="368"/>
      <c r="EW129" s="368"/>
      <c r="EX129" s="368"/>
      <c r="EY129" s="368"/>
      <c r="EZ129" s="368"/>
      <c r="FA129" s="368"/>
      <c r="FB129" s="368"/>
      <c r="FC129" s="368"/>
      <c r="FD129" s="368"/>
      <c r="FE129" s="368"/>
      <c r="FF129" s="368"/>
      <c r="FG129" s="368"/>
      <c r="FH129" s="368"/>
      <c r="FI129" s="368"/>
      <c r="FJ129" s="368"/>
      <c r="FK129" s="368"/>
      <c r="FL129" s="368"/>
      <c r="FM129" s="368"/>
      <c r="FN129" s="368"/>
      <c r="FO129" s="368"/>
      <c r="FP129" s="368"/>
      <c r="FQ129" s="368"/>
      <c r="FR129" s="368"/>
      <c r="FS129" s="368"/>
      <c r="FT129" s="368"/>
      <c r="FU129" s="368"/>
      <c r="FV129" s="368"/>
      <c r="FW129" s="368"/>
      <c r="FX129" s="368"/>
      <c r="FY129" s="368"/>
      <c r="FZ129" s="368"/>
      <c r="GA129" s="368"/>
      <c r="GB129" s="368"/>
      <c r="GC129" s="368"/>
      <c r="GD129" s="368"/>
      <c r="GE129" s="368"/>
      <c r="GF129" s="368"/>
      <c r="GG129" s="368"/>
      <c r="GH129" s="368"/>
      <c r="GI129" s="368"/>
      <c r="GJ129" s="368"/>
      <c r="GK129" s="368"/>
      <c r="GL129" s="368"/>
      <c r="GM129" s="368"/>
      <c r="GN129" s="368"/>
      <c r="GO129" s="368"/>
      <c r="GP129" s="368"/>
      <c r="GQ129" s="368"/>
      <c r="GR129" s="368"/>
      <c r="GS129" s="368"/>
      <c r="GT129" s="368"/>
      <c r="GU129" s="368"/>
      <c r="GV129" s="368"/>
      <c r="GW129" s="368"/>
      <c r="GX129" s="368"/>
      <c r="GY129" s="368"/>
      <c r="GZ129" s="368"/>
      <c r="HA129" s="368"/>
      <c r="HB129" s="368"/>
      <c r="HC129" s="368"/>
      <c r="HD129" s="368"/>
      <c r="HE129" s="368"/>
      <c r="HF129" s="368"/>
      <c r="HG129" s="368"/>
      <c r="HH129" s="368"/>
      <c r="HI129" s="368"/>
      <c r="HJ129" s="368"/>
      <c r="HK129" s="368"/>
      <c r="HL129" s="368"/>
      <c r="HM129" s="368"/>
      <c r="HN129" s="368"/>
      <c r="HO129" s="368"/>
      <c r="HP129" s="368"/>
      <c r="HQ129" s="368"/>
      <c r="HR129" s="368"/>
      <c r="HS129" s="368"/>
      <c r="HT129" s="368"/>
      <c r="HU129" s="368"/>
      <c r="HV129" s="368"/>
      <c r="HW129" s="368"/>
      <c r="HX129" s="368"/>
      <c r="HY129" s="368"/>
      <c r="HZ129" s="368"/>
      <c r="IA129" s="368"/>
      <c r="IB129" s="368"/>
      <c r="IC129" s="368"/>
      <c r="ID129" s="368"/>
      <c r="IE129" s="368"/>
      <c r="IF129" s="368"/>
      <c r="IG129" s="368"/>
      <c r="IH129" s="368"/>
      <c r="II129" s="368"/>
      <c r="IJ129" s="368"/>
      <c r="IK129" s="368"/>
      <c r="IL129" s="368"/>
      <c r="IM129" s="368"/>
      <c r="IN129" s="368"/>
      <c r="IO129" s="368"/>
      <c r="IP129" s="368"/>
      <c r="IQ129" s="368"/>
      <c r="IR129" s="368"/>
      <c r="IS129" s="368"/>
      <c r="IT129" s="368"/>
      <c r="IU129" s="368"/>
    </row>
    <row r="130" spans="2:255" ht="20.25" customHeight="1">
      <c r="AP130" s="368"/>
      <c r="AQ130" s="368"/>
      <c r="AR130" s="368"/>
      <c r="AS130" s="368"/>
      <c r="AT130" s="368"/>
      <c r="AU130" s="368"/>
      <c r="AV130" s="368"/>
      <c r="AW130" s="368"/>
      <c r="AX130" s="368"/>
      <c r="AY130" s="368"/>
      <c r="AZ130" s="368"/>
      <c r="BA130" s="368"/>
      <c r="BB130" s="368"/>
      <c r="BC130" s="368"/>
      <c r="BD130" s="368"/>
      <c r="BE130" s="368"/>
      <c r="BF130" s="368"/>
      <c r="BG130" s="368"/>
      <c r="BH130" s="368"/>
      <c r="BI130" s="368"/>
      <c r="BJ130" s="368"/>
      <c r="BK130" s="368"/>
      <c r="BL130" s="368"/>
      <c r="BM130" s="368"/>
      <c r="BN130" s="368"/>
      <c r="BO130" s="368"/>
      <c r="BP130" s="368"/>
      <c r="BQ130" s="368"/>
      <c r="BR130" s="368"/>
      <c r="BS130" s="368"/>
      <c r="BT130" s="368"/>
      <c r="BU130" s="368"/>
      <c r="BV130" s="368"/>
      <c r="BW130" s="368"/>
      <c r="BX130" s="368"/>
      <c r="BY130" s="368"/>
      <c r="BZ130" s="368"/>
      <c r="CA130" s="368"/>
      <c r="CB130" s="368"/>
      <c r="CC130" s="368"/>
      <c r="CD130" s="368"/>
      <c r="CE130" s="368"/>
      <c r="CF130" s="368"/>
      <c r="CG130" s="368"/>
      <c r="CH130" s="368"/>
      <c r="CI130" s="368"/>
      <c r="CJ130" s="368"/>
      <c r="CK130" s="368"/>
      <c r="CL130" s="368"/>
      <c r="CM130" s="368"/>
      <c r="CN130" s="368"/>
      <c r="CO130" s="368"/>
      <c r="CP130" s="368"/>
      <c r="CQ130" s="368"/>
      <c r="CR130" s="368"/>
      <c r="CS130" s="368"/>
      <c r="CT130" s="368"/>
      <c r="CU130" s="368"/>
      <c r="CV130" s="368"/>
      <c r="CW130" s="368"/>
      <c r="CX130" s="368"/>
      <c r="CY130" s="368"/>
      <c r="CZ130" s="368"/>
      <c r="DA130" s="368"/>
      <c r="DB130" s="368"/>
      <c r="DC130" s="368"/>
      <c r="DD130" s="368"/>
      <c r="DE130" s="368"/>
      <c r="DF130" s="368"/>
      <c r="DG130" s="368"/>
      <c r="DH130" s="368"/>
      <c r="DI130" s="368"/>
      <c r="DJ130" s="368"/>
      <c r="DK130" s="368"/>
      <c r="DL130" s="368"/>
      <c r="DM130" s="368"/>
      <c r="DN130" s="368"/>
      <c r="DO130" s="368"/>
      <c r="DP130" s="368"/>
      <c r="DQ130" s="368"/>
      <c r="DR130" s="368"/>
      <c r="DS130" s="368"/>
      <c r="DT130" s="368"/>
      <c r="DU130" s="368"/>
      <c r="DV130" s="368"/>
      <c r="DW130" s="368"/>
      <c r="DX130" s="368"/>
      <c r="DY130" s="368"/>
      <c r="DZ130" s="368"/>
      <c r="EA130" s="368"/>
      <c r="EB130" s="368"/>
      <c r="EC130" s="368"/>
      <c r="ED130" s="368"/>
      <c r="EE130" s="368"/>
      <c r="EF130" s="368"/>
      <c r="EG130" s="368"/>
      <c r="EH130" s="368"/>
      <c r="EI130" s="368"/>
      <c r="EJ130" s="368"/>
      <c r="EK130" s="368"/>
      <c r="EL130" s="368"/>
      <c r="EM130" s="368"/>
      <c r="EN130" s="368"/>
      <c r="EO130" s="368"/>
      <c r="EP130" s="368"/>
      <c r="EQ130" s="368"/>
      <c r="ER130" s="368"/>
      <c r="ES130" s="368"/>
      <c r="ET130" s="368"/>
      <c r="EU130" s="368"/>
      <c r="EV130" s="368"/>
      <c r="EW130" s="368"/>
      <c r="EX130" s="368"/>
      <c r="EY130" s="368"/>
      <c r="EZ130" s="368"/>
      <c r="FA130" s="368"/>
      <c r="FB130" s="368"/>
      <c r="FC130" s="368"/>
      <c r="FD130" s="368"/>
      <c r="FE130" s="368"/>
      <c r="FF130" s="368"/>
      <c r="FG130" s="368"/>
      <c r="FH130" s="368"/>
      <c r="FI130" s="368"/>
      <c r="FJ130" s="368"/>
      <c r="FK130" s="368"/>
      <c r="FL130" s="368"/>
      <c r="FM130" s="368"/>
      <c r="FN130" s="368"/>
      <c r="FO130" s="368"/>
      <c r="FP130" s="368"/>
      <c r="FQ130" s="368"/>
      <c r="FR130" s="368"/>
      <c r="FS130" s="368"/>
      <c r="FT130" s="368"/>
      <c r="FU130" s="368"/>
      <c r="FV130" s="368"/>
      <c r="FW130" s="368"/>
      <c r="FX130" s="368"/>
      <c r="FY130" s="368"/>
      <c r="FZ130" s="368"/>
      <c r="GA130" s="368"/>
      <c r="GB130" s="368"/>
      <c r="GC130" s="368"/>
      <c r="GD130" s="368"/>
      <c r="GE130" s="368"/>
      <c r="GF130" s="368"/>
      <c r="GG130" s="368"/>
      <c r="GH130" s="368"/>
      <c r="GI130" s="368"/>
      <c r="GJ130" s="368"/>
      <c r="GK130" s="368"/>
      <c r="GL130" s="368"/>
      <c r="GM130" s="368"/>
      <c r="GN130" s="368"/>
      <c r="GO130" s="368"/>
      <c r="GP130" s="368"/>
      <c r="GQ130" s="368"/>
      <c r="GR130" s="368"/>
      <c r="GS130" s="368"/>
      <c r="GT130" s="368"/>
      <c r="GU130" s="368"/>
      <c r="GV130" s="368"/>
      <c r="GW130" s="368"/>
      <c r="GX130" s="368"/>
      <c r="GY130" s="368"/>
      <c r="GZ130" s="368"/>
      <c r="HA130" s="368"/>
      <c r="HB130" s="368"/>
      <c r="HC130" s="368"/>
      <c r="HD130" s="368"/>
      <c r="HE130" s="368"/>
      <c r="HF130" s="368"/>
      <c r="HG130" s="368"/>
      <c r="HH130" s="368"/>
      <c r="HI130" s="368"/>
      <c r="HJ130" s="368"/>
      <c r="HK130" s="368"/>
      <c r="HL130" s="368"/>
      <c r="HM130" s="368"/>
      <c r="HN130" s="368"/>
      <c r="HO130" s="368"/>
      <c r="HP130" s="368"/>
      <c r="HQ130" s="368"/>
      <c r="HR130" s="368"/>
      <c r="HS130" s="368"/>
      <c r="HT130" s="368"/>
      <c r="HU130" s="368"/>
      <c r="HV130" s="368"/>
      <c r="HW130" s="368"/>
      <c r="HX130" s="368"/>
      <c r="HY130" s="368"/>
      <c r="HZ130" s="368"/>
      <c r="IA130" s="368"/>
      <c r="IB130" s="368"/>
      <c r="IC130" s="368"/>
      <c r="ID130" s="368"/>
      <c r="IE130" s="368"/>
      <c r="IF130" s="368"/>
      <c r="IG130" s="368"/>
      <c r="IH130" s="368"/>
      <c r="II130" s="368"/>
      <c r="IJ130" s="368"/>
      <c r="IK130" s="368"/>
      <c r="IL130" s="368"/>
      <c r="IM130" s="368"/>
      <c r="IN130" s="368"/>
      <c r="IO130" s="368"/>
      <c r="IP130" s="368"/>
      <c r="IQ130" s="368"/>
      <c r="IR130" s="368"/>
      <c r="IS130" s="368"/>
      <c r="IT130" s="368"/>
      <c r="IU130" s="368"/>
    </row>
    <row r="131" spans="2:255" ht="20.25" customHeight="1">
      <c r="AP131" s="368"/>
      <c r="AQ131" s="368"/>
      <c r="AR131" s="368"/>
      <c r="AS131" s="368"/>
      <c r="AT131" s="368"/>
      <c r="AU131" s="368"/>
      <c r="AV131" s="368"/>
      <c r="AW131" s="368"/>
      <c r="AX131" s="368"/>
      <c r="AY131" s="368"/>
      <c r="AZ131" s="368"/>
      <c r="BA131" s="368"/>
      <c r="BB131" s="368"/>
      <c r="BC131" s="368"/>
      <c r="BD131" s="368"/>
      <c r="BE131" s="368"/>
      <c r="BF131" s="368"/>
      <c r="BG131" s="368"/>
      <c r="BH131" s="368"/>
      <c r="BI131" s="368"/>
      <c r="BJ131" s="368"/>
      <c r="BK131" s="368"/>
      <c r="BL131" s="368"/>
      <c r="BM131" s="368"/>
      <c r="BN131" s="368"/>
      <c r="BO131" s="368"/>
      <c r="BP131" s="368"/>
      <c r="BQ131" s="368"/>
      <c r="BR131" s="368"/>
      <c r="BS131" s="368"/>
      <c r="BT131" s="368"/>
      <c r="BU131" s="368"/>
      <c r="BV131" s="368"/>
      <c r="BW131" s="368"/>
      <c r="BX131" s="368"/>
      <c r="BY131" s="368"/>
      <c r="BZ131" s="368"/>
      <c r="CA131" s="368"/>
      <c r="CB131" s="368"/>
      <c r="CC131" s="368"/>
      <c r="CD131" s="368"/>
      <c r="CE131" s="368"/>
      <c r="CF131" s="368"/>
      <c r="CG131" s="368"/>
      <c r="CH131" s="368"/>
      <c r="CI131" s="368"/>
      <c r="CJ131" s="368"/>
      <c r="CK131" s="368"/>
      <c r="CL131" s="368"/>
      <c r="CM131" s="368"/>
      <c r="CN131" s="368"/>
      <c r="CO131" s="368"/>
      <c r="CP131" s="368"/>
      <c r="CQ131" s="368"/>
      <c r="CR131" s="368"/>
      <c r="CS131" s="368"/>
      <c r="CT131" s="368"/>
      <c r="CU131" s="368"/>
      <c r="CV131" s="368"/>
      <c r="CW131" s="368"/>
      <c r="CX131" s="368"/>
      <c r="CY131" s="368"/>
      <c r="CZ131" s="368"/>
      <c r="DA131" s="368"/>
      <c r="DB131" s="368"/>
      <c r="DC131" s="368"/>
      <c r="DD131" s="368"/>
      <c r="DE131" s="368"/>
      <c r="DF131" s="368"/>
      <c r="DG131" s="368"/>
      <c r="DH131" s="368"/>
      <c r="DI131" s="368"/>
      <c r="DJ131" s="368"/>
      <c r="DK131" s="368"/>
      <c r="DL131" s="368"/>
      <c r="DM131" s="368"/>
      <c r="DN131" s="368"/>
      <c r="DO131" s="368"/>
      <c r="DP131" s="368"/>
      <c r="DQ131" s="368"/>
      <c r="DR131" s="368"/>
      <c r="DS131" s="368"/>
      <c r="DT131" s="368"/>
      <c r="DU131" s="368"/>
      <c r="DV131" s="368"/>
      <c r="DW131" s="368"/>
      <c r="DX131" s="368"/>
      <c r="DY131" s="368"/>
      <c r="DZ131" s="368"/>
      <c r="EA131" s="368"/>
      <c r="EB131" s="368"/>
      <c r="EC131" s="368"/>
      <c r="ED131" s="368"/>
      <c r="EE131" s="368"/>
      <c r="EF131" s="368"/>
      <c r="EG131" s="368"/>
      <c r="EH131" s="368"/>
      <c r="EI131" s="368"/>
      <c r="EJ131" s="368"/>
      <c r="EK131" s="368"/>
      <c r="EL131" s="368"/>
      <c r="EM131" s="368"/>
      <c r="EN131" s="368"/>
      <c r="EO131" s="368"/>
      <c r="EP131" s="368"/>
      <c r="EQ131" s="368"/>
      <c r="ER131" s="368"/>
      <c r="ES131" s="368"/>
      <c r="ET131" s="368"/>
      <c r="EU131" s="368"/>
      <c r="EV131" s="368"/>
      <c r="EW131" s="368"/>
      <c r="EX131" s="368"/>
      <c r="EY131" s="368"/>
      <c r="EZ131" s="368"/>
      <c r="FA131" s="368"/>
      <c r="FB131" s="368"/>
      <c r="FC131" s="368"/>
      <c r="FD131" s="368"/>
      <c r="FE131" s="368"/>
      <c r="FF131" s="368"/>
      <c r="FG131" s="368"/>
      <c r="FH131" s="368"/>
      <c r="FI131" s="368"/>
      <c r="FJ131" s="368"/>
      <c r="FK131" s="368"/>
      <c r="FL131" s="368"/>
      <c r="FM131" s="368"/>
      <c r="FN131" s="368"/>
      <c r="FO131" s="368"/>
      <c r="FP131" s="368"/>
      <c r="FQ131" s="368"/>
      <c r="FR131" s="368"/>
      <c r="FS131" s="368"/>
      <c r="FT131" s="368"/>
      <c r="FU131" s="368"/>
      <c r="FV131" s="368"/>
      <c r="FW131" s="368"/>
      <c r="FX131" s="368"/>
      <c r="FY131" s="368"/>
      <c r="FZ131" s="368"/>
      <c r="GA131" s="368"/>
      <c r="GB131" s="368"/>
      <c r="GC131" s="368"/>
      <c r="GD131" s="368"/>
      <c r="GE131" s="368"/>
      <c r="GF131" s="368"/>
      <c r="GG131" s="368"/>
      <c r="GH131" s="368"/>
      <c r="GI131" s="368"/>
      <c r="GJ131" s="368"/>
      <c r="GK131" s="368"/>
      <c r="GL131" s="368"/>
      <c r="GM131" s="368"/>
      <c r="GN131" s="368"/>
      <c r="GO131" s="368"/>
      <c r="GP131" s="368"/>
      <c r="GQ131" s="368"/>
      <c r="GR131" s="368"/>
      <c r="GS131" s="368"/>
      <c r="GT131" s="368"/>
      <c r="GU131" s="368"/>
      <c r="GV131" s="368"/>
      <c r="GW131" s="368"/>
      <c r="GX131" s="368"/>
      <c r="GY131" s="368"/>
      <c r="GZ131" s="368"/>
      <c r="HA131" s="368"/>
      <c r="HB131" s="368"/>
      <c r="HC131" s="368"/>
      <c r="HD131" s="368"/>
      <c r="HE131" s="368"/>
      <c r="HF131" s="368"/>
      <c r="HG131" s="368"/>
      <c r="HH131" s="368"/>
      <c r="HI131" s="368"/>
      <c r="HJ131" s="368"/>
      <c r="HK131" s="368"/>
      <c r="HL131" s="368"/>
      <c r="HM131" s="368"/>
      <c r="HN131" s="368"/>
      <c r="HO131" s="368"/>
      <c r="HP131" s="368"/>
      <c r="HQ131" s="368"/>
      <c r="HR131" s="368"/>
      <c r="HS131" s="368"/>
      <c r="HT131" s="368"/>
      <c r="HU131" s="368"/>
      <c r="HV131" s="368"/>
      <c r="HW131" s="368"/>
      <c r="HX131" s="368"/>
      <c r="HY131" s="368"/>
      <c r="HZ131" s="368"/>
      <c r="IA131" s="368"/>
      <c r="IB131" s="368"/>
      <c r="IC131" s="368"/>
      <c r="ID131" s="368"/>
      <c r="IE131" s="368"/>
      <c r="IF131" s="368"/>
      <c r="IG131" s="368"/>
      <c r="IH131" s="368"/>
      <c r="II131" s="368"/>
      <c r="IJ131" s="368"/>
      <c r="IK131" s="368"/>
      <c r="IL131" s="368"/>
      <c r="IM131" s="368"/>
      <c r="IN131" s="368"/>
      <c r="IO131" s="368"/>
      <c r="IP131" s="368"/>
      <c r="IQ131" s="368"/>
      <c r="IR131" s="368"/>
      <c r="IS131" s="368"/>
      <c r="IT131" s="368"/>
      <c r="IU131" s="368"/>
    </row>
    <row r="132" spans="2:255" ht="20.25" customHeight="1">
      <c r="AP132" s="368"/>
      <c r="AQ132" s="368"/>
      <c r="AR132" s="368"/>
      <c r="AS132" s="368"/>
      <c r="AT132" s="368"/>
      <c r="AU132" s="368"/>
      <c r="AV132" s="368"/>
      <c r="AW132" s="368"/>
      <c r="AX132" s="368"/>
      <c r="AY132" s="368"/>
      <c r="AZ132" s="368"/>
      <c r="BA132" s="368"/>
      <c r="BB132" s="368"/>
      <c r="BC132" s="368"/>
      <c r="BD132" s="368"/>
      <c r="BE132" s="368"/>
      <c r="BF132" s="368"/>
      <c r="BG132" s="368"/>
      <c r="BH132" s="368"/>
      <c r="BI132" s="368"/>
      <c r="BJ132" s="368"/>
      <c r="BK132" s="368"/>
      <c r="BL132" s="368"/>
      <c r="BM132" s="368"/>
      <c r="BN132" s="368"/>
      <c r="BO132" s="368"/>
      <c r="BP132" s="368"/>
      <c r="BQ132" s="368"/>
      <c r="BR132" s="368"/>
      <c r="BS132" s="368"/>
      <c r="BT132" s="368"/>
      <c r="BU132" s="368"/>
      <c r="BV132" s="368"/>
      <c r="BW132" s="368"/>
      <c r="BX132" s="368"/>
      <c r="BY132" s="368"/>
      <c r="BZ132" s="368"/>
      <c r="CA132" s="368"/>
      <c r="CB132" s="368"/>
      <c r="CC132" s="368"/>
      <c r="CD132" s="368"/>
      <c r="CE132" s="368"/>
      <c r="CF132" s="368"/>
      <c r="CG132" s="368"/>
      <c r="CH132" s="368"/>
      <c r="CI132" s="368"/>
      <c r="CJ132" s="368"/>
      <c r="CK132" s="368"/>
      <c r="CL132" s="368"/>
      <c r="CM132" s="368"/>
      <c r="CN132" s="368"/>
      <c r="CO132" s="368"/>
      <c r="CP132" s="368"/>
      <c r="CQ132" s="368"/>
      <c r="CR132" s="368"/>
      <c r="CS132" s="368"/>
      <c r="CT132" s="368"/>
      <c r="CU132" s="368"/>
      <c r="CV132" s="368"/>
      <c r="CW132" s="368"/>
      <c r="CX132" s="368"/>
      <c r="CY132" s="368"/>
      <c r="CZ132" s="368"/>
      <c r="DA132" s="368"/>
      <c r="DB132" s="368"/>
      <c r="DC132" s="368"/>
      <c r="DD132" s="368"/>
      <c r="DE132" s="368"/>
      <c r="DF132" s="368"/>
      <c r="DG132" s="368"/>
      <c r="DH132" s="368"/>
      <c r="DI132" s="368"/>
      <c r="DJ132" s="368"/>
      <c r="DK132" s="368"/>
      <c r="DL132" s="368"/>
      <c r="DM132" s="368"/>
      <c r="DN132" s="368"/>
      <c r="DO132" s="368"/>
      <c r="DP132" s="368"/>
      <c r="DQ132" s="368"/>
      <c r="DR132" s="368"/>
      <c r="DS132" s="368"/>
      <c r="DT132" s="368"/>
      <c r="DU132" s="368"/>
      <c r="DV132" s="368"/>
      <c r="DW132" s="368"/>
      <c r="DX132" s="368"/>
      <c r="DY132" s="368"/>
      <c r="DZ132" s="368"/>
      <c r="EA132" s="368"/>
      <c r="EB132" s="368"/>
      <c r="EC132" s="368"/>
      <c r="ED132" s="368"/>
      <c r="EE132" s="368"/>
      <c r="EF132" s="368"/>
      <c r="EG132" s="368"/>
      <c r="EH132" s="368"/>
      <c r="EI132" s="368"/>
      <c r="EJ132" s="368"/>
      <c r="EK132" s="368"/>
      <c r="EL132" s="368"/>
      <c r="EM132" s="368"/>
      <c r="EN132" s="368"/>
      <c r="EO132" s="368"/>
      <c r="EP132" s="368"/>
      <c r="EQ132" s="368"/>
      <c r="ER132" s="368"/>
      <c r="ES132" s="368"/>
      <c r="ET132" s="368"/>
      <c r="EU132" s="368"/>
      <c r="EV132" s="368"/>
      <c r="EW132" s="368"/>
      <c r="EX132" s="368"/>
      <c r="EY132" s="368"/>
      <c r="EZ132" s="368"/>
      <c r="FA132" s="368"/>
      <c r="FB132" s="368"/>
      <c r="FC132" s="368"/>
      <c r="FD132" s="368"/>
      <c r="FE132" s="368"/>
      <c r="FF132" s="368"/>
      <c r="FG132" s="368"/>
      <c r="FH132" s="368"/>
      <c r="FI132" s="368"/>
      <c r="FJ132" s="368"/>
      <c r="FK132" s="368"/>
      <c r="FL132" s="368"/>
      <c r="FM132" s="368"/>
      <c r="FN132" s="368"/>
      <c r="FO132" s="368"/>
      <c r="FP132" s="368"/>
      <c r="FQ132" s="368"/>
      <c r="FR132" s="368"/>
      <c r="FS132" s="368"/>
      <c r="FT132" s="368"/>
      <c r="FU132" s="368"/>
      <c r="FV132" s="368"/>
      <c r="FW132" s="368"/>
      <c r="FX132" s="368"/>
      <c r="FY132" s="368"/>
      <c r="FZ132" s="368"/>
      <c r="GA132" s="368"/>
      <c r="GB132" s="368"/>
      <c r="GC132" s="368"/>
      <c r="GD132" s="368"/>
      <c r="GE132" s="368"/>
      <c r="GF132" s="368"/>
      <c r="GG132" s="368"/>
      <c r="GH132" s="368"/>
      <c r="GI132" s="368"/>
      <c r="GJ132" s="368"/>
      <c r="GK132" s="368"/>
      <c r="GL132" s="368"/>
      <c r="GM132" s="368"/>
      <c r="GN132" s="368"/>
      <c r="GO132" s="368"/>
      <c r="GP132" s="368"/>
      <c r="GQ132" s="368"/>
      <c r="GR132" s="368"/>
      <c r="GS132" s="368"/>
      <c r="GT132" s="368"/>
      <c r="GU132" s="368"/>
      <c r="GV132" s="368"/>
      <c r="GW132" s="368"/>
      <c r="GX132" s="368"/>
      <c r="GY132" s="368"/>
      <c r="GZ132" s="368"/>
      <c r="HA132" s="368"/>
      <c r="HB132" s="368"/>
      <c r="HC132" s="368"/>
      <c r="HD132" s="368"/>
      <c r="HE132" s="368"/>
      <c r="HF132" s="368"/>
      <c r="HG132" s="368"/>
      <c r="HH132" s="368"/>
      <c r="HI132" s="368"/>
      <c r="HJ132" s="368"/>
      <c r="HK132" s="368"/>
      <c r="HL132" s="368"/>
      <c r="HM132" s="368"/>
      <c r="HN132" s="368"/>
      <c r="HO132" s="368"/>
      <c r="HP132" s="368"/>
      <c r="HQ132" s="368"/>
      <c r="HR132" s="368"/>
      <c r="HS132" s="368"/>
      <c r="HT132" s="368"/>
      <c r="HU132" s="368"/>
      <c r="HV132" s="368"/>
      <c r="HW132" s="368"/>
      <c r="HX132" s="368"/>
      <c r="HY132" s="368"/>
      <c r="HZ132" s="368"/>
      <c r="IA132" s="368"/>
      <c r="IB132" s="368"/>
      <c r="IC132" s="368"/>
      <c r="ID132" s="368"/>
      <c r="IE132" s="368"/>
      <c r="IF132" s="368"/>
      <c r="IG132" s="368"/>
      <c r="IH132" s="368"/>
      <c r="II132" s="368"/>
      <c r="IJ132" s="368"/>
      <c r="IK132" s="368"/>
      <c r="IL132" s="368"/>
      <c r="IM132" s="368"/>
      <c r="IN132" s="368"/>
      <c r="IO132" s="368"/>
      <c r="IP132" s="368"/>
      <c r="IQ132" s="368"/>
      <c r="IR132" s="368"/>
      <c r="IS132" s="368"/>
      <c r="IT132" s="368"/>
      <c r="IU132" s="368"/>
    </row>
    <row r="134" spans="2:255" ht="18.5">
      <c r="L134" s="857"/>
      <c r="AP134" s="368"/>
      <c r="AQ134" s="368"/>
      <c r="AR134" s="368"/>
      <c r="AS134" s="368"/>
      <c r="AT134" s="368"/>
      <c r="AU134" s="368"/>
      <c r="AV134" s="368"/>
      <c r="AW134" s="368"/>
      <c r="AX134" s="368"/>
      <c r="AY134" s="368"/>
      <c r="AZ134" s="368"/>
      <c r="BA134" s="368"/>
      <c r="BB134" s="368"/>
      <c r="BC134" s="368"/>
      <c r="BD134" s="368"/>
      <c r="BE134" s="368"/>
      <c r="BF134" s="368"/>
      <c r="BG134" s="368"/>
      <c r="BH134" s="368"/>
      <c r="BI134" s="368"/>
      <c r="BJ134" s="368"/>
      <c r="BK134" s="368"/>
      <c r="BL134" s="368"/>
      <c r="BM134" s="368"/>
      <c r="BN134" s="368"/>
      <c r="BO134" s="368"/>
      <c r="BP134" s="368"/>
      <c r="BQ134" s="368"/>
      <c r="BR134" s="368"/>
      <c r="BS134" s="368"/>
      <c r="BT134" s="368"/>
      <c r="BU134" s="368"/>
      <c r="BV134" s="368"/>
      <c r="BW134" s="368"/>
      <c r="BX134" s="368"/>
      <c r="BY134" s="368"/>
      <c r="BZ134" s="368"/>
      <c r="CA134" s="368"/>
      <c r="CB134" s="368"/>
      <c r="CC134" s="368"/>
      <c r="CD134" s="368"/>
      <c r="CE134" s="368"/>
      <c r="CF134" s="368"/>
      <c r="CG134" s="368"/>
      <c r="CH134" s="368"/>
      <c r="CI134" s="368"/>
      <c r="CJ134" s="368"/>
      <c r="CK134" s="368"/>
      <c r="CL134" s="368"/>
      <c r="CM134" s="368"/>
      <c r="CN134" s="368"/>
      <c r="CO134" s="368"/>
      <c r="CP134" s="368"/>
      <c r="CQ134" s="368"/>
      <c r="CR134" s="368"/>
      <c r="CS134" s="368"/>
      <c r="CT134" s="368"/>
      <c r="CU134" s="368"/>
      <c r="CV134" s="368"/>
      <c r="CW134" s="368"/>
      <c r="CX134" s="368"/>
      <c r="CY134" s="368"/>
      <c r="CZ134" s="368"/>
      <c r="DA134" s="368"/>
      <c r="DB134" s="368"/>
      <c r="DC134" s="368"/>
      <c r="DD134" s="368"/>
      <c r="DE134" s="368"/>
      <c r="DF134" s="368"/>
      <c r="DG134" s="368"/>
      <c r="DH134" s="368"/>
      <c r="DI134" s="368"/>
      <c r="DJ134" s="368"/>
      <c r="DK134" s="368"/>
      <c r="DL134" s="368"/>
      <c r="DM134" s="368"/>
      <c r="DN134" s="368"/>
      <c r="DO134" s="368"/>
      <c r="DP134" s="368"/>
      <c r="DQ134" s="368"/>
      <c r="DR134" s="368"/>
      <c r="DS134" s="368"/>
      <c r="DT134" s="368"/>
      <c r="DU134" s="368"/>
      <c r="DV134" s="368"/>
      <c r="DW134" s="368"/>
      <c r="DX134" s="368"/>
      <c r="DY134" s="368"/>
      <c r="DZ134" s="368"/>
      <c r="EA134" s="368"/>
      <c r="EB134" s="368"/>
      <c r="EC134" s="368"/>
      <c r="ED134" s="368"/>
      <c r="EE134" s="368"/>
      <c r="EF134" s="368"/>
      <c r="EG134" s="368"/>
      <c r="EH134" s="368"/>
      <c r="EI134" s="368"/>
      <c r="EJ134" s="368"/>
      <c r="EK134" s="368"/>
      <c r="EL134" s="368"/>
      <c r="EM134" s="368"/>
      <c r="EN134" s="368"/>
      <c r="EO134" s="368"/>
      <c r="EP134" s="368"/>
      <c r="EQ134" s="368"/>
      <c r="ER134" s="368"/>
      <c r="ES134" s="368"/>
      <c r="ET134" s="368"/>
      <c r="EU134" s="368"/>
      <c r="EV134" s="368"/>
      <c r="EW134" s="368"/>
      <c r="EX134" s="368"/>
      <c r="EY134" s="368"/>
      <c r="EZ134" s="368"/>
      <c r="FA134" s="368"/>
      <c r="FB134" s="368"/>
      <c r="FC134" s="368"/>
      <c r="FD134" s="368"/>
      <c r="FE134" s="368"/>
      <c r="FF134" s="368"/>
      <c r="FG134" s="368"/>
      <c r="FH134" s="368"/>
      <c r="FI134" s="368"/>
      <c r="FJ134" s="368"/>
      <c r="FK134" s="368"/>
      <c r="FL134" s="368"/>
      <c r="FM134" s="368"/>
      <c r="FN134" s="368"/>
      <c r="FO134" s="368"/>
      <c r="FP134" s="368"/>
      <c r="FQ134" s="368"/>
      <c r="FR134" s="368"/>
      <c r="FS134" s="368"/>
      <c r="FT134" s="368"/>
      <c r="FU134" s="368"/>
      <c r="FV134" s="368"/>
      <c r="FW134" s="368"/>
      <c r="FX134" s="368"/>
      <c r="FY134" s="368"/>
      <c r="FZ134" s="368"/>
      <c r="GA134" s="368"/>
      <c r="GB134" s="368"/>
      <c r="GC134" s="368"/>
      <c r="GD134" s="368"/>
      <c r="GE134" s="368"/>
      <c r="GF134" s="368"/>
      <c r="GG134" s="368"/>
      <c r="GH134" s="368"/>
      <c r="GI134" s="368"/>
      <c r="GJ134" s="368"/>
      <c r="GK134" s="368"/>
      <c r="GL134" s="368"/>
      <c r="GM134" s="368"/>
      <c r="GN134" s="368"/>
      <c r="GO134" s="368"/>
      <c r="GP134" s="368"/>
      <c r="GQ134" s="368"/>
      <c r="GR134" s="368"/>
      <c r="GS134" s="368"/>
      <c r="GT134" s="368"/>
      <c r="GU134" s="368"/>
      <c r="GV134" s="368"/>
      <c r="GW134" s="368"/>
      <c r="GX134" s="368"/>
      <c r="GY134" s="368"/>
      <c r="GZ134" s="368"/>
      <c r="HA134" s="368"/>
      <c r="HB134" s="368"/>
      <c r="HC134" s="368"/>
      <c r="HD134" s="368"/>
      <c r="HE134" s="368"/>
      <c r="HF134" s="368"/>
      <c r="HG134" s="368"/>
      <c r="HH134" s="368"/>
      <c r="HI134" s="368"/>
      <c r="HJ134" s="368"/>
      <c r="HK134" s="368"/>
      <c r="HL134" s="368"/>
      <c r="HM134" s="368"/>
      <c r="HN134" s="368"/>
      <c r="HO134" s="368"/>
      <c r="HP134" s="368"/>
      <c r="HQ134" s="368"/>
      <c r="HR134" s="368"/>
      <c r="HS134" s="368"/>
      <c r="HT134" s="368"/>
      <c r="HU134" s="368"/>
      <c r="HV134" s="368"/>
      <c r="HW134" s="368"/>
      <c r="HX134" s="368"/>
      <c r="HY134" s="368"/>
      <c r="HZ134" s="368"/>
      <c r="IA134" s="368"/>
      <c r="IB134" s="368"/>
      <c r="IC134" s="368"/>
      <c r="ID134" s="368"/>
      <c r="IE134" s="368"/>
      <c r="IF134" s="368"/>
      <c r="IG134" s="368"/>
      <c r="IH134" s="368"/>
      <c r="II134" s="368"/>
      <c r="IJ134" s="368"/>
      <c r="IK134" s="368"/>
      <c r="IL134" s="368"/>
      <c r="IM134" s="368"/>
      <c r="IN134" s="368"/>
      <c r="IO134" s="368"/>
      <c r="IP134" s="368"/>
      <c r="IQ134" s="368"/>
      <c r="IR134" s="368"/>
      <c r="IS134" s="368"/>
      <c r="IT134" s="368"/>
      <c r="IU134" s="368"/>
    </row>
    <row r="135" spans="2:255" ht="18.5">
      <c r="L135" s="857"/>
      <c r="AP135" s="368"/>
      <c r="AQ135" s="368"/>
      <c r="AR135" s="368"/>
      <c r="AS135" s="368"/>
      <c r="AT135" s="368"/>
      <c r="AU135" s="368"/>
      <c r="AV135" s="368"/>
      <c r="AW135" s="368"/>
      <c r="AX135" s="368"/>
      <c r="AY135" s="368"/>
      <c r="AZ135" s="368"/>
      <c r="BA135" s="368"/>
      <c r="BB135" s="368"/>
      <c r="BC135" s="368"/>
      <c r="BD135" s="368"/>
      <c r="BE135" s="368"/>
      <c r="BF135" s="368"/>
      <c r="BG135" s="368"/>
      <c r="BH135" s="368"/>
      <c r="BI135" s="368"/>
      <c r="BJ135" s="368"/>
      <c r="BK135" s="368"/>
      <c r="BL135" s="368"/>
      <c r="BM135" s="368"/>
      <c r="BN135" s="368"/>
      <c r="BO135" s="368"/>
      <c r="BP135" s="368"/>
      <c r="BQ135" s="368"/>
      <c r="BR135" s="368"/>
      <c r="BS135" s="368"/>
      <c r="BT135" s="368"/>
      <c r="BU135" s="368"/>
      <c r="BV135" s="368"/>
      <c r="BW135" s="368"/>
      <c r="BX135" s="368"/>
      <c r="BY135" s="368"/>
      <c r="BZ135" s="368"/>
      <c r="CA135" s="368"/>
      <c r="CB135" s="368"/>
      <c r="CC135" s="368"/>
      <c r="CD135" s="368"/>
      <c r="CE135" s="368"/>
      <c r="CF135" s="368"/>
      <c r="CG135" s="368"/>
      <c r="CH135" s="368"/>
      <c r="CI135" s="368"/>
      <c r="CJ135" s="368"/>
      <c r="CK135" s="368"/>
      <c r="CL135" s="368"/>
      <c r="CM135" s="368"/>
      <c r="CN135" s="368"/>
      <c r="CO135" s="368"/>
      <c r="CP135" s="368"/>
      <c r="CQ135" s="368"/>
      <c r="CR135" s="368"/>
      <c r="CS135" s="368"/>
      <c r="CT135" s="368"/>
      <c r="CU135" s="368"/>
      <c r="CV135" s="368"/>
      <c r="CW135" s="368"/>
      <c r="CX135" s="368"/>
      <c r="CY135" s="368"/>
      <c r="CZ135" s="368"/>
      <c r="DA135" s="368"/>
      <c r="DB135" s="368"/>
      <c r="DC135" s="368"/>
      <c r="DD135" s="368"/>
      <c r="DE135" s="368"/>
      <c r="DF135" s="368"/>
      <c r="DG135" s="368"/>
      <c r="DH135" s="368"/>
      <c r="DI135" s="368"/>
      <c r="DJ135" s="368"/>
      <c r="DK135" s="368"/>
      <c r="DL135" s="368"/>
      <c r="DM135" s="368"/>
      <c r="DN135" s="368"/>
      <c r="DO135" s="368"/>
      <c r="DP135" s="368"/>
      <c r="DQ135" s="368"/>
      <c r="DR135" s="368"/>
      <c r="DS135" s="368"/>
      <c r="DT135" s="368"/>
      <c r="DU135" s="368"/>
      <c r="DV135" s="368"/>
      <c r="DW135" s="368"/>
      <c r="DX135" s="368"/>
      <c r="DY135" s="368"/>
      <c r="DZ135" s="368"/>
      <c r="EA135" s="368"/>
      <c r="EB135" s="368"/>
      <c r="EC135" s="368"/>
      <c r="ED135" s="368"/>
      <c r="EE135" s="368"/>
      <c r="EF135" s="368"/>
      <c r="EG135" s="368"/>
      <c r="EH135" s="368"/>
      <c r="EI135" s="368"/>
      <c r="EJ135" s="368"/>
      <c r="EK135" s="368"/>
      <c r="EL135" s="368"/>
      <c r="EM135" s="368"/>
      <c r="EN135" s="368"/>
      <c r="EO135" s="368"/>
      <c r="EP135" s="368"/>
      <c r="EQ135" s="368"/>
      <c r="ER135" s="368"/>
      <c r="ES135" s="368"/>
      <c r="ET135" s="368"/>
      <c r="EU135" s="368"/>
      <c r="EV135" s="368"/>
      <c r="EW135" s="368"/>
      <c r="EX135" s="368"/>
      <c r="EY135" s="368"/>
      <c r="EZ135" s="368"/>
      <c r="FA135" s="368"/>
      <c r="FB135" s="368"/>
      <c r="FC135" s="368"/>
      <c r="FD135" s="368"/>
      <c r="FE135" s="368"/>
      <c r="FF135" s="368"/>
      <c r="FG135" s="368"/>
      <c r="FH135" s="368"/>
      <c r="FI135" s="368"/>
      <c r="FJ135" s="368"/>
      <c r="FK135" s="368"/>
      <c r="FL135" s="368"/>
      <c r="FM135" s="368"/>
      <c r="FN135" s="368"/>
      <c r="FO135" s="368"/>
      <c r="FP135" s="368"/>
      <c r="FQ135" s="368"/>
      <c r="FR135" s="368"/>
      <c r="FS135" s="368"/>
      <c r="FT135" s="368"/>
      <c r="FU135" s="368"/>
      <c r="FV135" s="368"/>
      <c r="FW135" s="368"/>
      <c r="FX135" s="368"/>
      <c r="FY135" s="368"/>
      <c r="FZ135" s="368"/>
      <c r="GA135" s="368"/>
      <c r="GB135" s="368"/>
      <c r="GC135" s="368"/>
      <c r="GD135" s="368"/>
      <c r="GE135" s="368"/>
      <c r="GF135" s="368"/>
      <c r="GG135" s="368"/>
      <c r="GH135" s="368"/>
      <c r="GI135" s="368"/>
      <c r="GJ135" s="368"/>
      <c r="GK135" s="368"/>
      <c r="GL135" s="368"/>
      <c r="GM135" s="368"/>
      <c r="GN135" s="368"/>
      <c r="GO135" s="368"/>
      <c r="GP135" s="368"/>
      <c r="GQ135" s="368"/>
      <c r="GR135" s="368"/>
      <c r="GS135" s="368"/>
      <c r="GT135" s="368"/>
      <c r="GU135" s="368"/>
      <c r="GV135" s="368"/>
      <c r="GW135" s="368"/>
      <c r="GX135" s="368"/>
      <c r="GY135" s="368"/>
      <c r="GZ135" s="368"/>
      <c r="HA135" s="368"/>
      <c r="HB135" s="368"/>
      <c r="HC135" s="368"/>
      <c r="HD135" s="368"/>
      <c r="HE135" s="368"/>
      <c r="HF135" s="368"/>
      <c r="HG135" s="368"/>
      <c r="HH135" s="368"/>
      <c r="HI135" s="368"/>
      <c r="HJ135" s="368"/>
      <c r="HK135" s="368"/>
      <c r="HL135" s="368"/>
      <c r="HM135" s="368"/>
      <c r="HN135" s="368"/>
      <c r="HO135" s="368"/>
      <c r="HP135" s="368"/>
      <c r="HQ135" s="368"/>
      <c r="HR135" s="368"/>
      <c r="HS135" s="368"/>
      <c r="HT135" s="368"/>
      <c r="HU135" s="368"/>
      <c r="HV135" s="368"/>
      <c r="HW135" s="368"/>
      <c r="HX135" s="368"/>
      <c r="HY135" s="368"/>
      <c r="HZ135" s="368"/>
      <c r="IA135" s="368"/>
      <c r="IB135" s="368"/>
      <c r="IC135" s="368"/>
      <c r="ID135" s="368"/>
      <c r="IE135" s="368"/>
      <c r="IF135" s="368"/>
      <c r="IG135" s="368"/>
      <c r="IH135" s="368"/>
      <c r="II135" s="368"/>
      <c r="IJ135" s="368"/>
      <c r="IK135" s="368"/>
      <c r="IL135" s="368"/>
      <c r="IM135" s="368"/>
      <c r="IN135" s="368"/>
      <c r="IO135" s="368"/>
      <c r="IP135" s="368"/>
      <c r="IQ135" s="368"/>
      <c r="IR135" s="368"/>
      <c r="IS135" s="368"/>
      <c r="IT135" s="368"/>
      <c r="IU135" s="368"/>
    </row>
    <row r="136" spans="2:255" ht="18.5">
      <c r="L136" s="857"/>
      <c r="AP136" s="368"/>
      <c r="AQ136" s="368"/>
      <c r="AR136" s="368"/>
      <c r="AS136" s="368"/>
      <c r="AT136" s="368"/>
      <c r="AU136" s="368"/>
      <c r="AV136" s="368"/>
      <c r="AW136" s="368"/>
      <c r="AX136" s="368"/>
      <c r="AY136" s="368"/>
      <c r="AZ136" s="368"/>
      <c r="BA136" s="368"/>
      <c r="BB136" s="368"/>
      <c r="BC136" s="368"/>
      <c r="BD136" s="368"/>
      <c r="BE136" s="368"/>
      <c r="BF136" s="368"/>
      <c r="BG136" s="368"/>
      <c r="BH136" s="368"/>
      <c r="BI136" s="368"/>
      <c r="BJ136" s="368"/>
      <c r="BK136" s="368"/>
      <c r="BL136" s="368"/>
      <c r="BM136" s="368"/>
      <c r="BN136" s="368"/>
      <c r="BO136" s="368"/>
      <c r="BP136" s="368"/>
      <c r="BQ136" s="368"/>
      <c r="BR136" s="368"/>
      <c r="BS136" s="368"/>
      <c r="BT136" s="368"/>
      <c r="BU136" s="368"/>
      <c r="BV136" s="368"/>
      <c r="BW136" s="368"/>
      <c r="BX136" s="368"/>
      <c r="BY136" s="368"/>
      <c r="BZ136" s="368"/>
      <c r="CA136" s="368"/>
      <c r="CB136" s="368"/>
      <c r="CC136" s="368"/>
      <c r="CD136" s="368"/>
      <c r="CE136" s="368"/>
      <c r="CF136" s="368"/>
      <c r="CG136" s="368"/>
      <c r="CH136" s="368"/>
      <c r="CI136" s="368"/>
      <c r="CJ136" s="368"/>
      <c r="CK136" s="368"/>
      <c r="CL136" s="368"/>
      <c r="CM136" s="368"/>
      <c r="CN136" s="368"/>
      <c r="CO136" s="368"/>
      <c r="CP136" s="368"/>
      <c r="CQ136" s="368"/>
      <c r="CR136" s="368"/>
      <c r="CS136" s="368"/>
      <c r="CT136" s="368"/>
      <c r="CU136" s="368"/>
      <c r="CV136" s="368"/>
      <c r="CW136" s="368"/>
      <c r="CX136" s="368"/>
      <c r="CY136" s="368"/>
      <c r="CZ136" s="368"/>
      <c r="DA136" s="368"/>
      <c r="DB136" s="368"/>
      <c r="DC136" s="368"/>
      <c r="DD136" s="368"/>
      <c r="DE136" s="368"/>
      <c r="DF136" s="368"/>
      <c r="DG136" s="368"/>
      <c r="DH136" s="368"/>
      <c r="DI136" s="368"/>
      <c r="DJ136" s="368"/>
      <c r="DK136" s="368"/>
      <c r="DL136" s="368"/>
      <c r="DM136" s="368"/>
      <c r="DN136" s="368"/>
      <c r="DO136" s="368"/>
      <c r="DP136" s="368"/>
      <c r="DQ136" s="368"/>
      <c r="DR136" s="368"/>
      <c r="DS136" s="368"/>
      <c r="DT136" s="368"/>
      <c r="DU136" s="368"/>
      <c r="DV136" s="368"/>
      <c r="DW136" s="368"/>
      <c r="DX136" s="368"/>
      <c r="DY136" s="368"/>
      <c r="DZ136" s="368"/>
      <c r="EA136" s="368"/>
      <c r="EB136" s="368"/>
      <c r="EC136" s="368"/>
      <c r="ED136" s="368"/>
      <c r="EE136" s="368"/>
      <c r="EF136" s="368"/>
      <c r="EG136" s="368"/>
      <c r="EH136" s="368"/>
      <c r="EI136" s="368"/>
      <c r="EJ136" s="368"/>
      <c r="EK136" s="368"/>
      <c r="EL136" s="368"/>
      <c r="EM136" s="368"/>
      <c r="EN136" s="368"/>
      <c r="EO136" s="368"/>
      <c r="EP136" s="368"/>
      <c r="EQ136" s="368"/>
      <c r="ER136" s="368"/>
      <c r="ES136" s="368"/>
      <c r="ET136" s="368"/>
      <c r="EU136" s="368"/>
      <c r="EV136" s="368"/>
      <c r="EW136" s="368"/>
      <c r="EX136" s="368"/>
      <c r="EY136" s="368"/>
      <c r="EZ136" s="368"/>
      <c r="FA136" s="368"/>
      <c r="FB136" s="368"/>
      <c r="FC136" s="368"/>
      <c r="FD136" s="368"/>
      <c r="FE136" s="368"/>
      <c r="FF136" s="368"/>
      <c r="FG136" s="368"/>
      <c r="FH136" s="368"/>
      <c r="FI136" s="368"/>
      <c r="FJ136" s="368"/>
      <c r="FK136" s="368"/>
      <c r="FL136" s="368"/>
      <c r="FM136" s="368"/>
      <c r="FN136" s="368"/>
      <c r="FO136" s="368"/>
      <c r="FP136" s="368"/>
      <c r="FQ136" s="368"/>
      <c r="FR136" s="368"/>
      <c r="FS136" s="368"/>
      <c r="FT136" s="368"/>
      <c r="FU136" s="368"/>
      <c r="FV136" s="368"/>
      <c r="FW136" s="368"/>
      <c r="FX136" s="368"/>
      <c r="FY136" s="368"/>
      <c r="FZ136" s="368"/>
      <c r="GA136" s="368"/>
      <c r="GB136" s="368"/>
      <c r="GC136" s="368"/>
      <c r="GD136" s="368"/>
      <c r="GE136" s="368"/>
      <c r="GF136" s="368"/>
      <c r="GG136" s="368"/>
      <c r="GH136" s="368"/>
      <c r="GI136" s="368"/>
      <c r="GJ136" s="368"/>
      <c r="GK136" s="368"/>
      <c r="GL136" s="368"/>
      <c r="GM136" s="368"/>
      <c r="GN136" s="368"/>
      <c r="GO136" s="368"/>
      <c r="GP136" s="368"/>
      <c r="GQ136" s="368"/>
      <c r="GR136" s="368"/>
      <c r="GS136" s="368"/>
      <c r="GT136" s="368"/>
      <c r="GU136" s="368"/>
      <c r="GV136" s="368"/>
      <c r="GW136" s="368"/>
      <c r="GX136" s="368"/>
      <c r="GY136" s="368"/>
      <c r="GZ136" s="368"/>
      <c r="HA136" s="368"/>
      <c r="HB136" s="368"/>
      <c r="HC136" s="368"/>
      <c r="HD136" s="368"/>
      <c r="HE136" s="368"/>
      <c r="HF136" s="368"/>
      <c r="HG136" s="368"/>
      <c r="HH136" s="368"/>
      <c r="HI136" s="368"/>
      <c r="HJ136" s="368"/>
      <c r="HK136" s="368"/>
      <c r="HL136" s="368"/>
      <c r="HM136" s="368"/>
      <c r="HN136" s="368"/>
      <c r="HO136" s="368"/>
      <c r="HP136" s="368"/>
      <c r="HQ136" s="368"/>
      <c r="HR136" s="368"/>
      <c r="HS136" s="368"/>
      <c r="HT136" s="368"/>
      <c r="HU136" s="368"/>
      <c r="HV136" s="368"/>
      <c r="HW136" s="368"/>
      <c r="HX136" s="368"/>
      <c r="HY136" s="368"/>
      <c r="HZ136" s="368"/>
      <c r="IA136" s="368"/>
      <c r="IB136" s="368"/>
      <c r="IC136" s="368"/>
      <c r="ID136" s="368"/>
      <c r="IE136" s="368"/>
      <c r="IF136" s="368"/>
      <c r="IG136" s="368"/>
      <c r="IH136" s="368"/>
      <c r="II136" s="368"/>
      <c r="IJ136" s="368"/>
      <c r="IK136" s="368"/>
      <c r="IL136" s="368"/>
      <c r="IM136" s="368"/>
      <c r="IN136" s="368"/>
      <c r="IO136" s="368"/>
      <c r="IP136" s="368"/>
      <c r="IQ136" s="368"/>
      <c r="IR136" s="368"/>
      <c r="IS136" s="368"/>
      <c r="IT136" s="368"/>
      <c r="IU136" s="368"/>
    </row>
    <row r="137" spans="2:255">
      <c r="AP137" s="368"/>
      <c r="AQ137" s="368"/>
      <c r="AR137" s="368"/>
      <c r="AS137" s="368"/>
      <c r="AT137" s="368"/>
      <c r="AU137" s="368"/>
      <c r="AV137" s="368"/>
      <c r="AW137" s="368"/>
      <c r="AX137" s="368"/>
      <c r="AY137" s="368"/>
      <c r="AZ137" s="368"/>
      <c r="BA137" s="368"/>
      <c r="BB137" s="368"/>
      <c r="BC137" s="368"/>
      <c r="BD137" s="368"/>
      <c r="BE137" s="368"/>
      <c r="BF137" s="368"/>
      <c r="BG137" s="368"/>
      <c r="BH137" s="368"/>
      <c r="BI137" s="368"/>
      <c r="BJ137" s="368"/>
      <c r="BK137" s="368"/>
      <c r="BL137" s="368"/>
      <c r="BM137" s="368"/>
      <c r="BN137" s="368"/>
      <c r="BO137" s="368"/>
      <c r="BP137" s="368"/>
      <c r="BQ137" s="368"/>
      <c r="BR137" s="368"/>
      <c r="BS137" s="368"/>
      <c r="BT137" s="368"/>
      <c r="BU137" s="368"/>
      <c r="BV137" s="368"/>
      <c r="BW137" s="368"/>
      <c r="BX137" s="368"/>
      <c r="BY137" s="368"/>
      <c r="BZ137" s="368"/>
      <c r="CA137" s="368"/>
      <c r="CB137" s="368"/>
      <c r="CC137" s="368"/>
      <c r="CD137" s="368"/>
      <c r="CE137" s="368"/>
      <c r="CF137" s="368"/>
      <c r="CG137" s="368"/>
      <c r="CH137" s="368"/>
      <c r="CI137" s="368"/>
      <c r="CJ137" s="368"/>
      <c r="CK137" s="368"/>
      <c r="CL137" s="368"/>
      <c r="CM137" s="368"/>
      <c r="CN137" s="368"/>
      <c r="CO137" s="368"/>
      <c r="CP137" s="368"/>
      <c r="CQ137" s="368"/>
      <c r="CR137" s="368"/>
      <c r="CS137" s="368"/>
      <c r="CT137" s="368"/>
      <c r="CU137" s="368"/>
      <c r="CV137" s="368"/>
      <c r="CW137" s="368"/>
      <c r="CX137" s="368"/>
      <c r="CY137" s="368"/>
      <c r="CZ137" s="368"/>
      <c r="DA137" s="368"/>
      <c r="DB137" s="368"/>
      <c r="DC137" s="368"/>
      <c r="DD137" s="368"/>
      <c r="DE137" s="368"/>
      <c r="DF137" s="368"/>
      <c r="DG137" s="368"/>
      <c r="DH137" s="368"/>
      <c r="DI137" s="368"/>
      <c r="DJ137" s="368"/>
      <c r="DK137" s="368"/>
      <c r="DL137" s="368"/>
      <c r="DM137" s="368"/>
      <c r="DN137" s="368"/>
      <c r="DO137" s="368"/>
      <c r="DP137" s="368"/>
      <c r="DQ137" s="368"/>
      <c r="DR137" s="368"/>
      <c r="DS137" s="368"/>
      <c r="DT137" s="368"/>
      <c r="DU137" s="368"/>
      <c r="DV137" s="368"/>
      <c r="DW137" s="368"/>
      <c r="DX137" s="368"/>
      <c r="DY137" s="368"/>
      <c r="DZ137" s="368"/>
      <c r="EA137" s="368"/>
      <c r="EB137" s="368"/>
      <c r="EC137" s="368"/>
      <c r="ED137" s="368"/>
      <c r="EE137" s="368"/>
      <c r="EF137" s="368"/>
      <c r="EG137" s="368"/>
      <c r="EH137" s="368"/>
      <c r="EI137" s="368"/>
      <c r="EJ137" s="368"/>
      <c r="EK137" s="368"/>
      <c r="EL137" s="368"/>
      <c r="EM137" s="368"/>
      <c r="EN137" s="368"/>
      <c r="EO137" s="368"/>
      <c r="EP137" s="368"/>
      <c r="EQ137" s="368"/>
      <c r="ER137" s="368"/>
      <c r="ES137" s="368"/>
      <c r="ET137" s="368"/>
      <c r="EU137" s="368"/>
      <c r="EV137" s="368"/>
      <c r="EW137" s="368"/>
      <c r="EX137" s="368"/>
      <c r="EY137" s="368"/>
      <c r="EZ137" s="368"/>
      <c r="FA137" s="368"/>
      <c r="FB137" s="368"/>
      <c r="FC137" s="368"/>
      <c r="FD137" s="368"/>
      <c r="FE137" s="368"/>
      <c r="FF137" s="368"/>
      <c r="FG137" s="368"/>
      <c r="FH137" s="368"/>
      <c r="FI137" s="368"/>
      <c r="FJ137" s="368"/>
      <c r="FK137" s="368"/>
      <c r="FL137" s="368"/>
      <c r="FM137" s="368"/>
      <c r="FN137" s="368"/>
      <c r="FO137" s="368"/>
      <c r="FP137" s="368"/>
      <c r="FQ137" s="368"/>
      <c r="FR137" s="368"/>
      <c r="FS137" s="368"/>
      <c r="FT137" s="368"/>
      <c r="FU137" s="368"/>
      <c r="FV137" s="368"/>
      <c r="FW137" s="368"/>
      <c r="FX137" s="368"/>
      <c r="FY137" s="368"/>
      <c r="FZ137" s="368"/>
      <c r="GA137" s="368"/>
      <c r="GB137" s="368"/>
      <c r="GC137" s="368"/>
      <c r="GD137" s="368"/>
      <c r="GE137" s="368"/>
      <c r="GF137" s="368"/>
      <c r="GG137" s="368"/>
      <c r="GH137" s="368"/>
      <c r="GI137" s="368"/>
      <c r="GJ137" s="368"/>
      <c r="GK137" s="368"/>
      <c r="GL137" s="368"/>
      <c r="GM137" s="368"/>
      <c r="GN137" s="368"/>
      <c r="GO137" s="368"/>
      <c r="GP137" s="368"/>
      <c r="GQ137" s="368"/>
      <c r="GR137" s="368"/>
      <c r="GS137" s="368"/>
      <c r="GT137" s="368"/>
      <c r="GU137" s="368"/>
      <c r="GV137" s="368"/>
      <c r="GW137" s="368"/>
      <c r="GX137" s="368"/>
      <c r="GY137" s="368"/>
      <c r="GZ137" s="368"/>
      <c r="HA137" s="368"/>
      <c r="HB137" s="368"/>
      <c r="HC137" s="368"/>
      <c r="HD137" s="368"/>
      <c r="HE137" s="368"/>
      <c r="HF137" s="368"/>
      <c r="HG137" s="368"/>
      <c r="HH137" s="368"/>
      <c r="HI137" s="368"/>
      <c r="HJ137" s="368"/>
      <c r="HK137" s="368"/>
      <c r="HL137" s="368"/>
      <c r="HM137" s="368"/>
      <c r="HN137" s="368"/>
      <c r="HO137" s="368"/>
      <c r="HP137" s="368"/>
      <c r="HQ137" s="368"/>
      <c r="HR137" s="368"/>
      <c r="HS137" s="368"/>
      <c r="HT137" s="368"/>
      <c r="HU137" s="368"/>
      <c r="HV137" s="368"/>
      <c r="HW137" s="368"/>
      <c r="HX137" s="368"/>
      <c r="HY137" s="368"/>
      <c r="HZ137" s="368"/>
      <c r="IA137" s="368"/>
      <c r="IB137" s="368"/>
      <c r="IC137" s="368"/>
      <c r="ID137" s="368"/>
      <c r="IE137" s="368"/>
      <c r="IF137" s="368"/>
      <c r="IG137" s="368"/>
      <c r="IH137" s="368"/>
      <c r="II137" s="368"/>
      <c r="IJ137" s="368"/>
      <c r="IK137" s="368"/>
      <c r="IL137" s="368"/>
      <c r="IM137" s="368"/>
      <c r="IN137" s="368"/>
      <c r="IO137" s="368"/>
      <c r="IP137" s="368"/>
      <c r="IQ137" s="368"/>
      <c r="IR137" s="368"/>
      <c r="IS137" s="368"/>
      <c r="IT137" s="368"/>
      <c r="IU137" s="368"/>
    </row>
    <row r="138" spans="2:255">
      <c r="L138" s="21"/>
      <c r="AP138" s="368"/>
      <c r="AQ138" s="368"/>
      <c r="AR138" s="368"/>
      <c r="AS138" s="368"/>
      <c r="AT138" s="368"/>
      <c r="AU138" s="368"/>
      <c r="AV138" s="368"/>
      <c r="AW138" s="368"/>
      <c r="AX138" s="368"/>
      <c r="AY138" s="368"/>
      <c r="AZ138" s="368"/>
      <c r="BA138" s="368"/>
      <c r="BB138" s="368"/>
      <c r="BC138" s="368"/>
      <c r="BD138" s="368"/>
      <c r="BE138" s="368"/>
      <c r="BF138" s="368"/>
      <c r="BG138" s="368"/>
      <c r="BH138" s="368"/>
      <c r="BI138" s="368"/>
      <c r="BJ138" s="368"/>
      <c r="BK138" s="368"/>
      <c r="BL138" s="368"/>
      <c r="BM138" s="368"/>
      <c r="BN138" s="368"/>
      <c r="BO138" s="368"/>
      <c r="BP138" s="368"/>
      <c r="BQ138" s="368"/>
      <c r="BR138" s="368"/>
      <c r="BS138" s="368"/>
      <c r="BT138" s="368"/>
      <c r="BU138" s="368"/>
      <c r="BV138" s="368"/>
      <c r="BW138" s="368"/>
      <c r="BX138" s="368"/>
      <c r="BY138" s="368"/>
      <c r="BZ138" s="368"/>
      <c r="CA138" s="368"/>
      <c r="CB138" s="368"/>
      <c r="CC138" s="368"/>
      <c r="CD138" s="368"/>
      <c r="CE138" s="368"/>
      <c r="CF138" s="368"/>
      <c r="CG138" s="368"/>
      <c r="CH138" s="368"/>
      <c r="CI138" s="368"/>
      <c r="CJ138" s="368"/>
      <c r="CK138" s="368"/>
      <c r="CL138" s="368"/>
      <c r="CM138" s="368"/>
      <c r="CN138" s="368"/>
      <c r="CO138" s="368"/>
      <c r="CP138" s="368"/>
      <c r="CQ138" s="368"/>
      <c r="CR138" s="368"/>
      <c r="CS138" s="368"/>
      <c r="CT138" s="368"/>
      <c r="CU138" s="368"/>
      <c r="CV138" s="368"/>
      <c r="CW138" s="368"/>
      <c r="CX138" s="368"/>
      <c r="CY138" s="368"/>
      <c r="CZ138" s="368"/>
      <c r="DA138" s="368"/>
      <c r="DB138" s="368"/>
      <c r="DC138" s="368"/>
      <c r="DD138" s="368"/>
      <c r="DE138" s="368"/>
      <c r="DF138" s="368"/>
      <c r="DG138" s="368"/>
      <c r="DH138" s="368"/>
      <c r="DI138" s="368"/>
      <c r="DJ138" s="368"/>
      <c r="DK138" s="368"/>
      <c r="DL138" s="368"/>
      <c r="DM138" s="368"/>
      <c r="DN138" s="368"/>
      <c r="DO138" s="368"/>
      <c r="DP138" s="368"/>
      <c r="DQ138" s="368"/>
      <c r="DR138" s="368"/>
      <c r="DS138" s="368"/>
      <c r="DT138" s="368"/>
      <c r="DU138" s="368"/>
      <c r="DV138" s="368"/>
      <c r="DW138" s="368"/>
      <c r="DX138" s="368"/>
      <c r="DY138" s="368"/>
      <c r="DZ138" s="368"/>
      <c r="EA138" s="368"/>
      <c r="EB138" s="368"/>
      <c r="EC138" s="368"/>
      <c r="ED138" s="368"/>
      <c r="EE138" s="368"/>
      <c r="EF138" s="368"/>
      <c r="EG138" s="368"/>
      <c r="EH138" s="368"/>
      <c r="EI138" s="368"/>
      <c r="EJ138" s="368"/>
      <c r="EK138" s="368"/>
      <c r="EL138" s="368"/>
      <c r="EM138" s="368"/>
      <c r="EN138" s="368"/>
      <c r="EO138" s="368"/>
      <c r="EP138" s="368"/>
      <c r="EQ138" s="368"/>
      <c r="ER138" s="368"/>
      <c r="ES138" s="368"/>
      <c r="ET138" s="368"/>
      <c r="EU138" s="368"/>
      <c r="EV138" s="368"/>
      <c r="EW138" s="368"/>
      <c r="EX138" s="368"/>
      <c r="EY138" s="368"/>
      <c r="EZ138" s="368"/>
      <c r="FA138" s="368"/>
      <c r="FB138" s="368"/>
      <c r="FC138" s="368"/>
      <c r="FD138" s="368"/>
      <c r="FE138" s="368"/>
      <c r="FF138" s="368"/>
      <c r="FG138" s="368"/>
      <c r="FH138" s="368"/>
      <c r="FI138" s="368"/>
      <c r="FJ138" s="368"/>
      <c r="FK138" s="368"/>
      <c r="FL138" s="368"/>
      <c r="FM138" s="368"/>
      <c r="FN138" s="368"/>
      <c r="FO138" s="368"/>
      <c r="FP138" s="368"/>
      <c r="FQ138" s="368"/>
      <c r="FR138" s="368"/>
      <c r="FS138" s="368"/>
      <c r="FT138" s="368"/>
      <c r="FU138" s="368"/>
      <c r="FV138" s="368"/>
      <c r="FW138" s="368"/>
      <c r="FX138" s="368"/>
      <c r="FY138" s="368"/>
      <c r="FZ138" s="368"/>
      <c r="GA138" s="368"/>
      <c r="GB138" s="368"/>
      <c r="GC138" s="368"/>
      <c r="GD138" s="368"/>
      <c r="GE138" s="368"/>
      <c r="GF138" s="368"/>
      <c r="GG138" s="368"/>
      <c r="GH138" s="368"/>
      <c r="GI138" s="368"/>
      <c r="GJ138" s="368"/>
      <c r="GK138" s="368"/>
      <c r="GL138" s="368"/>
      <c r="GM138" s="368"/>
      <c r="GN138" s="368"/>
      <c r="GO138" s="368"/>
      <c r="GP138" s="368"/>
      <c r="GQ138" s="368"/>
      <c r="GR138" s="368"/>
      <c r="GS138" s="368"/>
      <c r="GT138" s="368"/>
      <c r="GU138" s="368"/>
      <c r="GV138" s="368"/>
      <c r="GW138" s="368"/>
      <c r="GX138" s="368"/>
      <c r="GY138" s="368"/>
      <c r="GZ138" s="368"/>
      <c r="HA138" s="368"/>
      <c r="HB138" s="368"/>
      <c r="HC138" s="368"/>
      <c r="HD138" s="368"/>
      <c r="HE138" s="368"/>
      <c r="HF138" s="368"/>
      <c r="HG138" s="368"/>
      <c r="HH138" s="368"/>
      <c r="HI138" s="368"/>
      <c r="HJ138" s="368"/>
      <c r="HK138" s="368"/>
      <c r="HL138" s="368"/>
      <c r="HM138" s="368"/>
      <c r="HN138" s="368"/>
      <c r="HO138" s="368"/>
      <c r="HP138" s="368"/>
      <c r="HQ138" s="368"/>
      <c r="HR138" s="368"/>
      <c r="HS138" s="368"/>
      <c r="HT138" s="368"/>
      <c r="HU138" s="368"/>
      <c r="HV138" s="368"/>
      <c r="HW138" s="368"/>
      <c r="HX138" s="368"/>
      <c r="HY138" s="368"/>
      <c r="HZ138" s="368"/>
      <c r="IA138" s="368"/>
      <c r="IB138" s="368"/>
      <c r="IC138" s="368"/>
      <c r="ID138" s="368"/>
      <c r="IE138" s="368"/>
      <c r="IF138" s="368"/>
      <c r="IG138" s="368"/>
      <c r="IH138" s="368"/>
      <c r="II138" s="368"/>
      <c r="IJ138" s="368"/>
      <c r="IK138" s="368"/>
      <c r="IL138" s="368"/>
      <c r="IM138" s="368"/>
      <c r="IN138" s="368"/>
      <c r="IO138" s="368"/>
      <c r="IP138" s="368"/>
      <c r="IQ138" s="368"/>
      <c r="IR138" s="368"/>
      <c r="IS138" s="368"/>
      <c r="IT138" s="368"/>
      <c r="IU138" s="368"/>
    </row>
    <row r="139" spans="2:255" ht="18.5">
      <c r="L139" s="25"/>
      <c r="AA139" s="1026"/>
      <c r="AB139" s="1026"/>
      <c r="AC139" s="1026"/>
      <c r="AD139" s="1026"/>
      <c r="AE139" s="1026"/>
      <c r="AF139" s="1026"/>
      <c r="AG139" s="1026"/>
      <c r="AH139" s="1026"/>
      <c r="AI139" s="1026"/>
      <c r="AJ139" s="1026"/>
      <c r="AK139" s="1026"/>
      <c r="AL139" s="1026"/>
      <c r="AP139" s="368"/>
      <c r="AQ139" s="368"/>
      <c r="AR139" s="368"/>
      <c r="AS139" s="368"/>
      <c r="AT139" s="368"/>
      <c r="AU139" s="368"/>
      <c r="AV139" s="368"/>
      <c r="AW139" s="368"/>
      <c r="AX139" s="368"/>
      <c r="AY139" s="368"/>
      <c r="AZ139" s="368"/>
      <c r="BA139" s="368"/>
      <c r="BB139" s="368"/>
      <c r="BC139" s="368"/>
      <c r="BD139" s="368"/>
      <c r="BE139" s="368"/>
      <c r="BF139" s="368"/>
      <c r="BG139" s="368"/>
      <c r="BH139" s="368"/>
      <c r="BI139" s="368"/>
      <c r="BJ139" s="368"/>
      <c r="BK139" s="368"/>
      <c r="BL139" s="368"/>
      <c r="BM139" s="368"/>
      <c r="BN139" s="368"/>
      <c r="BO139" s="368"/>
      <c r="BP139" s="368"/>
      <c r="BQ139" s="368"/>
      <c r="BR139" s="368"/>
      <c r="BS139" s="368"/>
      <c r="BT139" s="368"/>
      <c r="BU139" s="368"/>
      <c r="BV139" s="368"/>
      <c r="BW139" s="368"/>
      <c r="BX139" s="368"/>
      <c r="BY139" s="368"/>
      <c r="BZ139" s="368"/>
      <c r="CA139" s="368"/>
      <c r="CB139" s="368"/>
      <c r="CC139" s="368"/>
      <c r="CD139" s="368"/>
      <c r="CE139" s="368"/>
      <c r="CF139" s="368"/>
      <c r="CG139" s="368"/>
      <c r="CH139" s="368"/>
      <c r="CI139" s="368"/>
      <c r="CJ139" s="368"/>
      <c r="CK139" s="368"/>
      <c r="CL139" s="368"/>
      <c r="CM139" s="368"/>
      <c r="CN139" s="368"/>
      <c r="CO139" s="368"/>
      <c r="CP139" s="368"/>
      <c r="CQ139" s="368"/>
      <c r="CR139" s="368"/>
      <c r="CS139" s="368"/>
      <c r="CT139" s="368"/>
      <c r="CU139" s="368"/>
      <c r="CV139" s="368"/>
      <c r="CW139" s="368"/>
      <c r="CX139" s="368"/>
      <c r="CY139" s="368"/>
      <c r="CZ139" s="368"/>
      <c r="DA139" s="368"/>
      <c r="DB139" s="368"/>
      <c r="DC139" s="368"/>
      <c r="DD139" s="368"/>
      <c r="DE139" s="368"/>
      <c r="DF139" s="368"/>
      <c r="DG139" s="368"/>
      <c r="DH139" s="368"/>
      <c r="DI139" s="368"/>
      <c r="DJ139" s="368"/>
      <c r="DK139" s="368"/>
      <c r="DL139" s="368"/>
      <c r="DM139" s="368"/>
      <c r="DN139" s="368"/>
      <c r="DO139" s="368"/>
      <c r="DP139" s="368"/>
      <c r="DQ139" s="368"/>
      <c r="DR139" s="368"/>
      <c r="DS139" s="368"/>
      <c r="DT139" s="368"/>
      <c r="DU139" s="368"/>
      <c r="DV139" s="368"/>
      <c r="DW139" s="368"/>
      <c r="DX139" s="368"/>
      <c r="DY139" s="368"/>
      <c r="DZ139" s="368"/>
      <c r="EA139" s="368"/>
      <c r="EB139" s="368"/>
      <c r="EC139" s="368"/>
      <c r="ED139" s="368"/>
      <c r="EE139" s="368"/>
      <c r="EF139" s="368"/>
      <c r="EG139" s="368"/>
      <c r="EH139" s="368"/>
      <c r="EI139" s="368"/>
      <c r="EJ139" s="368"/>
      <c r="EK139" s="368"/>
      <c r="EL139" s="368"/>
      <c r="EM139" s="368"/>
      <c r="EN139" s="368"/>
      <c r="EO139" s="368"/>
      <c r="EP139" s="368"/>
      <c r="EQ139" s="368"/>
      <c r="ER139" s="368"/>
      <c r="ES139" s="368"/>
      <c r="ET139" s="368"/>
      <c r="EU139" s="368"/>
      <c r="EV139" s="368"/>
      <c r="EW139" s="368"/>
      <c r="EX139" s="368"/>
      <c r="EY139" s="368"/>
      <c r="EZ139" s="368"/>
      <c r="FA139" s="368"/>
      <c r="FB139" s="368"/>
      <c r="FC139" s="368"/>
      <c r="FD139" s="368"/>
      <c r="FE139" s="368"/>
      <c r="FF139" s="368"/>
      <c r="FG139" s="368"/>
      <c r="FH139" s="368"/>
      <c r="FI139" s="368"/>
      <c r="FJ139" s="368"/>
      <c r="FK139" s="368"/>
      <c r="FL139" s="368"/>
      <c r="FM139" s="368"/>
      <c r="FN139" s="368"/>
      <c r="FO139" s="368"/>
      <c r="FP139" s="368"/>
      <c r="FQ139" s="368"/>
      <c r="FR139" s="368"/>
      <c r="FS139" s="368"/>
      <c r="FT139" s="368"/>
      <c r="FU139" s="368"/>
      <c r="FV139" s="368"/>
      <c r="FW139" s="368"/>
      <c r="FX139" s="368"/>
      <c r="FY139" s="368"/>
      <c r="FZ139" s="368"/>
      <c r="GA139" s="368"/>
      <c r="GB139" s="368"/>
      <c r="GC139" s="368"/>
      <c r="GD139" s="368"/>
      <c r="GE139" s="368"/>
      <c r="GF139" s="368"/>
      <c r="GG139" s="368"/>
      <c r="GH139" s="368"/>
      <c r="GI139" s="368"/>
      <c r="GJ139" s="368"/>
      <c r="GK139" s="368"/>
      <c r="GL139" s="368"/>
      <c r="GM139" s="368"/>
      <c r="GN139" s="368"/>
      <c r="GO139" s="368"/>
      <c r="GP139" s="368"/>
      <c r="GQ139" s="368"/>
      <c r="GR139" s="368"/>
      <c r="GS139" s="368"/>
      <c r="GT139" s="368"/>
      <c r="GU139" s="368"/>
      <c r="GV139" s="368"/>
      <c r="GW139" s="368"/>
      <c r="GX139" s="368"/>
      <c r="GY139" s="368"/>
      <c r="GZ139" s="368"/>
      <c r="HA139" s="368"/>
      <c r="HB139" s="368"/>
      <c r="HC139" s="368"/>
      <c r="HD139" s="368"/>
      <c r="HE139" s="368"/>
      <c r="HF139" s="368"/>
      <c r="HG139" s="368"/>
      <c r="HH139" s="368"/>
      <c r="HI139" s="368"/>
      <c r="HJ139" s="368"/>
      <c r="HK139" s="368"/>
      <c r="HL139" s="368"/>
      <c r="HM139" s="368"/>
      <c r="HN139" s="368"/>
      <c r="HO139" s="368"/>
      <c r="HP139" s="368"/>
      <c r="HQ139" s="368"/>
      <c r="HR139" s="368"/>
      <c r="HS139" s="368"/>
      <c r="HT139" s="368"/>
      <c r="HU139" s="368"/>
      <c r="HV139" s="368"/>
      <c r="HW139" s="368"/>
      <c r="HX139" s="368"/>
      <c r="HY139" s="368"/>
      <c r="HZ139" s="368"/>
      <c r="IA139" s="368"/>
      <c r="IB139" s="368"/>
      <c r="IC139" s="368"/>
      <c r="ID139" s="368"/>
      <c r="IE139" s="368"/>
      <c r="IF139" s="368"/>
      <c r="IG139" s="368"/>
      <c r="IH139" s="368"/>
      <c r="II139" s="368"/>
      <c r="IJ139" s="368"/>
      <c r="IK139" s="368"/>
      <c r="IL139" s="368"/>
      <c r="IM139" s="368"/>
      <c r="IN139" s="368"/>
      <c r="IO139" s="368"/>
      <c r="IP139" s="368"/>
      <c r="IQ139" s="368"/>
      <c r="IR139" s="368"/>
      <c r="IS139" s="368"/>
      <c r="IT139" s="368"/>
      <c r="IU139" s="368"/>
    </row>
    <row r="140" spans="2:255" ht="18.5">
      <c r="L140" s="25"/>
      <c r="AA140" s="1026"/>
      <c r="AB140" s="1026"/>
      <c r="AC140" s="1026"/>
      <c r="AD140" s="1026"/>
      <c r="AE140" s="1026"/>
      <c r="AF140" s="1026"/>
      <c r="AG140" s="1026"/>
      <c r="AH140" s="1026"/>
      <c r="AI140" s="265"/>
      <c r="AJ140" s="265"/>
      <c r="AK140" s="60"/>
      <c r="AL140" s="60"/>
      <c r="AP140" s="368"/>
      <c r="AQ140" s="368"/>
      <c r="AR140" s="368"/>
      <c r="AS140" s="368"/>
      <c r="AT140" s="368"/>
      <c r="AU140" s="368"/>
      <c r="AV140" s="368"/>
      <c r="AW140" s="368"/>
      <c r="AX140" s="368"/>
      <c r="AY140" s="368"/>
      <c r="AZ140" s="368"/>
      <c r="BA140" s="368"/>
      <c r="BB140" s="368"/>
      <c r="BC140" s="368"/>
      <c r="BD140" s="368"/>
      <c r="BE140" s="368"/>
      <c r="BF140" s="368"/>
      <c r="BG140" s="368"/>
      <c r="BH140" s="368"/>
      <c r="BI140" s="368"/>
      <c r="BJ140" s="368"/>
      <c r="BK140" s="368"/>
      <c r="BL140" s="368"/>
      <c r="BM140" s="368"/>
      <c r="BN140" s="368"/>
      <c r="BO140" s="368"/>
      <c r="BP140" s="368"/>
      <c r="BQ140" s="368"/>
      <c r="BR140" s="368"/>
      <c r="BS140" s="368"/>
      <c r="BT140" s="368"/>
      <c r="BU140" s="368"/>
      <c r="BV140" s="368"/>
      <c r="BW140" s="368"/>
      <c r="BX140" s="368"/>
      <c r="BY140" s="368"/>
      <c r="BZ140" s="368"/>
      <c r="CA140" s="368"/>
      <c r="CB140" s="368"/>
      <c r="CC140" s="368"/>
      <c r="CD140" s="368"/>
      <c r="CE140" s="368"/>
      <c r="CF140" s="368"/>
      <c r="CG140" s="368"/>
      <c r="CH140" s="368"/>
      <c r="CI140" s="368"/>
      <c r="CJ140" s="368"/>
      <c r="CK140" s="368"/>
      <c r="CL140" s="368"/>
      <c r="CM140" s="368"/>
      <c r="CN140" s="368"/>
      <c r="CO140" s="368"/>
      <c r="CP140" s="368"/>
      <c r="CQ140" s="368"/>
      <c r="CR140" s="368"/>
      <c r="CS140" s="368"/>
      <c r="CT140" s="368"/>
      <c r="CU140" s="368"/>
      <c r="CV140" s="368"/>
      <c r="CW140" s="368"/>
      <c r="CX140" s="368"/>
      <c r="CY140" s="368"/>
      <c r="CZ140" s="368"/>
      <c r="DA140" s="368"/>
      <c r="DB140" s="368"/>
      <c r="DC140" s="368"/>
      <c r="DD140" s="368"/>
      <c r="DE140" s="368"/>
      <c r="DF140" s="368"/>
      <c r="DG140" s="368"/>
      <c r="DH140" s="368"/>
      <c r="DI140" s="368"/>
      <c r="DJ140" s="368"/>
      <c r="DK140" s="368"/>
      <c r="DL140" s="368"/>
      <c r="DM140" s="368"/>
      <c r="DN140" s="368"/>
      <c r="DO140" s="368"/>
      <c r="DP140" s="368"/>
      <c r="DQ140" s="368"/>
      <c r="DR140" s="368"/>
      <c r="DS140" s="368"/>
      <c r="DT140" s="368"/>
      <c r="DU140" s="368"/>
      <c r="DV140" s="368"/>
      <c r="DW140" s="368"/>
      <c r="DX140" s="368"/>
      <c r="DY140" s="368"/>
      <c r="DZ140" s="368"/>
      <c r="EA140" s="368"/>
      <c r="EB140" s="368"/>
      <c r="EC140" s="368"/>
      <c r="ED140" s="368"/>
      <c r="EE140" s="368"/>
      <c r="EF140" s="368"/>
      <c r="EG140" s="368"/>
      <c r="EH140" s="368"/>
      <c r="EI140" s="368"/>
      <c r="EJ140" s="368"/>
      <c r="EK140" s="368"/>
      <c r="EL140" s="368"/>
      <c r="EM140" s="368"/>
      <c r="EN140" s="368"/>
      <c r="EO140" s="368"/>
      <c r="EP140" s="368"/>
      <c r="EQ140" s="368"/>
      <c r="ER140" s="368"/>
      <c r="ES140" s="368"/>
      <c r="ET140" s="368"/>
      <c r="EU140" s="368"/>
      <c r="EV140" s="368"/>
      <c r="EW140" s="368"/>
      <c r="EX140" s="368"/>
      <c r="EY140" s="368"/>
      <c r="EZ140" s="368"/>
      <c r="FA140" s="368"/>
      <c r="FB140" s="368"/>
      <c r="FC140" s="368"/>
      <c r="FD140" s="368"/>
      <c r="FE140" s="368"/>
      <c r="FF140" s="368"/>
      <c r="FG140" s="368"/>
      <c r="FH140" s="368"/>
      <c r="FI140" s="368"/>
      <c r="FJ140" s="368"/>
      <c r="FK140" s="368"/>
      <c r="FL140" s="368"/>
      <c r="FM140" s="368"/>
      <c r="FN140" s="368"/>
      <c r="FO140" s="368"/>
      <c r="FP140" s="368"/>
      <c r="FQ140" s="368"/>
      <c r="FR140" s="368"/>
      <c r="FS140" s="368"/>
      <c r="FT140" s="368"/>
      <c r="FU140" s="368"/>
      <c r="FV140" s="368"/>
      <c r="FW140" s="368"/>
      <c r="FX140" s="368"/>
      <c r="FY140" s="368"/>
      <c r="FZ140" s="368"/>
      <c r="GA140" s="368"/>
      <c r="GB140" s="368"/>
      <c r="GC140" s="368"/>
      <c r="GD140" s="368"/>
      <c r="GE140" s="368"/>
      <c r="GF140" s="368"/>
      <c r="GG140" s="368"/>
      <c r="GH140" s="368"/>
      <c r="GI140" s="368"/>
      <c r="GJ140" s="368"/>
      <c r="GK140" s="368"/>
      <c r="GL140" s="368"/>
      <c r="GM140" s="368"/>
      <c r="GN140" s="368"/>
      <c r="GO140" s="368"/>
      <c r="GP140" s="368"/>
      <c r="GQ140" s="368"/>
      <c r="GR140" s="368"/>
      <c r="GS140" s="368"/>
      <c r="GT140" s="368"/>
      <c r="GU140" s="368"/>
      <c r="GV140" s="368"/>
      <c r="GW140" s="368"/>
      <c r="GX140" s="368"/>
      <c r="GY140" s="368"/>
      <c r="GZ140" s="368"/>
      <c r="HA140" s="368"/>
      <c r="HB140" s="368"/>
      <c r="HC140" s="368"/>
      <c r="HD140" s="368"/>
      <c r="HE140" s="368"/>
      <c r="HF140" s="368"/>
      <c r="HG140" s="368"/>
      <c r="HH140" s="368"/>
      <c r="HI140" s="368"/>
      <c r="HJ140" s="368"/>
      <c r="HK140" s="368"/>
      <c r="HL140" s="368"/>
      <c r="HM140" s="368"/>
      <c r="HN140" s="368"/>
      <c r="HO140" s="368"/>
      <c r="HP140" s="368"/>
      <c r="HQ140" s="368"/>
      <c r="HR140" s="368"/>
      <c r="HS140" s="368"/>
      <c r="HT140" s="368"/>
      <c r="HU140" s="368"/>
      <c r="HV140" s="368"/>
      <c r="HW140" s="368"/>
      <c r="HX140" s="368"/>
      <c r="HY140" s="368"/>
      <c r="HZ140" s="368"/>
      <c r="IA140" s="368"/>
      <c r="IB140" s="368"/>
      <c r="IC140" s="368"/>
      <c r="ID140" s="368"/>
      <c r="IE140" s="368"/>
      <c r="IF140" s="368"/>
      <c r="IG140" s="368"/>
      <c r="IH140" s="368"/>
      <c r="II140" s="368"/>
      <c r="IJ140" s="368"/>
      <c r="IK140" s="368"/>
      <c r="IL140" s="368"/>
      <c r="IM140" s="368"/>
      <c r="IN140" s="368"/>
      <c r="IO140" s="368"/>
      <c r="IP140" s="368"/>
      <c r="IQ140" s="368"/>
      <c r="IR140" s="368"/>
      <c r="IS140" s="368"/>
      <c r="IT140" s="368"/>
      <c r="IU140" s="368"/>
    </row>
    <row r="141" spans="2:255">
      <c r="L141" s="21"/>
      <c r="AA141" s="1026"/>
      <c r="AB141" s="1026"/>
      <c r="AC141" s="1026"/>
      <c r="AD141" s="1026"/>
      <c r="AE141" s="1026"/>
      <c r="AF141" s="1026"/>
      <c r="AG141" s="1026"/>
      <c r="AH141" s="1026"/>
      <c r="AI141" s="38"/>
      <c r="AJ141" s="265"/>
      <c r="AK141" s="60"/>
      <c r="AL141" s="60"/>
      <c r="AP141" s="368"/>
      <c r="AQ141" s="368"/>
      <c r="AR141" s="368"/>
      <c r="AS141" s="368"/>
      <c r="AT141" s="368"/>
      <c r="AU141" s="368"/>
      <c r="AV141" s="368"/>
      <c r="AW141" s="368"/>
      <c r="AX141" s="368"/>
      <c r="AY141" s="368"/>
      <c r="AZ141" s="368"/>
      <c r="BA141" s="368"/>
      <c r="BB141" s="368"/>
      <c r="BC141" s="368"/>
      <c r="BD141" s="368"/>
      <c r="BE141" s="368"/>
      <c r="BF141" s="368"/>
      <c r="BG141" s="368"/>
      <c r="BH141" s="368"/>
      <c r="BI141" s="368"/>
      <c r="BJ141" s="368"/>
      <c r="BK141" s="368"/>
      <c r="BL141" s="368"/>
      <c r="BM141" s="368"/>
      <c r="BN141" s="368"/>
      <c r="BO141" s="368"/>
      <c r="BP141" s="368"/>
      <c r="BQ141" s="368"/>
      <c r="BR141" s="368"/>
      <c r="BS141" s="368"/>
      <c r="BT141" s="368"/>
      <c r="BU141" s="368"/>
      <c r="BV141" s="368"/>
      <c r="BW141" s="368"/>
      <c r="BX141" s="368"/>
      <c r="BY141" s="368"/>
      <c r="BZ141" s="368"/>
      <c r="CA141" s="368"/>
      <c r="CB141" s="368"/>
      <c r="CC141" s="368"/>
      <c r="CD141" s="368"/>
      <c r="CE141" s="368"/>
      <c r="CF141" s="368"/>
      <c r="CG141" s="368"/>
      <c r="CH141" s="368"/>
      <c r="CI141" s="368"/>
      <c r="CJ141" s="368"/>
      <c r="CK141" s="368"/>
      <c r="CL141" s="368"/>
      <c r="CM141" s="368"/>
      <c r="CN141" s="368"/>
      <c r="CO141" s="368"/>
      <c r="CP141" s="368"/>
      <c r="CQ141" s="368"/>
      <c r="CR141" s="368"/>
      <c r="CS141" s="368"/>
      <c r="CT141" s="368"/>
      <c r="CU141" s="368"/>
      <c r="CV141" s="368"/>
      <c r="CW141" s="368"/>
      <c r="CX141" s="368"/>
      <c r="CY141" s="368"/>
      <c r="CZ141" s="368"/>
      <c r="DA141" s="368"/>
      <c r="DB141" s="368"/>
      <c r="DC141" s="368"/>
      <c r="DD141" s="368"/>
      <c r="DE141" s="368"/>
      <c r="DF141" s="368"/>
      <c r="DG141" s="368"/>
      <c r="DH141" s="368"/>
      <c r="DI141" s="368"/>
      <c r="DJ141" s="368"/>
      <c r="DK141" s="368"/>
      <c r="DL141" s="368"/>
      <c r="DM141" s="368"/>
      <c r="DN141" s="368"/>
      <c r="DO141" s="368"/>
      <c r="DP141" s="368"/>
      <c r="DQ141" s="368"/>
      <c r="DR141" s="368"/>
      <c r="DS141" s="368"/>
      <c r="DT141" s="368"/>
      <c r="DU141" s="368"/>
      <c r="DV141" s="368"/>
      <c r="DW141" s="368"/>
      <c r="DX141" s="368"/>
      <c r="DY141" s="368"/>
      <c r="DZ141" s="368"/>
      <c r="EA141" s="368"/>
      <c r="EB141" s="368"/>
      <c r="EC141" s="368"/>
      <c r="ED141" s="368"/>
      <c r="EE141" s="368"/>
      <c r="EF141" s="368"/>
      <c r="EG141" s="368"/>
      <c r="EH141" s="368"/>
      <c r="EI141" s="368"/>
      <c r="EJ141" s="368"/>
      <c r="EK141" s="368"/>
      <c r="EL141" s="368"/>
      <c r="EM141" s="368"/>
      <c r="EN141" s="368"/>
      <c r="EO141" s="368"/>
      <c r="EP141" s="368"/>
      <c r="EQ141" s="368"/>
      <c r="ER141" s="368"/>
      <c r="ES141" s="368"/>
      <c r="ET141" s="368"/>
      <c r="EU141" s="368"/>
      <c r="EV141" s="368"/>
      <c r="EW141" s="368"/>
      <c r="EX141" s="368"/>
      <c r="EY141" s="368"/>
      <c r="EZ141" s="368"/>
      <c r="FA141" s="368"/>
      <c r="FB141" s="368"/>
      <c r="FC141" s="368"/>
      <c r="FD141" s="368"/>
      <c r="FE141" s="368"/>
      <c r="FF141" s="368"/>
      <c r="FG141" s="368"/>
      <c r="FH141" s="368"/>
      <c r="FI141" s="368"/>
      <c r="FJ141" s="368"/>
      <c r="FK141" s="368"/>
      <c r="FL141" s="368"/>
      <c r="FM141" s="368"/>
      <c r="FN141" s="368"/>
      <c r="FO141" s="368"/>
      <c r="FP141" s="368"/>
      <c r="FQ141" s="368"/>
      <c r="FR141" s="368"/>
      <c r="FS141" s="368"/>
      <c r="FT141" s="368"/>
      <c r="FU141" s="368"/>
      <c r="FV141" s="368"/>
      <c r="FW141" s="368"/>
      <c r="FX141" s="368"/>
      <c r="FY141" s="368"/>
      <c r="FZ141" s="368"/>
      <c r="GA141" s="368"/>
      <c r="GB141" s="368"/>
      <c r="GC141" s="368"/>
      <c r="GD141" s="368"/>
      <c r="GE141" s="368"/>
      <c r="GF141" s="368"/>
      <c r="GG141" s="368"/>
      <c r="GH141" s="368"/>
      <c r="GI141" s="368"/>
      <c r="GJ141" s="368"/>
      <c r="GK141" s="368"/>
      <c r="GL141" s="368"/>
      <c r="GM141" s="368"/>
      <c r="GN141" s="368"/>
      <c r="GO141" s="368"/>
      <c r="GP141" s="368"/>
      <c r="GQ141" s="368"/>
      <c r="GR141" s="368"/>
      <c r="GS141" s="368"/>
      <c r="GT141" s="368"/>
      <c r="GU141" s="368"/>
      <c r="GV141" s="368"/>
      <c r="GW141" s="368"/>
      <c r="GX141" s="368"/>
      <c r="GY141" s="368"/>
      <c r="GZ141" s="368"/>
      <c r="HA141" s="368"/>
      <c r="HB141" s="368"/>
      <c r="HC141" s="368"/>
      <c r="HD141" s="368"/>
      <c r="HE141" s="368"/>
      <c r="HF141" s="368"/>
      <c r="HG141" s="368"/>
      <c r="HH141" s="368"/>
      <c r="HI141" s="368"/>
      <c r="HJ141" s="368"/>
      <c r="HK141" s="368"/>
      <c r="HL141" s="368"/>
      <c r="HM141" s="368"/>
      <c r="HN141" s="368"/>
      <c r="HO141" s="368"/>
      <c r="HP141" s="368"/>
      <c r="HQ141" s="368"/>
      <c r="HR141" s="368"/>
      <c r="HS141" s="368"/>
      <c r="HT141" s="368"/>
      <c r="HU141" s="368"/>
      <c r="HV141" s="368"/>
      <c r="HW141" s="368"/>
      <c r="HX141" s="368"/>
      <c r="HY141" s="368"/>
      <c r="HZ141" s="368"/>
      <c r="IA141" s="368"/>
      <c r="IB141" s="368"/>
      <c r="IC141" s="368"/>
      <c r="ID141" s="368"/>
      <c r="IE141" s="368"/>
      <c r="IF141" s="368"/>
      <c r="IG141" s="368"/>
      <c r="IH141" s="368"/>
      <c r="II141" s="368"/>
      <c r="IJ141" s="368"/>
      <c r="IK141" s="368"/>
      <c r="IL141" s="368"/>
      <c r="IM141" s="368"/>
      <c r="IN141" s="368"/>
      <c r="IO141" s="368"/>
      <c r="IP141" s="368"/>
      <c r="IQ141" s="368"/>
      <c r="IR141" s="368"/>
      <c r="IS141" s="368"/>
      <c r="IT141" s="368"/>
      <c r="IU141" s="368"/>
    </row>
    <row r="142" spans="2:255">
      <c r="AE142" s="17"/>
      <c r="AF142" s="17"/>
      <c r="AG142" s="17"/>
      <c r="AP142" s="368"/>
      <c r="AQ142" s="368"/>
      <c r="AR142" s="368"/>
      <c r="AS142" s="368"/>
      <c r="AT142" s="368"/>
      <c r="AU142" s="368"/>
      <c r="AV142" s="368"/>
      <c r="AW142" s="368"/>
      <c r="AX142" s="368"/>
      <c r="AY142" s="368"/>
      <c r="AZ142" s="368"/>
      <c r="BA142" s="368"/>
      <c r="BB142" s="368"/>
      <c r="BC142" s="368"/>
      <c r="BD142" s="368"/>
      <c r="BE142" s="368"/>
      <c r="BF142" s="368"/>
      <c r="BG142" s="368"/>
      <c r="BH142" s="368"/>
      <c r="BI142" s="368"/>
      <c r="BJ142" s="368"/>
      <c r="BK142" s="368"/>
      <c r="BL142" s="368"/>
      <c r="BM142" s="368"/>
      <c r="BN142" s="368"/>
      <c r="BO142" s="368"/>
      <c r="BP142" s="368"/>
      <c r="BQ142" s="368"/>
      <c r="BR142" s="368"/>
      <c r="BS142" s="368"/>
      <c r="BT142" s="368"/>
      <c r="BU142" s="368"/>
      <c r="BV142" s="368"/>
      <c r="BW142" s="368"/>
      <c r="BX142" s="368"/>
      <c r="BY142" s="368"/>
      <c r="BZ142" s="368"/>
      <c r="CA142" s="368"/>
      <c r="CB142" s="368"/>
      <c r="CC142" s="368"/>
      <c r="CD142" s="368"/>
      <c r="CE142" s="368"/>
      <c r="CF142" s="368"/>
      <c r="CG142" s="368"/>
      <c r="CH142" s="368"/>
      <c r="CI142" s="368"/>
      <c r="CJ142" s="368"/>
      <c r="CK142" s="368"/>
      <c r="CL142" s="368"/>
      <c r="CM142" s="368"/>
      <c r="CN142" s="368"/>
      <c r="CO142" s="368"/>
      <c r="CP142" s="368"/>
      <c r="CQ142" s="368"/>
      <c r="CR142" s="368"/>
      <c r="CS142" s="368"/>
      <c r="CT142" s="368"/>
      <c r="CU142" s="368"/>
      <c r="CV142" s="368"/>
      <c r="CW142" s="368"/>
      <c r="CX142" s="368"/>
      <c r="CY142" s="368"/>
      <c r="CZ142" s="368"/>
      <c r="DA142" s="368"/>
      <c r="DB142" s="368"/>
      <c r="DC142" s="368"/>
      <c r="DD142" s="368"/>
      <c r="DE142" s="368"/>
      <c r="DF142" s="368"/>
      <c r="DG142" s="368"/>
      <c r="DH142" s="368"/>
      <c r="DI142" s="368"/>
      <c r="DJ142" s="368"/>
      <c r="DK142" s="368"/>
      <c r="DL142" s="368"/>
      <c r="DM142" s="368"/>
      <c r="DN142" s="368"/>
      <c r="DO142" s="368"/>
      <c r="DP142" s="368"/>
      <c r="DQ142" s="368"/>
      <c r="DR142" s="368"/>
      <c r="DS142" s="368"/>
      <c r="DT142" s="368"/>
      <c r="DU142" s="368"/>
      <c r="DV142" s="368"/>
      <c r="DW142" s="368"/>
      <c r="DX142" s="368"/>
      <c r="DY142" s="368"/>
      <c r="DZ142" s="368"/>
      <c r="EA142" s="368"/>
      <c r="EB142" s="368"/>
      <c r="EC142" s="368"/>
      <c r="ED142" s="368"/>
      <c r="EE142" s="368"/>
      <c r="EF142" s="368"/>
      <c r="EG142" s="368"/>
      <c r="EH142" s="368"/>
      <c r="EI142" s="368"/>
      <c r="EJ142" s="368"/>
      <c r="EK142" s="368"/>
      <c r="EL142" s="368"/>
      <c r="EM142" s="368"/>
      <c r="EN142" s="368"/>
      <c r="EO142" s="368"/>
      <c r="EP142" s="368"/>
      <c r="EQ142" s="368"/>
      <c r="ER142" s="368"/>
      <c r="ES142" s="368"/>
      <c r="ET142" s="368"/>
      <c r="EU142" s="368"/>
      <c r="EV142" s="368"/>
      <c r="EW142" s="368"/>
      <c r="EX142" s="368"/>
      <c r="EY142" s="368"/>
      <c r="EZ142" s="368"/>
      <c r="FA142" s="368"/>
      <c r="FB142" s="368"/>
      <c r="FC142" s="368"/>
      <c r="FD142" s="368"/>
      <c r="FE142" s="368"/>
      <c r="FF142" s="368"/>
      <c r="FG142" s="368"/>
      <c r="FH142" s="368"/>
      <c r="FI142" s="368"/>
      <c r="FJ142" s="368"/>
      <c r="FK142" s="368"/>
      <c r="FL142" s="368"/>
      <c r="FM142" s="368"/>
      <c r="FN142" s="368"/>
      <c r="FO142" s="368"/>
      <c r="FP142" s="368"/>
      <c r="FQ142" s="368"/>
      <c r="FR142" s="368"/>
      <c r="FS142" s="368"/>
      <c r="FT142" s="368"/>
      <c r="FU142" s="368"/>
      <c r="FV142" s="368"/>
      <c r="FW142" s="368"/>
      <c r="FX142" s="368"/>
      <c r="FY142" s="368"/>
      <c r="FZ142" s="368"/>
      <c r="GA142" s="368"/>
      <c r="GB142" s="368"/>
      <c r="GC142" s="368"/>
      <c r="GD142" s="368"/>
      <c r="GE142" s="368"/>
      <c r="GF142" s="368"/>
      <c r="GG142" s="368"/>
      <c r="GH142" s="368"/>
      <c r="GI142" s="368"/>
      <c r="GJ142" s="368"/>
      <c r="GK142" s="368"/>
      <c r="GL142" s="368"/>
      <c r="GM142" s="368"/>
      <c r="GN142" s="368"/>
      <c r="GO142" s="368"/>
      <c r="GP142" s="368"/>
      <c r="GQ142" s="368"/>
      <c r="GR142" s="368"/>
      <c r="GS142" s="368"/>
      <c r="GT142" s="368"/>
      <c r="GU142" s="368"/>
      <c r="GV142" s="368"/>
      <c r="GW142" s="368"/>
      <c r="GX142" s="368"/>
      <c r="GY142" s="368"/>
      <c r="GZ142" s="368"/>
      <c r="HA142" s="368"/>
      <c r="HB142" s="368"/>
      <c r="HC142" s="368"/>
      <c r="HD142" s="368"/>
      <c r="HE142" s="368"/>
      <c r="HF142" s="368"/>
      <c r="HG142" s="368"/>
      <c r="HH142" s="368"/>
      <c r="HI142" s="368"/>
      <c r="HJ142" s="368"/>
      <c r="HK142" s="368"/>
      <c r="HL142" s="368"/>
      <c r="HM142" s="368"/>
      <c r="HN142" s="368"/>
      <c r="HO142" s="368"/>
      <c r="HP142" s="368"/>
      <c r="HQ142" s="368"/>
      <c r="HR142" s="368"/>
      <c r="HS142" s="368"/>
      <c r="HT142" s="368"/>
      <c r="HU142" s="368"/>
      <c r="HV142" s="368"/>
      <c r="HW142" s="368"/>
      <c r="HX142" s="368"/>
      <c r="HY142" s="368"/>
      <c r="HZ142" s="368"/>
      <c r="IA142" s="368"/>
      <c r="IB142" s="368"/>
      <c r="IC142" s="368"/>
      <c r="ID142" s="368"/>
      <c r="IE142" s="368"/>
      <c r="IF142" s="368"/>
      <c r="IG142" s="368"/>
      <c r="IH142" s="368"/>
      <c r="II142" s="368"/>
      <c r="IJ142" s="368"/>
      <c r="IK142" s="368"/>
      <c r="IL142" s="368"/>
      <c r="IM142" s="368"/>
      <c r="IN142" s="368"/>
      <c r="IO142" s="368"/>
      <c r="IP142" s="368"/>
      <c r="IQ142" s="368"/>
      <c r="IR142" s="368"/>
      <c r="IS142" s="368"/>
      <c r="IT142" s="368"/>
      <c r="IU142" s="368"/>
    </row>
    <row r="143" spans="2:255" ht="18.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AA143" s="1022"/>
      <c r="AB143" s="1022"/>
      <c r="AC143" s="1022"/>
      <c r="AD143" s="38"/>
      <c r="AE143" s="17"/>
      <c r="AF143" s="17"/>
      <c r="AG143" s="17"/>
      <c r="AJ143" s="60"/>
      <c r="AK143" s="1018"/>
      <c r="AL143" s="1018"/>
      <c r="AP143" s="368"/>
      <c r="AQ143" s="368"/>
      <c r="AR143" s="368"/>
      <c r="AS143" s="368"/>
      <c r="AT143" s="368"/>
      <c r="AU143" s="368"/>
      <c r="AV143" s="368"/>
      <c r="AW143" s="368"/>
      <c r="AX143" s="368"/>
      <c r="AY143" s="368"/>
      <c r="AZ143" s="368"/>
      <c r="BA143" s="368"/>
      <c r="BB143" s="368"/>
      <c r="BC143" s="368"/>
      <c r="BD143" s="368"/>
      <c r="BE143" s="368"/>
      <c r="BF143" s="368"/>
      <c r="BG143" s="368"/>
      <c r="BH143" s="368"/>
      <c r="BI143" s="368"/>
      <c r="BJ143" s="368"/>
      <c r="BK143" s="368"/>
      <c r="BL143" s="368"/>
      <c r="BM143" s="368"/>
      <c r="BN143" s="368"/>
      <c r="BO143" s="368"/>
      <c r="BP143" s="368"/>
      <c r="BQ143" s="368"/>
      <c r="BR143" s="368"/>
      <c r="BS143" s="368"/>
      <c r="BT143" s="368"/>
      <c r="BU143" s="368"/>
      <c r="BV143" s="368"/>
      <c r="BW143" s="368"/>
      <c r="BX143" s="368"/>
      <c r="BY143" s="368"/>
      <c r="BZ143" s="368"/>
      <c r="CA143" s="368"/>
      <c r="CB143" s="368"/>
      <c r="CC143" s="368"/>
      <c r="CD143" s="368"/>
      <c r="CE143" s="368"/>
      <c r="CF143" s="368"/>
      <c r="CG143" s="368"/>
      <c r="CH143" s="368"/>
      <c r="CI143" s="368"/>
      <c r="CJ143" s="368"/>
      <c r="CK143" s="368"/>
      <c r="CL143" s="368"/>
      <c r="CM143" s="368"/>
      <c r="CN143" s="368"/>
      <c r="CO143" s="368"/>
      <c r="CP143" s="368"/>
      <c r="CQ143" s="368"/>
      <c r="CR143" s="368"/>
      <c r="CS143" s="368"/>
      <c r="CT143" s="368"/>
      <c r="CU143" s="368"/>
      <c r="CV143" s="368"/>
      <c r="CW143" s="368"/>
      <c r="CX143" s="368"/>
      <c r="CY143" s="368"/>
      <c r="CZ143" s="368"/>
      <c r="DA143" s="368"/>
      <c r="DB143" s="368"/>
      <c r="DC143" s="368"/>
      <c r="DD143" s="368"/>
      <c r="DE143" s="368"/>
      <c r="DF143" s="368"/>
      <c r="DG143" s="368"/>
      <c r="DH143" s="368"/>
      <c r="DI143" s="368"/>
      <c r="DJ143" s="368"/>
      <c r="DK143" s="368"/>
      <c r="DL143" s="368"/>
      <c r="DM143" s="368"/>
      <c r="DN143" s="368"/>
      <c r="DO143" s="368"/>
      <c r="DP143" s="368"/>
      <c r="DQ143" s="368"/>
      <c r="DR143" s="368"/>
      <c r="DS143" s="368"/>
      <c r="DT143" s="368"/>
      <c r="DU143" s="368"/>
      <c r="DV143" s="368"/>
      <c r="DW143" s="368"/>
      <c r="DX143" s="368"/>
      <c r="DY143" s="368"/>
      <c r="DZ143" s="368"/>
      <c r="EA143" s="368"/>
      <c r="EB143" s="368"/>
      <c r="EC143" s="368"/>
      <c r="ED143" s="368"/>
      <c r="EE143" s="368"/>
      <c r="EF143" s="368"/>
      <c r="EG143" s="368"/>
      <c r="EH143" s="368"/>
      <c r="EI143" s="368"/>
      <c r="EJ143" s="368"/>
      <c r="EK143" s="368"/>
      <c r="EL143" s="368"/>
      <c r="EM143" s="368"/>
      <c r="EN143" s="368"/>
      <c r="EO143" s="368"/>
      <c r="EP143" s="368"/>
      <c r="EQ143" s="368"/>
      <c r="ER143" s="368"/>
      <c r="ES143" s="368"/>
      <c r="ET143" s="368"/>
      <c r="EU143" s="368"/>
      <c r="EV143" s="368"/>
      <c r="EW143" s="368"/>
      <c r="EX143" s="368"/>
      <c r="EY143" s="368"/>
      <c r="EZ143" s="368"/>
      <c r="FA143" s="368"/>
      <c r="FB143" s="368"/>
      <c r="FC143" s="368"/>
      <c r="FD143" s="368"/>
      <c r="FE143" s="368"/>
      <c r="FF143" s="368"/>
      <c r="FG143" s="368"/>
      <c r="FH143" s="368"/>
      <c r="FI143" s="368"/>
      <c r="FJ143" s="368"/>
      <c r="FK143" s="368"/>
      <c r="FL143" s="368"/>
      <c r="FM143" s="368"/>
      <c r="FN143" s="368"/>
      <c r="FO143" s="368"/>
      <c r="FP143" s="368"/>
      <c r="FQ143" s="368"/>
      <c r="FR143" s="368"/>
      <c r="FS143" s="368"/>
      <c r="FT143" s="368"/>
      <c r="FU143" s="368"/>
      <c r="FV143" s="368"/>
      <c r="FW143" s="368"/>
      <c r="FX143" s="368"/>
      <c r="FY143" s="368"/>
      <c r="FZ143" s="368"/>
      <c r="GA143" s="368"/>
      <c r="GB143" s="368"/>
      <c r="GC143" s="368"/>
      <c r="GD143" s="368"/>
      <c r="GE143" s="368"/>
      <c r="GF143" s="368"/>
      <c r="GG143" s="368"/>
      <c r="GH143" s="368"/>
      <c r="GI143" s="368"/>
      <c r="GJ143" s="368"/>
      <c r="GK143" s="368"/>
      <c r="GL143" s="368"/>
      <c r="GM143" s="368"/>
      <c r="GN143" s="368"/>
      <c r="GO143" s="368"/>
      <c r="GP143" s="368"/>
      <c r="GQ143" s="368"/>
      <c r="GR143" s="368"/>
      <c r="GS143" s="368"/>
      <c r="GT143" s="368"/>
      <c r="GU143" s="368"/>
      <c r="GV143" s="368"/>
      <c r="GW143" s="368"/>
      <c r="GX143" s="368"/>
      <c r="GY143" s="368"/>
      <c r="GZ143" s="368"/>
      <c r="HA143" s="368"/>
      <c r="HB143" s="368"/>
      <c r="HC143" s="368"/>
      <c r="HD143" s="368"/>
      <c r="HE143" s="368"/>
      <c r="HF143" s="368"/>
      <c r="HG143" s="368"/>
      <c r="HH143" s="368"/>
      <c r="HI143" s="368"/>
      <c r="HJ143" s="368"/>
      <c r="HK143" s="368"/>
      <c r="HL143" s="368"/>
      <c r="HM143" s="368"/>
      <c r="HN143" s="368"/>
      <c r="HO143" s="368"/>
      <c r="HP143" s="368"/>
      <c r="HQ143" s="368"/>
      <c r="HR143" s="368"/>
      <c r="HS143" s="368"/>
      <c r="HT143" s="368"/>
      <c r="HU143" s="368"/>
      <c r="HV143" s="368"/>
      <c r="HW143" s="368"/>
      <c r="HX143" s="368"/>
      <c r="HY143" s="368"/>
      <c r="HZ143" s="368"/>
      <c r="IA143" s="368"/>
      <c r="IB143" s="368"/>
      <c r="IC143" s="368"/>
      <c r="ID143" s="368"/>
      <c r="IE143" s="368"/>
      <c r="IF143" s="368"/>
      <c r="IG143" s="368"/>
      <c r="IH143" s="368"/>
      <c r="II143" s="368"/>
      <c r="IJ143" s="368"/>
      <c r="IK143" s="368"/>
      <c r="IL143" s="368"/>
      <c r="IM143" s="368"/>
      <c r="IN143" s="368"/>
      <c r="IO143" s="368"/>
      <c r="IP143" s="368"/>
      <c r="IQ143" s="368"/>
      <c r="IR143" s="368"/>
      <c r="IS143" s="368"/>
      <c r="IT143" s="368"/>
      <c r="IU143" s="368"/>
    </row>
    <row r="144" spans="2:255" ht="18.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AA144" s="1022"/>
      <c r="AB144" s="1022"/>
      <c r="AC144" s="1022"/>
      <c r="AD144" s="38"/>
      <c r="AE144" s="17"/>
      <c r="AF144" s="17"/>
      <c r="AG144" s="17"/>
      <c r="AJ144" s="60"/>
      <c r="AK144" s="1018"/>
      <c r="AL144" s="1018"/>
      <c r="AP144" s="368"/>
      <c r="AQ144" s="368"/>
      <c r="AR144" s="368"/>
      <c r="AS144" s="368"/>
      <c r="AT144" s="368"/>
      <c r="AU144" s="368"/>
      <c r="AV144" s="368"/>
      <c r="AW144" s="368"/>
      <c r="AX144" s="368"/>
      <c r="AY144" s="368"/>
      <c r="AZ144" s="368"/>
      <c r="BA144" s="368"/>
      <c r="BB144" s="368"/>
      <c r="BC144" s="368"/>
      <c r="BD144" s="368"/>
      <c r="BE144" s="368"/>
      <c r="BF144" s="368"/>
      <c r="BG144" s="368"/>
      <c r="BH144" s="368"/>
      <c r="BI144" s="368"/>
      <c r="BJ144" s="368"/>
      <c r="BK144" s="368"/>
      <c r="BL144" s="368"/>
      <c r="BM144" s="368"/>
      <c r="BN144" s="368"/>
      <c r="BO144" s="368"/>
      <c r="BP144" s="368"/>
      <c r="BQ144" s="368"/>
      <c r="BR144" s="368"/>
      <c r="BS144" s="368"/>
      <c r="BT144" s="368"/>
      <c r="BU144" s="368"/>
      <c r="BV144" s="368"/>
      <c r="BW144" s="368"/>
      <c r="BX144" s="368"/>
      <c r="BY144" s="368"/>
      <c r="BZ144" s="368"/>
      <c r="CA144" s="368"/>
      <c r="CB144" s="368"/>
      <c r="CC144" s="368"/>
      <c r="CD144" s="368"/>
      <c r="CE144" s="368"/>
      <c r="CF144" s="368"/>
      <c r="CG144" s="368"/>
      <c r="CH144" s="368"/>
      <c r="CI144" s="368"/>
      <c r="CJ144" s="368"/>
      <c r="CK144" s="368"/>
      <c r="CL144" s="368"/>
      <c r="CM144" s="368"/>
      <c r="CN144" s="368"/>
      <c r="CO144" s="368"/>
      <c r="CP144" s="368"/>
      <c r="CQ144" s="368"/>
      <c r="CR144" s="368"/>
      <c r="CS144" s="368"/>
      <c r="CT144" s="368"/>
      <c r="CU144" s="368"/>
      <c r="CV144" s="368"/>
      <c r="CW144" s="368"/>
      <c r="CX144" s="368"/>
      <c r="CY144" s="368"/>
      <c r="CZ144" s="368"/>
      <c r="DA144" s="368"/>
      <c r="DB144" s="368"/>
      <c r="DC144" s="368"/>
      <c r="DD144" s="368"/>
      <c r="DE144" s="368"/>
      <c r="DF144" s="368"/>
      <c r="DG144" s="368"/>
      <c r="DH144" s="368"/>
      <c r="DI144" s="368"/>
      <c r="DJ144" s="368"/>
      <c r="DK144" s="368"/>
      <c r="DL144" s="368"/>
      <c r="DM144" s="368"/>
      <c r="DN144" s="368"/>
      <c r="DO144" s="368"/>
      <c r="DP144" s="368"/>
      <c r="DQ144" s="368"/>
      <c r="DR144" s="368"/>
      <c r="DS144" s="368"/>
      <c r="DT144" s="368"/>
      <c r="DU144" s="368"/>
      <c r="DV144" s="368"/>
      <c r="DW144" s="368"/>
      <c r="DX144" s="368"/>
      <c r="DY144" s="368"/>
      <c r="DZ144" s="368"/>
      <c r="EA144" s="368"/>
      <c r="EB144" s="368"/>
      <c r="EC144" s="368"/>
      <c r="ED144" s="368"/>
      <c r="EE144" s="368"/>
      <c r="EF144" s="368"/>
      <c r="EG144" s="368"/>
      <c r="EH144" s="368"/>
      <c r="EI144" s="368"/>
      <c r="EJ144" s="368"/>
      <c r="EK144" s="368"/>
      <c r="EL144" s="368"/>
      <c r="EM144" s="368"/>
      <c r="EN144" s="368"/>
      <c r="EO144" s="368"/>
      <c r="EP144" s="368"/>
      <c r="EQ144" s="368"/>
      <c r="ER144" s="368"/>
      <c r="ES144" s="368"/>
      <c r="ET144" s="368"/>
      <c r="EU144" s="368"/>
      <c r="EV144" s="368"/>
      <c r="EW144" s="368"/>
      <c r="EX144" s="368"/>
      <c r="EY144" s="368"/>
      <c r="EZ144" s="368"/>
      <c r="FA144" s="368"/>
      <c r="FB144" s="368"/>
      <c r="FC144" s="368"/>
      <c r="FD144" s="368"/>
      <c r="FE144" s="368"/>
      <c r="FF144" s="368"/>
      <c r="FG144" s="368"/>
      <c r="FH144" s="368"/>
      <c r="FI144" s="368"/>
      <c r="FJ144" s="368"/>
      <c r="FK144" s="368"/>
      <c r="FL144" s="368"/>
      <c r="FM144" s="368"/>
      <c r="FN144" s="368"/>
      <c r="FO144" s="368"/>
      <c r="FP144" s="368"/>
      <c r="FQ144" s="368"/>
      <c r="FR144" s="368"/>
      <c r="FS144" s="368"/>
      <c r="FT144" s="368"/>
      <c r="FU144" s="368"/>
      <c r="FV144" s="368"/>
      <c r="FW144" s="368"/>
      <c r="FX144" s="368"/>
      <c r="FY144" s="368"/>
      <c r="FZ144" s="368"/>
      <c r="GA144" s="368"/>
      <c r="GB144" s="368"/>
      <c r="GC144" s="368"/>
      <c r="GD144" s="368"/>
      <c r="GE144" s="368"/>
      <c r="GF144" s="368"/>
      <c r="GG144" s="368"/>
      <c r="GH144" s="368"/>
      <c r="GI144" s="368"/>
      <c r="GJ144" s="368"/>
      <c r="GK144" s="368"/>
      <c r="GL144" s="368"/>
      <c r="GM144" s="368"/>
      <c r="GN144" s="368"/>
      <c r="GO144" s="368"/>
      <c r="GP144" s="368"/>
      <c r="GQ144" s="368"/>
      <c r="GR144" s="368"/>
      <c r="GS144" s="368"/>
      <c r="GT144" s="368"/>
      <c r="GU144" s="368"/>
      <c r="GV144" s="368"/>
      <c r="GW144" s="368"/>
      <c r="GX144" s="368"/>
      <c r="GY144" s="368"/>
      <c r="GZ144" s="368"/>
      <c r="HA144" s="368"/>
      <c r="HB144" s="368"/>
      <c r="HC144" s="368"/>
      <c r="HD144" s="368"/>
      <c r="HE144" s="368"/>
      <c r="HF144" s="368"/>
      <c r="HG144" s="368"/>
      <c r="HH144" s="368"/>
      <c r="HI144" s="368"/>
      <c r="HJ144" s="368"/>
      <c r="HK144" s="368"/>
      <c r="HL144" s="368"/>
      <c r="HM144" s="368"/>
      <c r="HN144" s="368"/>
      <c r="HO144" s="368"/>
      <c r="HP144" s="368"/>
      <c r="HQ144" s="368"/>
      <c r="HR144" s="368"/>
      <c r="HS144" s="368"/>
      <c r="HT144" s="368"/>
      <c r="HU144" s="368"/>
      <c r="HV144" s="368"/>
      <c r="HW144" s="368"/>
      <c r="HX144" s="368"/>
      <c r="HY144" s="368"/>
      <c r="HZ144" s="368"/>
      <c r="IA144" s="368"/>
      <c r="IB144" s="368"/>
      <c r="IC144" s="368"/>
      <c r="ID144" s="368"/>
      <c r="IE144" s="368"/>
      <c r="IF144" s="368"/>
      <c r="IG144" s="368"/>
      <c r="IH144" s="368"/>
      <c r="II144" s="368"/>
      <c r="IJ144" s="368"/>
      <c r="IK144" s="368"/>
      <c r="IL144" s="368"/>
      <c r="IM144" s="368"/>
      <c r="IN144" s="368"/>
      <c r="IO144" s="368"/>
      <c r="IP144" s="368"/>
      <c r="IQ144" s="368"/>
      <c r="IR144" s="368"/>
      <c r="IS144" s="368"/>
      <c r="IT144" s="368"/>
      <c r="IU144" s="368"/>
    </row>
    <row r="145" spans="2:255" ht="18.5">
      <c r="B145" s="33"/>
      <c r="C145" s="35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AA145" s="1022"/>
      <c r="AB145" s="1022"/>
      <c r="AC145" s="1022"/>
      <c r="AD145" s="13"/>
      <c r="AJ145" s="10"/>
      <c r="AK145" s="1018"/>
      <c r="AL145" s="1018"/>
      <c r="AP145" s="368"/>
      <c r="AQ145" s="368"/>
      <c r="AR145" s="368"/>
      <c r="AS145" s="368"/>
      <c r="AT145" s="368"/>
      <c r="AU145" s="368"/>
      <c r="AV145" s="368"/>
      <c r="AW145" s="368"/>
      <c r="AX145" s="368"/>
      <c r="AY145" s="368"/>
      <c r="AZ145" s="368"/>
      <c r="BA145" s="368"/>
      <c r="BB145" s="368"/>
      <c r="BC145" s="368"/>
      <c r="BD145" s="368"/>
      <c r="BE145" s="368"/>
      <c r="BF145" s="368"/>
      <c r="BG145" s="368"/>
      <c r="BH145" s="368"/>
      <c r="BI145" s="368"/>
      <c r="BJ145" s="368"/>
      <c r="BK145" s="368"/>
      <c r="BL145" s="368"/>
      <c r="BM145" s="368"/>
      <c r="BN145" s="368"/>
      <c r="BO145" s="368"/>
      <c r="BP145" s="368"/>
      <c r="BQ145" s="368"/>
      <c r="BR145" s="368"/>
      <c r="BS145" s="368"/>
      <c r="BT145" s="368"/>
      <c r="BU145" s="368"/>
      <c r="BV145" s="368"/>
      <c r="BW145" s="368"/>
      <c r="BX145" s="368"/>
      <c r="BY145" s="368"/>
      <c r="BZ145" s="368"/>
      <c r="CA145" s="368"/>
      <c r="CB145" s="368"/>
      <c r="CC145" s="368"/>
      <c r="CD145" s="368"/>
      <c r="CE145" s="368"/>
      <c r="CF145" s="368"/>
      <c r="CG145" s="368"/>
      <c r="CH145" s="368"/>
      <c r="CI145" s="368"/>
      <c r="CJ145" s="368"/>
      <c r="CK145" s="368"/>
      <c r="CL145" s="368"/>
      <c r="CM145" s="368"/>
      <c r="CN145" s="368"/>
      <c r="CO145" s="368"/>
      <c r="CP145" s="368"/>
      <c r="CQ145" s="368"/>
      <c r="CR145" s="368"/>
      <c r="CS145" s="368"/>
      <c r="CT145" s="368"/>
      <c r="CU145" s="368"/>
      <c r="CV145" s="368"/>
      <c r="CW145" s="368"/>
      <c r="CX145" s="368"/>
      <c r="CY145" s="368"/>
      <c r="CZ145" s="368"/>
      <c r="DA145" s="368"/>
      <c r="DB145" s="368"/>
      <c r="DC145" s="368"/>
      <c r="DD145" s="368"/>
      <c r="DE145" s="368"/>
      <c r="DF145" s="368"/>
      <c r="DG145" s="368"/>
      <c r="DH145" s="368"/>
      <c r="DI145" s="368"/>
      <c r="DJ145" s="368"/>
      <c r="DK145" s="368"/>
      <c r="DL145" s="368"/>
      <c r="DM145" s="368"/>
      <c r="DN145" s="368"/>
      <c r="DO145" s="368"/>
      <c r="DP145" s="368"/>
      <c r="DQ145" s="368"/>
      <c r="DR145" s="368"/>
      <c r="DS145" s="368"/>
      <c r="DT145" s="368"/>
      <c r="DU145" s="368"/>
      <c r="DV145" s="368"/>
      <c r="DW145" s="368"/>
      <c r="DX145" s="368"/>
      <c r="DY145" s="368"/>
      <c r="DZ145" s="368"/>
      <c r="EA145" s="368"/>
      <c r="EB145" s="368"/>
      <c r="EC145" s="368"/>
      <c r="ED145" s="368"/>
      <c r="EE145" s="368"/>
      <c r="EF145" s="368"/>
      <c r="EG145" s="368"/>
      <c r="EH145" s="368"/>
      <c r="EI145" s="368"/>
      <c r="EJ145" s="368"/>
      <c r="EK145" s="368"/>
      <c r="EL145" s="368"/>
      <c r="EM145" s="368"/>
      <c r="EN145" s="368"/>
      <c r="EO145" s="368"/>
      <c r="EP145" s="368"/>
      <c r="EQ145" s="368"/>
      <c r="ER145" s="368"/>
      <c r="ES145" s="368"/>
      <c r="ET145" s="368"/>
      <c r="EU145" s="368"/>
      <c r="EV145" s="368"/>
      <c r="EW145" s="368"/>
      <c r="EX145" s="368"/>
      <c r="EY145" s="368"/>
      <c r="EZ145" s="368"/>
      <c r="FA145" s="368"/>
      <c r="FB145" s="368"/>
      <c r="FC145" s="368"/>
      <c r="FD145" s="368"/>
      <c r="FE145" s="368"/>
      <c r="FF145" s="368"/>
      <c r="FG145" s="368"/>
      <c r="FH145" s="368"/>
      <c r="FI145" s="368"/>
      <c r="FJ145" s="368"/>
      <c r="FK145" s="368"/>
      <c r="FL145" s="368"/>
      <c r="FM145" s="368"/>
      <c r="FN145" s="368"/>
      <c r="FO145" s="368"/>
      <c r="FP145" s="368"/>
      <c r="FQ145" s="368"/>
      <c r="FR145" s="368"/>
      <c r="FS145" s="368"/>
      <c r="FT145" s="368"/>
      <c r="FU145" s="368"/>
      <c r="FV145" s="368"/>
      <c r="FW145" s="368"/>
      <c r="FX145" s="368"/>
      <c r="FY145" s="368"/>
      <c r="FZ145" s="368"/>
      <c r="GA145" s="368"/>
      <c r="GB145" s="368"/>
      <c r="GC145" s="368"/>
      <c r="GD145" s="368"/>
      <c r="GE145" s="368"/>
      <c r="GF145" s="368"/>
      <c r="GG145" s="368"/>
      <c r="GH145" s="368"/>
      <c r="GI145" s="368"/>
      <c r="GJ145" s="368"/>
      <c r="GK145" s="368"/>
      <c r="GL145" s="368"/>
      <c r="GM145" s="368"/>
      <c r="GN145" s="368"/>
      <c r="GO145" s="368"/>
      <c r="GP145" s="368"/>
      <c r="GQ145" s="368"/>
      <c r="GR145" s="368"/>
      <c r="GS145" s="368"/>
      <c r="GT145" s="368"/>
      <c r="GU145" s="368"/>
      <c r="GV145" s="368"/>
      <c r="GW145" s="368"/>
      <c r="GX145" s="368"/>
      <c r="GY145" s="368"/>
      <c r="GZ145" s="368"/>
      <c r="HA145" s="368"/>
      <c r="HB145" s="368"/>
      <c r="HC145" s="368"/>
      <c r="HD145" s="368"/>
      <c r="HE145" s="368"/>
      <c r="HF145" s="368"/>
      <c r="HG145" s="368"/>
      <c r="HH145" s="368"/>
      <c r="HI145" s="368"/>
      <c r="HJ145" s="368"/>
      <c r="HK145" s="368"/>
      <c r="HL145" s="368"/>
      <c r="HM145" s="368"/>
      <c r="HN145" s="368"/>
      <c r="HO145" s="368"/>
      <c r="HP145" s="368"/>
      <c r="HQ145" s="368"/>
      <c r="HR145" s="368"/>
      <c r="HS145" s="368"/>
      <c r="HT145" s="368"/>
      <c r="HU145" s="368"/>
      <c r="HV145" s="368"/>
      <c r="HW145" s="368"/>
      <c r="HX145" s="368"/>
      <c r="HY145" s="368"/>
      <c r="HZ145" s="368"/>
      <c r="IA145" s="368"/>
      <c r="IB145" s="368"/>
      <c r="IC145" s="368"/>
      <c r="ID145" s="368"/>
      <c r="IE145" s="368"/>
      <c r="IF145" s="368"/>
      <c r="IG145" s="368"/>
      <c r="IH145" s="368"/>
      <c r="II145" s="368"/>
      <c r="IJ145" s="368"/>
      <c r="IK145" s="368"/>
      <c r="IL145" s="368"/>
      <c r="IM145" s="368"/>
      <c r="IN145" s="368"/>
      <c r="IO145" s="368"/>
      <c r="IP145" s="368"/>
      <c r="IQ145" s="368"/>
      <c r="IR145" s="368"/>
      <c r="IS145" s="368"/>
      <c r="IT145" s="368"/>
      <c r="IU145" s="368"/>
    </row>
    <row r="146" spans="2:255" ht="18.5">
      <c r="B146" s="33"/>
      <c r="C146" s="33"/>
      <c r="D146" s="33"/>
      <c r="E146" s="33"/>
      <c r="F146" s="33"/>
      <c r="G146" s="33"/>
      <c r="H146" s="33" t="s">
        <v>253</v>
      </c>
      <c r="I146" s="33"/>
      <c r="J146" s="33"/>
      <c r="K146" s="33"/>
      <c r="L146" s="33"/>
      <c r="M146" s="33"/>
      <c r="N146" s="33"/>
      <c r="O146" s="33"/>
      <c r="P146" s="33"/>
      <c r="AA146" s="1022"/>
      <c r="AB146" s="1022"/>
      <c r="AC146" s="1022"/>
      <c r="AD146" s="21"/>
      <c r="AG146" s="15"/>
      <c r="AH146" s="15"/>
      <c r="AJ146" s="10"/>
      <c r="AK146" s="1018"/>
      <c r="AL146" s="1018"/>
      <c r="AP146" s="368"/>
      <c r="AQ146" s="368"/>
      <c r="AR146" s="368"/>
      <c r="AS146" s="368"/>
      <c r="AT146" s="368"/>
      <c r="AU146" s="368"/>
      <c r="AV146" s="368"/>
      <c r="AW146" s="368"/>
      <c r="AX146" s="368"/>
      <c r="AY146" s="368"/>
      <c r="AZ146" s="368"/>
      <c r="BA146" s="368"/>
      <c r="BB146" s="368"/>
      <c r="BC146" s="368"/>
      <c r="BD146" s="368"/>
      <c r="BE146" s="368"/>
      <c r="BF146" s="368"/>
      <c r="BG146" s="368"/>
      <c r="BH146" s="368"/>
      <c r="BI146" s="368"/>
      <c r="BJ146" s="368"/>
      <c r="BK146" s="368"/>
      <c r="BL146" s="368"/>
      <c r="BM146" s="368"/>
      <c r="BN146" s="368"/>
      <c r="BO146" s="368"/>
      <c r="BP146" s="368"/>
      <c r="BQ146" s="368"/>
      <c r="BR146" s="368"/>
      <c r="BS146" s="368"/>
      <c r="BT146" s="368"/>
      <c r="BU146" s="368"/>
      <c r="BV146" s="368"/>
      <c r="BW146" s="368"/>
      <c r="BX146" s="368"/>
      <c r="BY146" s="368"/>
      <c r="BZ146" s="368"/>
      <c r="CA146" s="368"/>
      <c r="CB146" s="368"/>
      <c r="CC146" s="368"/>
      <c r="CD146" s="368"/>
      <c r="CE146" s="368"/>
      <c r="CF146" s="368"/>
      <c r="CG146" s="368"/>
      <c r="CH146" s="368"/>
      <c r="CI146" s="368"/>
      <c r="CJ146" s="368"/>
      <c r="CK146" s="368"/>
      <c r="CL146" s="368"/>
      <c r="CM146" s="368"/>
      <c r="CN146" s="368"/>
      <c r="CO146" s="368"/>
      <c r="CP146" s="368"/>
      <c r="CQ146" s="368"/>
      <c r="CR146" s="368"/>
      <c r="CS146" s="368"/>
      <c r="CT146" s="368"/>
      <c r="CU146" s="368"/>
      <c r="CV146" s="368"/>
      <c r="CW146" s="368"/>
      <c r="CX146" s="368"/>
      <c r="CY146" s="368"/>
      <c r="CZ146" s="368"/>
      <c r="DA146" s="368"/>
      <c r="DB146" s="368"/>
      <c r="DC146" s="368"/>
      <c r="DD146" s="368"/>
      <c r="DE146" s="368"/>
      <c r="DF146" s="368"/>
      <c r="DG146" s="368"/>
      <c r="DH146" s="368"/>
      <c r="DI146" s="368"/>
      <c r="DJ146" s="368"/>
      <c r="DK146" s="368"/>
      <c r="DL146" s="368"/>
      <c r="DM146" s="368"/>
      <c r="DN146" s="368"/>
      <c r="DO146" s="368"/>
      <c r="DP146" s="368"/>
      <c r="DQ146" s="368"/>
      <c r="DR146" s="368"/>
      <c r="DS146" s="368"/>
      <c r="DT146" s="368"/>
      <c r="DU146" s="368"/>
      <c r="DV146" s="368"/>
      <c r="DW146" s="368"/>
      <c r="DX146" s="368"/>
      <c r="DY146" s="368"/>
      <c r="DZ146" s="368"/>
      <c r="EA146" s="368"/>
      <c r="EB146" s="368"/>
      <c r="EC146" s="368"/>
      <c r="ED146" s="368"/>
      <c r="EE146" s="368"/>
      <c r="EF146" s="368"/>
      <c r="EG146" s="368"/>
      <c r="EH146" s="368"/>
      <c r="EI146" s="368"/>
      <c r="EJ146" s="368"/>
      <c r="EK146" s="368"/>
      <c r="EL146" s="368"/>
      <c r="EM146" s="368"/>
      <c r="EN146" s="368"/>
      <c r="EO146" s="368"/>
      <c r="EP146" s="368"/>
      <c r="EQ146" s="368"/>
      <c r="ER146" s="368"/>
      <c r="ES146" s="368"/>
      <c r="ET146" s="368"/>
      <c r="EU146" s="368"/>
      <c r="EV146" s="368"/>
      <c r="EW146" s="368"/>
      <c r="EX146" s="368"/>
      <c r="EY146" s="368"/>
      <c r="EZ146" s="368"/>
      <c r="FA146" s="368"/>
      <c r="FB146" s="368"/>
      <c r="FC146" s="368"/>
      <c r="FD146" s="368"/>
      <c r="FE146" s="368"/>
      <c r="FF146" s="368"/>
      <c r="FG146" s="368"/>
      <c r="FH146" s="368"/>
      <c r="FI146" s="368"/>
      <c r="FJ146" s="368"/>
      <c r="FK146" s="368"/>
      <c r="FL146" s="368"/>
      <c r="FM146" s="368"/>
      <c r="FN146" s="368"/>
      <c r="FO146" s="368"/>
      <c r="FP146" s="368"/>
      <c r="FQ146" s="368"/>
      <c r="FR146" s="368"/>
      <c r="FS146" s="368"/>
      <c r="FT146" s="368"/>
      <c r="FU146" s="368"/>
      <c r="FV146" s="368"/>
      <c r="FW146" s="368"/>
      <c r="FX146" s="368"/>
      <c r="FY146" s="368"/>
      <c r="FZ146" s="368"/>
      <c r="GA146" s="368"/>
      <c r="GB146" s="368"/>
      <c r="GC146" s="368"/>
      <c r="GD146" s="368"/>
      <c r="GE146" s="368"/>
      <c r="GF146" s="368"/>
      <c r="GG146" s="368"/>
      <c r="GH146" s="368"/>
      <c r="GI146" s="368"/>
      <c r="GJ146" s="368"/>
      <c r="GK146" s="368"/>
      <c r="GL146" s="368"/>
      <c r="GM146" s="368"/>
      <c r="GN146" s="368"/>
      <c r="GO146" s="368"/>
      <c r="GP146" s="368"/>
      <c r="GQ146" s="368"/>
      <c r="GR146" s="368"/>
      <c r="GS146" s="368"/>
      <c r="GT146" s="368"/>
      <c r="GU146" s="368"/>
      <c r="GV146" s="368"/>
      <c r="GW146" s="368"/>
      <c r="GX146" s="368"/>
      <c r="GY146" s="368"/>
      <c r="GZ146" s="368"/>
      <c r="HA146" s="368"/>
      <c r="HB146" s="368"/>
      <c r="HC146" s="368"/>
      <c r="HD146" s="368"/>
      <c r="HE146" s="368"/>
      <c r="HF146" s="368"/>
      <c r="HG146" s="368"/>
      <c r="HH146" s="368"/>
      <c r="HI146" s="368"/>
      <c r="HJ146" s="368"/>
      <c r="HK146" s="368"/>
      <c r="HL146" s="368"/>
      <c r="HM146" s="368"/>
      <c r="HN146" s="368"/>
      <c r="HO146" s="368"/>
      <c r="HP146" s="368"/>
      <c r="HQ146" s="368"/>
      <c r="HR146" s="368"/>
      <c r="HS146" s="368"/>
      <c r="HT146" s="368"/>
      <c r="HU146" s="368"/>
      <c r="HV146" s="368"/>
      <c r="HW146" s="368"/>
      <c r="HX146" s="368"/>
      <c r="HY146" s="368"/>
      <c r="HZ146" s="368"/>
      <c r="IA146" s="368"/>
      <c r="IB146" s="368"/>
      <c r="IC146" s="368"/>
      <c r="ID146" s="368"/>
      <c r="IE146" s="368"/>
      <c r="IF146" s="368"/>
      <c r="IG146" s="368"/>
      <c r="IH146" s="368"/>
      <c r="II146" s="368"/>
      <c r="IJ146" s="368"/>
      <c r="IK146" s="368"/>
      <c r="IL146" s="368"/>
      <c r="IM146" s="368"/>
      <c r="IN146" s="368"/>
      <c r="IO146" s="368"/>
      <c r="IP146" s="368"/>
      <c r="IQ146" s="368"/>
      <c r="IR146" s="368"/>
      <c r="IS146" s="368"/>
      <c r="IT146" s="368"/>
      <c r="IU146" s="368"/>
    </row>
    <row r="147" spans="2:255" ht="18.5" outlineLevel="1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AA147" s="1022"/>
      <c r="AB147" s="1022"/>
      <c r="AC147" s="1022"/>
      <c r="AD147" s="21"/>
      <c r="AG147" s="15"/>
      <c r="AH147" s="15"/>
      <c r="AJ147" s="38"/>
      <c r="AK147" s="1018"/>
      <c r="AL147" s="1018"/>
      <c r="AP147" s="368"/>
      <c r="AQ147" s="368"/>
      <c r="AR147" s="368"/>
      <c r="AS147" s="368"/>
      <c r="AT147" s="368"/>
      <c r="AU147" s="368"/>
      <c r="AV147" s="368"/>
      <c r="AW147" s="368"/>
      <c r="AX147" s="368"/>
      <c r="AY147" s="368"/>
      <c r="AZ147" s="368"/>
      <c r="BA147" s="368"/>
      <c r="BB147" s="368"/>
      <c r="BC147" s="368"/>
      <c r="BD147" s="368"/>
      <c r="BE147" s="368"/>
      <c r="BF147" s="368"/>
      <c r="BG147" s="368"/>
      <c r="BH147" s="368"/>
      <c r="BI147" s="368"/>
      <c r="BJ147" s="368"/>
      <c r="BK147" s="368"/>
      <c r="BL147" s="368"/>
      <c r="BM147" s="368"/>
      <c r="BN147" s="368"/>
      <c r="BO147" s="368"/>
      <c r="BP147" s="368"/>
      <c r="BQ147" s="368"/>
      <c r="BR147" s="368"/>
      <c r="BS147" s="368"/>
      <c r="BT147" s="368"/>
      <c r="BU147" s="368"/>
      <c r="BV147" s="368"/>
      <c r="BW147" s="368"/>
      <c r="BX147" s="368"/>
      <c r="BY147" s="368"/>
      <c r="BZ147" s="368"/>
      <c r="CA147" s="368"/>
      <c r="CB147" s="368"/>
      <c r="CC147" s="368"/>
      <c r="CD147" s="368"/>
      <c r="CE147" s="368"/>
      <c r="CF147" s="368"/>
      <c r="CG147" s="368"/>
      <c r="CH147" s="368"/>
      <c r="CI147" s="368"/>
      <c r="CJ147" s="368"/>
      <c r="CK147" s="368"/>
      <c r="CL147" s="368"/>
      <c r="CM147" s="368"/>
      <c r="CN147" s="368"/>
      <c r="CO147" s="368"/>
      <c r="CP147" s="368"/>
      <c r="CQ147" s="368"/>
      <c r="CR147" s="368"/>
      <c r="CS147" s="368"/>
      <c r="CT147" s="368"/>
      <c r="CU147" s="368"/>
      <c r="CV147" s="368"/>
      <c r="CW147" s="368"/>
      <c r="CX147" s="368"/>
      <c r="CY147" s="368"/>
      <c r="CZ147" s="368"/>
      <c r="DA147" s="368"/>
      <c r="DB147" s="368"/>
      <c r="DC147" s="368"/>
      <c r="DD147" s="368"/>
      <c r="DE147" s="368"/>
      <c r="DF147" s="368"/>
      <c r="DG147" s="368"/>
      <c r="DH147" s="368"/>
      <c r="DI147" s="368"/>
      <c r="DJ147" s="368"/>
      <c r="DK147" s="368"/>
      <c r="DL147" s="368"/>
      <c r="DM147" s="368"/>
      <c r="DN147" s="368"/>
      <c r="DO147" s="368"/>
      <c r="DP147" s="368"/>
      <c r="DQ147" s="368"/>
      <c r="DR147" s="368"/>
      <c r="DS147" s="368"/>
      <c r="DT147" s="368"/>
      <c r="DU147" s="368"/>
      <c r="DV147" s="368"/>
      <c r="DW147" s="368"/>
      <c r="DX147" s="368"/>
      <c r="DY147" s="368"/>
      <c r="DZ147" s="368"/>
      <c r="EA147" s="368"/>
      <c r="EB147" s="368"/>
      <c r="EC147" s="368"/>
      <c r="ED147" s="368"/>
      <c r="EE147" s="368"/>
      <c r="EF147" s="368"/>
      <c r="EG147" s="368"/>
      <c r="EH147" s="368"/>
      <c r="EI147" s="368"/>
      <c r="EJ147" s="368"/>
      <c r="EK147" s="368"/>
      <c r="EL147" s="368"/>
      <c r="EM147" s="368"/>
      <c r="EN147" s="368"/>
      <c r="EO147" s="368"/>
      <c r="EP147" s="368"/>
      <c r="EQ147" s="368"/>
      <c r="ER147" s="368"/>
      <c r="ES147" s="368"/>
      <c r="ET147" s="368"/>
      <c r="EU147" s="368"/>
      <c r="EV147" s="368"/>
      <c r="EW147" s="368"/>
      <c r="EX147" s="368"/>
      <c r="EY147" s="368"/>
      <c r="EZ147" s="368"/>
      <c r="FA147" s="368"/>
      <c r="FB147" s="368"/>
      <c r="FC147" s="368"/>
      <c r="FD147" s="368"/>
      <c r="FE147" s="368"/>
      <c r="FF147" s="368"/>
      <c r="FG147" s="368"/>
      <c r="FH147" s="368"/>
      <c r="FI147" s="368"/>
      <c r="FJ147" s="368"/>
      <c r="FK147" s="368"/>
      <c r="FL147" s="368"/>
      <c r="FM147" s="368"/>
      <c r="FN147" s="368"/>
      <c r="FO147" s="368"/>
      <c r="FP147" s="368"/>
      <c r="FQ147" s="368"/>
      <c r="FR147" s="368"/>
      <c r="FS147" s="368"/>
      <c r="FT147" s="368"/>
      <c r="FU147" s="368"/>
      <c r="FV147" s="368"/>
      <c r="FW147" s="368"/>
      <c r="FX147" s="368"/>
      <c r="FY147" s="368"/>
      <c r="FZ147" s="368"/>
      <c r="GA147" s="368"/>
      <c r="GB147" s="368"/>
      <c r="GC147" s="368"/>
      <c r="GD147" s="368"/>
      <c r="GE147" s="368"/>
      <c r="GF147" s="368"/>
      <c r="GG147" s="368"/>
      <c r="GH147" s="368"/>
      <c r="GI147" s="368"/>
      <c r="GJ147" s="368"/>
      <c r="GK147" s="368"/>
      <c r="GL147" s="368"/>
      <c r="GM147" s="368"/>
      <c r="GN147" s="368"/>
      <c r="GO147" s="368"/>
      <c r="GP147" s="368"/>
      <c r="GQ147" s="368"/>
      <c r="GR147" s="368"/>
      <c r="GS147" s="368"/>
      <c r="GT147" s="368"/>
      <c r="GU147" s="368"/>
      <c r="GV147" s="368"/>
      <c r="GW147" s="368"/>
      <c r="GX147" s="368"/>
      <c r="GY147" s="368"/>
      <c r="GZ147" s="368"/>
      <c r="HA147" s="368"/>
      <c r="HB147" s="368"/>
      <c r="HC147" s="368"/>
      <c r="HD147" s="368"/>
      <c r="HE147" s="368"/>
      <c r="HF147" s="368"/>
      <c r="HG147" s="368"/>
      <c r="HH147" s="368"/>
      <c r="HI147" s="368"/>
      <c r="HJ147" s="368"/>
      <c r="HK147" s="368"/>
      <c r="HL147" s="368"/>
      <c r="HM147" s="368"/>
      <c r="HN147" s="368"/>
      <c r="HO147" s="368"/>
      <c r="HP147" s="368"/>
      <c r="HQ147" s="368"/>
      <c r="HR147" s="368"/>
      <c r="HS147" s="368"/>
      <c r="HT147" s="368"/>
      <c r="HU147" s="368"/>
      <c r="HV147" s="368"/>
      <c r="HW147" s="368"/>
      <c r="HX147" s="368"/>
      <c r="HY147" s="368"/>
      <c r="HZ147" s="368"/>
      <c r="IA147" s="368"/>
      <c r="IB147" s="368"/>
      <c r="IC147" s="368"/>
      <c r="ID147" s="368"/>
      <c r="IE147" s="368"/>
      <c r="IF147" s="368"/>
      <c r="IG147" s="368"/>
      <c r="IH147" s="368"/>
      <c r="II147" s="368"/>
      <c r="IJ147" s="368"/>
      <c r="IK147" s="368"/>
      <c r="IL147" s="368"/>
      <c r="IM147" s="368"/>
      <c r="IN147" s="368"/>
      <c r="IO147" s="368"/>
      <c r="IP147" s="368"/>
      <c r="IQ147" s="368"/>
      <c r="IR147" s="368"/>
      <c r="IS147" s="368"/>
      <c r="IT147" s="368"/>
      <c r="IU147" s="368"/>
    </row>
    <row r="148" spans="2:25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AA148" s="1022"/>
      <c r="AB148" s="1022"/>
      <c r="AC148" s="1022"/>
      <c r="AD148" s="38"/>
      <c r="AP148" s="368"/>
      <c r="AQ148" s="368"/>
      <c r="AR148" s="368"/>
      <c r="AS148" s="368"/>
      <c r="AT148" s="368"/>
      <c r="AU148" s="368"/>
      <c r="AV148" s="368"/>
      <c r="AW148" s="368"/>
      <c r="AX148" s="368"/>
      <c r="AY148" s="368"/>
      <c r="AZ148" s="368"/>
      <c r="BA148" s="368"/>
      <c r="BB148" s="368"/>
      <c r="BC148" s="368"/>
      <c r="BD148" s="368"/>
      <c r="BE148" s="368"/>
      <c r="BF148" s="368"/>
      <c r="BG148" s="368"/>
      <c r="BH148" s="368"/>
      <c r="BI148" s="368"/>
      <c r="BJ148" s="368"/>
      <c r="BK148" s="368"/>
      <c r="BL148" s="368"/>
      <c r="BM148" s="368"/>
      <c r="BN148" s="368"/>
      <c r="BO148" s="368"/>
      <c r="BP148" s="368"/>
      <c r="BQ148" s="368"/>
      <c r="BR148" s="368"/>
      <c r="BS148" s="368"/>
      <c r="BT148" s="368"/>
      <c r="BU148" s="368"/>
      <c r="BV148" s="368"/>
      <c r="BW148" s="368"/>
      <c r="BX148" s="368"/>
      <c r="BY148" s="368"/>
      <c r="BZ148" s="368"/>
      <c r="CA148" s="368"/>
      <c r="CB148" s="368"/>
      <c r="CC148" s="368"/>
      <c r="CD148" s="368"/>
      <c r="CE148" s="368"/>
      <c r="CF148" s="368"/>
      <c r="CG148" s="368"/>
      <c r="CH148" s="368"/>
      <c r="CI148" s="368"/>
      <c r="CJ148" s="368"/>
      <c r="CK148" s="368"/>
      <c r="CL148" s="368"/>
      <c r="CM148" s="368"/>
      <c r="CN148" s="368"/>
      <c r="CO148" s="368"/>
      <c r="CP148" s="368"/>
      <c r="CQ148" s="368"/>
      <c r="CR148" s="368"/>
      <c r="CS148" s="368"/>
      <c r="CT148" s="368"/>
      <c r="CU148" s="368"/>
      <c r="CV148" s="368"/>
      <c r="CW148" s="368"/>
      <c r="CX148" s="368"/>
      <c r="CY148" s="368"/>
      <c r="CZ148" s="368"/>
      <c r="DA148" s="368"/>
      <c r="DB148" s="368"/>
      <c r="DC148" s="368"/>
      <c r="DD148" s="368"/>
      <c r="DE148" s="368"/>
      <c r="DF148" s="368"/>
      <c r="DG148" s="368"/>
      <c r="DH148" s="368"/>
      <c r="DI148" s="368"/>
      <c r="DJ148" s="368"/>
      <c r="DK148" s="368"/>
      <c r="DL148" s="368"/>
      <c r="DM148" s="368"/>
      <c r="DN148" s="368"/>
      <c r="DO148" s="368"/>
      <c r="DP148" s="368"/>
      <c r="DQ148" s="368"/>
      <c r="DR148" s="368"/>
      <c r="DS148" s="368"/>
      <c r="DT148" s="368"/>
      <c r="DU148" s="368"/>
      <c r="DV148" s="368"/>
      <c r="DW148" s="368"/>
      <c r="DX148" s="368"/>
      <c r="DY148" s="368"/>
      <c r="DZ148" s="368"/>
      <c r="EA148" s="368"/>
      <c r="EB148" s="368"/>
      <c r="EC148" s="368"/>
      <c r="ED148" s="368"/>
      <c r="EE148" s="368"/>
      <c r="EF148" s="368"/>
      <c r="EG148" s="368"/>
      <c r="EH148" s="368"/>
      <c r="EI148" s="368"/>
      <c r="EJ148" s="368"/>
      <c r="EK148" s="368"/>
      <c r="EL148" s="368"/>
      <c r="EM148" s="368"/>
      <c r="EN148" s="368"/>
      <c r="EO148" s="368"/>
      <c r="EP148" s="368"/>
      <c r="EQ148" s="368"/>
      <c r="ER148" s="368"/>
      <c r="ES148" s="368"/>
      <c r="ET148" s="368"/>
      <c r="EU148" s="368"/>
      <c r="EV148" s="368"/>
      <c r="EW148" s="368"/>
      <c r="EX148" s="368"/>
      <c r="EY148" s="368"/>
      <c r="EZ148" s="368"/>
      <c r="FA148" s="368"/>
      <c r="FB148" s="368"/>
      <c r="FC148" s="368"/>
      <c r="FD148" s="368"/>
      <c r="FE148" s="368"/>
      <c r="FF148" s="368"/>
      <c r="FG148" s="368"/>
      <c r="FH148" s="368"/>
      <c r="FI148" s="368"/>
      <c r="FJ148" s="368"/>
      <c r="FK148" s="368"/>
      <c r="FL148" s="368"/>
      <c r="FM148" s="368"/>
      <c r="FN148" s="368"/>
      <c r="FO148" s="368"/>
      <c r="FP148" s="368"/>
      <c r="FQ148" s="368"/>
      <c r="FR148" s="368"/>
      <c r="FS148" s="368"/>
      <c r="FT148" s="368"/>
      <c r="FU148" s="368"/>
      <c r="FV148" s="368"/>
      <c r="FW148" s="368"/>
      <c r="FX148" s="368"/>
      <c r="FY148" s="368"/>
      <c r="FZ148" s="368"/>
      <c r="GA148" s="368"/>
      <c r="GB148" s="368"/>
      <c r="GC148" s="368"/>
      <c r="GD148" s="368"/>
      <c r="GE148" s="368"/>
      <c r="GF148" s="368"/>
      <c r="GG148" s="368"/>
      <c r="GH148" s="368"/>
      <c r="GI148" s="368"/>
      <c r="GJ148" s="368"/>
      <c r="GK148" s="368"/>
      <c r="GL148" s="368"/>
      <c r="GM148" s="368"/>
      <c r="GN148" s="368"/>
      <c r="GO148" s="368"/>
      <c r="GP148" s="368"/>
      <c r="GQ148" s="368"/>
      <c r="GR148" s="368"/>
      <c r="GS148" s="368"/>
      <c r="GT148" s="368"/>
      <c r="GU148" s="368"/>
      <c r="GV148" s="368"/>
      <c r="GW148" s="368"/>
      <c r="GX148" s="368"/>
      <c r="GY148" s="368"/>
      <c r="GZ148" s="368"/>
      <c r="HA148" s="368"/>
      <c r="HB148" s="368"/>
      <c r="HC148" s="368"/>
      <c r="HD148" s="368"/>
      <c r="HE148" s="368"/>
      <c r="HF148" s="368"/>
      <c r="HG148" s="368"/>
      <c r="HH148" s="368"/>
      <c r="HI148" s="368"/>
      <c r="HJ148" s="368"/>
      <c r="HK148" s="368"/>
      <c r="HL148" s="368"/>
      <c r="HM148" s="368"/>
      <c r="HN148" s="368"/>
      <c r="HO148" s="368"/>
      <c r="HP148" s="368"/>
      <c r="HQ148" s="368"/>
      <c r="HR148" s="368"/>
      <c r="HS148" s="368"/>
      <c r="HT148" s="368"/>
      <c r="HU148" s="368"/>
      <c r="HV148" s="368"/>
      <c r="HW148" s="368"/>
      <c r="HX148" s="368"/>
      <c r="HY148" s="368"/>
      <c r="HZ148" s="368"/>
      <c r="IA148" s="368"/>
      <c r="IB148" s="368"/>
      <c r="IC148" s="368"/>
      <c r="ID148" s="368"/>
      <c r="IE148" s="368"/>
      <c r="IF148" s="368"/>
      <c r="IG148" s="368"/>
      <c r="IH148" s="368"/>
      <c r="II148" s="368"/>
      <c r="IJ148" s="368"/>
      <c r="IK148" s="368"/>
      <c r="IL148" s="368"/>
      <c r="IM148" s="368"/>
      <c r="IN148" s="368"/>
      <c r="IO148" s="368"/>
      <c r="IP148" s="368"/>
      <c r="IQ148" s="368"/>
      <c r="IR148" s="368"/>
      <c r="IS148" s="368"/>
      <c r="IT148" s="368"/>
      <c r="IU148" s="368"/>
    </row>
    <row r="149" spans="2:255" hidden="1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AA149" s="1022"/>
      <c r="AB149" s="1022"/>
      <c r="AC149" s="1022"/>
      <c r="AD149" s="38"/>
      <c r="AP149" s="368"/>
      <c r="AQ149" s="368"/>
      <c r="AR149" s="368"/>
      <c r="AS149" s="368"/>
      <c r="AT149" s="368"/>
      <c r="AU149" s="368"/>
      <c r="AV149" s="368"/>
      <c r="AW149" s="368"/>
      <c r="AX149" s="368"/>
      <c r="AY149" s="368"/>
      <c r="AZ149" s="368"/>
      <c r="BA149" s="368"/>
      <c r="BB149" s="368"/>
      <c r="BC149" s="368"/>
      <c r="BD149" s="368"/>
      <c r="BE149" s="368"/>
      <c r="BF149" s="368"/>
      <c r="BG149" s="368"/>
      <c r="BH149" s="368"/>
      <c r="BI149" s="368"/>
      <c r="BJ149" s="368"/>
      <c r="BK149" s="368"/>
      <c r="BL149" s="368"/>
      <c r="BM149" s="368"/>
      <c r="BN149" s="368"/>
      <c r="BO149" s="368"/>
      <c r="BP149" s="368"/>
      <c r="BQ149" s="368"/>
      <c r="BR149" s="368"/>
      <c r="BS149" s="368"/>
      <c r="BT149" s="368"/>
      <c r="BU149" s="368"/>
      <c r="BV149" s="368"/>
      <c r="BW149" s="368"/>
      <c r="BX149" s="368"/>
      <c r="BY149" s="368"/>
      <c r="BZ149" s="368"/>
      <c r="CA149" s="368"/>
      <c r="CB149" s="368"/>
      <c r="CC149" s="368"/>
      <c r="CD149" s="368"/>
      <c r="CE149" s="368"/>
      <c r="CF149" s="368"/>
      <c r="CG149" s="368"/>
      <c r="CH149" s="368"/>
      <c r="CI149" s="368"/>
      <c r="CJ149" s="368"/>
      <c r="CK149" s="368"/>
      <c r="CL149" s="368"/>
      <c r="CM149" s="368"/>
      <c r="CN149" s="368"/>
      <c r="CO149" s="368"/>
      <c r="CP149" s="368"/>
      <c r="CQ149" s="368"/>
      <c r="CR149" s="368"/>
      <c r="CS149" s="368"/>
      <c r="CT149" s="368"/>
      <c r="CU149" s="368"/>
      <c r="CV149" s="368"/>
      <c r="CW149" s="368"/>
      <c r="CX149" s="368"/>
      <c r="CY149" s="368"/>
      <c r="CZ149" s="368"/>
      <c r="DA149" s="368"/>
      <c r="DB149" s="368"/>
      <c r="DC149" s="368"/>
      <c r="DD149" s="368"/>
      <c r="DE149" s="368"/>
      <c r="DF149" s="368"/>
      <c r="DG149" s="368"/>
      <c r="DH149" s="368"/>
      <c r="DI149" s="368"/>
      <c r="DJ149" s="368"/>
      <c r="DK149" s="368"/>
      <c r="DL149" s="368"/>
      <c r="DM149" s="368"/>
      <c r="DN149" s="368"/>
      <c r="DO149" s="368"/>
      <c r="DP149" s="368"/>
      <c r="DQ149" s="368"/>
      <c r="DR149" s="368"/>
      <c r="DS149" s="368"/>
      <c r="DT149" s="368"/>
      <c r="DU149" s="368"/>
      <c r="DV149" s="368"/>
      <c r="DW149" s="368"/>
      <c r="DX149" s="368"/>
      <c r="DY149" s="368"/>
      <c r="DZ149" s="368"/>
      <c r="EA149" s="368"/>
      <c r="EB149" s="368"/>
      <c r="EC149" s="368"/>
      <c r="ED149" s="368"/>
      <c r="EE149" s="368"/>
      <c r="EF149" s="368"/>
      <c r="EG149" s="368"/>
      <c r="EH149" s="368"/>
      <c r="EI149" s="368"/>
      <c r="EJ149" s="368"/>
      <c r="EK149" s="368"/>
      <c r="EL149" s="368"/>
      <c r="EM149" s="368"/>
      <c r="EN149" s="368"/>
      <c r="EO149" s="368"/>
      <c r="EP149" s="368"/>
      <c r="EQ149" s="368"/>
      <c r="ER149" s="368"/>
      <c r="ES149" s="368"/>
      <c r="ET149" s="368"/>
      <c r="EU149" s="368"/>
      <c r="EV149" s="368"/>
      <c r="EW149" s="368"/>
      <c r="EX149" s="368"/>
      <c r="EY149" s="368"/>
      <c r="EZ149" s="368"/>
      <c r="FA149" s="368"/>
      <c r="FB149" s="368"/>
      <c r="FC149" s="368"/>
      <c r="FD149" s="368"/>
      <c r="FE149" s="368"/>
      <c r="FF149" s="368"/>
      <c r="FG149" s="368"/>
      <c r="FH149" s="368"/>
      <c r="FI149" s="368"/>
      <c r="FJ149" s="368"/>
      <c r="FK149" s="368"/>
      <c r="FL149" s="368"/>
      <c r="FM149" s="368"/>
      <c r="FN149" s="368"/>
      <c r="FO149" s="368"/>
      <c r="FP149" s="368"/>
      <c r="FQ149" s="368"/>
      <c r="FR149" s="368"/>
      <c r="FS149" s="368"/>
      <c r="FT149" s="368"/>
      <c r="FU149" s="368"/>
      <c r="FV149" s="368"/>
      <c r="FW149" s="368"/>
      <c r="FX149" s="368"/>
      <c r="FY149" s="368"/>
      <c r="FZ149" s="368"/>
      <c r="GA149" s="368"/>
      <c r="GB149" s="368"/>
      <c r="GC149" s="368"/>
      <c r="GD149" s="368"/>
      <c r="GE149" s="368"/>
      <c r="GF149" s="368"/>
      <c r="GG149" s="368"/>
      <c r="GH149" s="368"/>
      <c r="GI149" s="368"/>
      <c r="GJ149" s="368"/>
      <c r="GK149" s="368"/>
      <c r="GL149" s="368"/>
      <c r="GM149" s="368"/>
      <c r="GN149" s="368"/>
      <c r="GO149" s="368"/>
      <c r="GP149" s="368"/>
      <c r="GQ149" s="368"/>
      <c r="GR149" s="368"/>
      <c r="GS149" s="368"/>
      <c r="GT149" s="368"/>
      <c r="GU149" s="368"/>
      <c r="GV149" s="368"/>
      <c r="GW149" s="368"/>
      <c r="GX149" s="368"/>
      <c r="GY149" s="368"/>
      <c r="GZ149" s="368"/>
      <c r="HA149" s="368"/>
      <c r="HB149" s="368"/>
      <c r="HC149" s="368"/>
      <c r="HD149" s="368"/>
      <c r="HE149" s="368"/>
      <c r="HF149" s="368"/>
      <c r="HG149" s="368"/>
      <c r="HH149" s="368"/>
      <c r="HI149" s="368"/>
      <c r="HJ149" s="368"/>
      <c r="HK149" s="368"/>
      <c r="HL149" s="368"/>
      <c r="HM149" s="368"/>
      <c r="HN149" s="368"/>
      <c r="HO149" s="368"/>
      <c r="HP149" s="368"/>
      <c r="HQ149" s="368"/>
      <c r="HR149" s="368"/>
      <c r="HS149" s="368"/>
      <c r="HT149" s="368"/>
      <c r="HU149" s="368"/>
      <c r="HV149" s="368"/>
      <c r="HW149" s="368"/>
      <c r="HX149" s="368"/>
      <c r="HY149" s="368"/>
      <c r="HZ149" s="368"/>
      <c r="IA149" s="368"/>
      <c r="IB149" s="368"/>
      <c r="IC149" s="368"/>
      <c r="ID149" s="368"/>
      <c r="IE149" s="368"/>
      <c r="IF149" s="368"/>
      <c r="IG149" s="368"/>
      <c r="IH149" s="368"/>
      <c r="II149" s="368"/>
      <c r="IJ149" s="368"/>
      <c r="IK149" s="368"/>
      <c r="IL149" s="368"/>
      <c r="IM149" s="368"/>
      <c r="IN149" s="368"/>
      <c r="IO149" s="368"/>
      <c r="IP149" s="368"/>
      <c r="IQ149" s="368"/>
      <c r="IR149" s="368"/>
      <c r="IS149" s="368"/>
      <c r="IT149" s="368"/>
      <c r="IU149" s="368"/>
    </row>
    <row r="150" spans="2:255">
      <c r="B150" s="33"/>
      <c r="C150" s="33"/>
      <c r="D150" s="895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AA150" s="1022"/>
      <c r="AB150" s="1022"/>
      <c r="AC150" s="1022"/>
      <c r="AD150" s="38"/>
      <c r="AP150" s="368"/>
      <c r="AQ150" s="368"/>
      <c r="AR150" s="368"/>
      <c r="AS150" s="368"/>
      <c r="AT150" s="368"/>
      <c r="AU150" s="368"/>
      <c r="AV150" s="368"/>
      <c r="AW150" s="368"/>
      <c r="AX150" s="368"/>
      <c r="AY150" s="368"/>
      <c r="AZ150" s="368"/>
      <c r="BA150" s="368"/>
      <c r="BB150" s="368"/>
      <c r="BC150" s="368"/>
      <c r="BD150" s="368"/>
      <c r="BE150" s="368"/>
      <c r="BF150" s="368"/>
      <c r="BG150" s="368"/>
      <c r="BH150" s="368"/>
      <c r="BI150" s="368"/>
      <c r="BJ150" s="368"/>
      <c r="BK150" s="368"/>
      <c r="BL150" s="368"/>
      <c r="BM150" s="368"/>
      <c r="BN150" s="368"/>
      <c r="BO150" s="368"/>
      <c r="BP150" s="368"/>
      <c r="BQ150" s="368"/>
      <c r="BR150" s="368"/>
      <c r="BS150" s="368"/>
      <c r="BT150" s="368"/>
      <c r="BU150" s="368"/>
      <c r="BV150" s="368"/>
      <c r="BW150" s="368"/>
      <c r="BX150" s="368"/>
      <c r="BY150" s="368"/>
      <c r="BZ150" s="368"/>
      <c r="CA150" s="368"/>
      <c r="CB150" s="368"/>
      <c r="CC150" s="368"/>
      <c r="CD150" s="368"/>
      <c r="CE150" s="368"/>
      <c r="CF150" s="368"/>
      <c r="CG150" s="368"/>
      <c r="CH150" s="368"/>
      <c r="CI150" s="368"/>
      <c r="CJ150" s="368"/>
      <c r="CK150" s="368"/>
      <c r="CL150" s="368"/>
      <c r="CM150" s="368"/>
      <c r="CN150" s="368"/>
      <c r="CO150" s="368"/>
      <c r="CP150" s="368"/>
      <c r="CQ150" s="368"/>
      <c r="CR150" s="368"/>
      <c r="CS150" s="368"/>
      <c r="CT150" s="368"/>
      <c r="CU150" s="368"/>
      <c r="CV150" s="368"/>
      <c r="CW150" s="368"/>
      <c r="CX150" s="368"/>
      <c r="CY150" s="368"/>
      <c r="CZ150" s="368"/>
      <c r="DA150" s="368"/>
      <c r="DB150" s="368"/>
      <c r="DC150" s="368"/>
      <c r="DD150" s="368"/>
      <c r="DE150" s="368"/>
      <c r="DF150" s="368"/>
      <c r="DG150" s="368"/>
      <c r="DH150" s="368"/>
      <c r="DI150" s="368"/>
      <c r="DJ150" s="368"/>
      <c r="DK150" s="368"/>
      <c r="DL150" s="368"/>
      <c r="DM150" s="368"/>
      <c r="DN150" s="368"/>
      <c r="DO150" s="368"/>
      <c r="DP150" s="368"/>
      <c r="DQ150" s="368"/>
      <c r="DR150" s="368"/>
      <c r="DS150" s="368"/>
      <c r="DT150" s="368"/>
      <c r="DU150" s="368"/>
      <c r="DV150" s="368"/>
      <c r="DW150" s="368"/>
      <c r="DX150" s="368"/>
      <c r="DY150" s="368"/>
      <c r="DZ150" s="368"/>
      <c r="EA150" s="368"/>
      <c r="EB150" s="368"/>
      <c r="EC150" s="368"/>
      <c r="ED150" s="368"/>
      <c r="EE150" s="368"/>
      <c r="EF150" s="368"/>
      <c r="EG150" s="368"/>
      <c r="EH150" s="368"/>
      <c r="EI150" s="368"/>
      <c r="EJ150" s="368"/>
      <c r="EK150" s="368"/>
      <c r="EL150" s="368"/>
      <c r="EM150" s="368"/>
      <c r="EN150" s="368"/>
      <c r="EO150" s="368"/>
      <c r="EP150" s="368"/>
      <c r="EQ150" s="368"/>
      <c r="ER150" s="368"/>
      <c r="ES150" s="368"/>
      <c r="ET150" s="368"/>
      <c r="EU150" s="368"/>
      <c r="EV150" s="368"/>
      <c r="EW150" s="368"/>
      <c r="EX150" s="368"/>
      <c r="EY150" s="368"/>
      <c r="EZ150" s="368"/>
      <c r="FA150" s="368"/>
      <c r="FB150" s="368"/>
      <c r="FC150" s="368"/>
      <c r="FD150" s="368"/>
      <c r="FE150" s="368"/>
      <c r="FF150" s="368"/>
      <c r="FG150" s="368"/>
      <c r="FH150" s="368"/>
      <c r="FI150" s="368"/>
      <c r="FJ150" s="368"/>
      <c r="FK150" s="368"/>
      <c r="FL150" s="368"/>
      <c r="FM150" s="368"/>
      <c r="FN150" s="368"/>
      <c r="FO150" s="368"/>
      <c r="FP150" s="368"/>
      <c r="FQ150" s="368"/>
      <c r="FR150" s="368"/>
      <c r="FS150" s="368"/>
      <c r="FT150" s="368"/>
      <c r="FU150" s="368"/>
      <c r="FV150" s="368"/>
      <c r="FW150" s="368"/>
      <c r="FX150" s="368"/>
      <c r="FY150" s="368"/>
      <c r="FZ150" s="368"/>
      <c r="GA150" s="368"/>
      <c r="GB150" s="368"/>
      <c r="GC150" s="368"/>
      <c r="GD150" s="368"/>
      <c r="GE150" s="368"/>
      <c r="GF150" s="368"/>
      <c r="GG150" s="368"/>
      <c r="GH150" s="368"/>
      <c r="GI150" s="368"/>
      <c r="GJ150" s="368"/>
      <c r="GK150" s="368"/>
      <c r="GL150" s="368"/>
      <c r="GM150" s="368"/>
      <c r="GN150" s="368"/>
      <c r="GO150" s="368"/>
      <c r="GP150" s="368"/>
      <c r="GQ150" s="368"/>
      <c r="GR150" s="368"/>
      <c r="GS150" s="368"/>
      <c r="GT150" s="368"/>
      <c r="GU150" s="368"/>
      <c r="GV150" s="368"/>
      <c r="GW150" s="368"/>
      <c r="GX150" s="368"/>
      <c r="GY150" s="368"/>
      <c r="GZ150" s="368"/>
      <c r="HA150" s="368"/>
      <c r="HB150" s="368"/>
      <c r="HC150" s="368"/>
      <c r="HD150" s="368"/>
      <c r="HE150" s="368"/>
      <c r="HF150" s="368"/>
      <c r="HG150" s="368"/>
      <c r="HH150" s="368"/>
      <c r="HI150" s="368"/>
      <c r="HJ150" s="368"/>
      <c r="HK150" s="368"/>
      <c r="HL150" s="368"/>
      <c r="HM150" s="368"/>
      <c r="HN150" s="368"/>
      <c r="HO150" s="368"/>
      <c r="HP150" s="368"/>
      <c r="HQ150" s="368"/>
      <c r="HR150" s="368"/>
      <c r="HS150" s="368"/>
      <c r="HT150" s="368"/>
      <c r="HU150" s="368"/>
      <c r="HV150" s="368"/>
      <c r="HW150" s="368"/>
      <c r="HX150" s="368"/>
      <c r="HY150" s="368"/>
      <c r="HZ150" s="368"/>
      <c r="IA150" s="368"/>
      <c r="IB150" s="368"/>
      <c r="IC150" s="368"/>
      <c r="ID150" s="368"/>
      <c r="IE150" s="368"/>
      <c r="IF150" s="368"/>
      <c r="IG150" s="368"/>
      <c r="IH150" s="368"/>
      <c r="II150" s="368"/>
      <c r="IJ150" s="368"/>
      <c r="IK150" s="368"/>
      <c r="IL150" s="368"/>
      <c r="IM150" s="368"/>
      <c r="IN150" s="368"/>
      <c r="IO150" s="368"/>
      <c r="IP150" s="368"/>
      <c r="IQ150" s="368"/>
      <c r="IR150" s="368"/>
      <c r="IS150" s="368"/>
      <c r="IT150" s="368"/>
      <c r="IU150" s="368"/>
    </row>
    <row r="151" spans="2:255">
      <c r="B151" s="33"/>
      <c r="C151" s="35"/>
      <c r="D151" s="895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AP151" s="368"/>
      <c r="AQ151" s="368"/>
      <c r="AR151" s="368"/>
      <c r="AS151" s="368"/>
      <c r="AT151" s="368"/>
      <c r="AU151" s="368"/>
      <c r="AV151" s="368"/>
      <c r="AW151" s="368"/>
      <c r="AX151" s="368"/>
      <c r="AY151" s="368"/>
      <c r="AZ151" s="368"/>
      <c r="BA151" s="368"/>
      <c r="BB151" s="368"/>
      <c r="BC151" s="368"/>
      <c r="BD151" s="368"/>
      <c r="BE151" s="368"/>
      <c r="BF151" s="368"/>
      <c r="BG151" s="368"/>
      <c r="BH151" s="368"/>
      <c r="BI151" s="368"/>
      <c r="BJ151" s="368"/>
      <c r="BK151" s="368"/>
      <c r="BL151" s="368"/>
      <c r="BM151" s="368"/>
      <c r="BN151" s="368"/>
      <c r="BO151" s="368"/>
      <c r="BP151" s="368"/>
      <c r="BQ151" s="368"/>
      <c r="BR151" s="368"/>
      <c r="BS151" s="368"/>
      <c r="BT151" s="368"/>
      <c r="BU151" s="368"/>
      <c r="BV151" s="368"/>
      <c r="BW151" s="368"/>
      <c r="BX151" s="368"/>
      <c r="BY151" s="368"/>
      <c r="BZ151" s="368"/>
      <c r="CA151" s="368"/>
      <c r="CB151" s="368"/>
      <c r="CC151" s="368"/>
      <c r="CD151" s="368"/>
      <c r="CE151" s="368"/>
      <c r="CF151" s="368"/>
      <c r="CG151" s="368"/>
      <c r="CH151" s="368"/>
      <c r="CI151" s="368"/>
      <c r="CJ151" s="368"/>
      <c r="CK151" s="368"/>
      <c r="CL151" s="368"/>
      <c r="CM151" s="368"/>
      <c r="CN151" s="368"/>
      <c r="CO151" s="368"/>
      <c r="CP151" s="368"/>
      <c r="CQ151" s="368"/>
      <c r="CR151" s="368"/>
      <c r="CS151" s="368"/>
      <c r="CT151" s="368"/>
      <c r="CU151" s="368"/>
      <c r="CV151" s="368"/>
      <c r="CW151" s="368"/>
      <c r="CX151" s="368"/>
      <c r="CY151" s="368"/>
      <c r="CZ151" s="368"/>
      <c r="DA151" s="368"/>
      <c r="DB151" s="368"/>
      <c r="DC151" s="368"/>
      <c r="DD151" s="368"/>
      <c r="DE151" s="368"/>
      <c r="DF151" s="368"/>
      <c r="DG151" s="368"/>
      <c r="DH151" s="368"/>
      <c r="DI151" s="368"/>
      <c r="DJ151" s="368"/>
      <c r="DK151" s="368"/>
      <c r="DL151" s="368"/>
      <c r="DM151" s="368"/>
      <c r="DN151" s="368"/>
      <c r="DO151" s="368"/>
      <c r="DP151" s="368"/>
      <c r="DQ151" s="368"/>
      <c r="DR151" s="368"/>
      <c r="DS151" s="368"/>
      <c r="DT151" s="368"/>
      <c r="DU151" s="368"/>
      <c r="DV151" s="368"/>
      <c r="DW151" s="368"/>
      <c r="DX151" s="368"/>
      <c r="DY151" s="368"/>
      <c r="DZ151" s="368"/>
      <c r="EA151" s="368"/>
      <c r="EB151" s="368"/>
      <c r="EC151" s="368"/>
      <c r="ED151" s="368"/>
      <c r="EE151" s="368"/>
      <c r="EF151" s="368"/>
      <c r="EG151" s="368"/>
      <c r="EH151" s="368"/>
      <c r="EI151" s="368"/>
      <c r="EJ151" s="368"/>
      <c r="EK151" s="368"/>
      <c r="EL151" s="368"/>
      <c r="EM151" s="368"/>
      <c r="EN151" s="368"/>
      <c r="EO151" s="368"/>
      <c r="EP151" s="368"/>
      <c r="EQ151" s="368"/>
      <c r="ER151" s="368"/>
      <c r="ES151" s="368"/>
      <c r="ET151" s="368"/>
      <c r="EU151" s="368"/>
      <c r="EV151" s="368"/>
      <c r="EW151" s="368"/>
      <c r="EX151" s="368"/>
      <c r="EY151" s="368"/>
      <c r="EZ151" s="368"/>
      <c r="FA151" s="368"/>
      <c r="FB151" s="368"/>
      <c r="FC151" s="368"/>
      <c r="FD151" s="368"/>
      <c r="FE151" s="368"/>
      <c r="FF151" s="368"/>
      <c r="FG151" s="368"/>
      <c r="FH151" s="368"/>
      <c r="FI151" s="368"/>
      <c r="FJ151" s="368"/>
      <c r="FK151" s="368"/>
      <c r="FL151" s="368"/>
      <c r="FM151" s="368"/>
      <c r="FN151" s="368"/>
      <c r="FO151" s="368"/>
      <c r="FP151" s="368"/>
      <c r="FQ151" s="368"/>
      <c r="FR151" s="368"/>
      <c r="FS151" s="368"/>
      <c r="FT151" s="368"/>
      <c r="FU151" s="368"/>
      <c r="FV151" s="368"/>
      <c r="FW151" s="368"/>
      <c r="FX151" s="368"/>
      <c r="FY151" s="368"/>
      <c r="FZ151" s="368"/>
      <c r="GA151" s="368"/>
      <c r="GB151" s="368"/>
      <c r="GC151" s="368"/>
      <c r="GD151" s="368"/>
      <c r="GE151" s="368"/>
      <c r="GF151" s="368"/>
      <c r="GG151" s="368"/>
      <c r="GH151" s="368"/>
      <c r="GI151" s="368"/>
      <c r="GJ151" s="368"/>
      <c r="GK151" s="368"/>
      <c r="GL151" s="368"/>
      <c r="GM151" s="368"/>
      <c r="GN151" s="368"/>
      <c r="GO151" s="368"/>
      <c r="GP151" s="368"/>
      <c r="GQ151" s="368"/>
      <c r="GR151" s="368"/>
      <c r="GS151" s="368"/>
      <c r="GT151" s="368"/>
      <c r="GU151" s="368"/>
      <c r="GV151" s="368"/>
      <c r="GW151" s="368"/>
      <c r="GX151" s="368"/>
      <c r="GY151" s="368"/>
      <c r="GZ151" s="368"/>
      <c r="HA151" s="368"/>
      <c r="HB151" s="368"/>
      <c r="HC151" s="368"/>
      <c r="HD151" s="368"/>
      <c r="HE151" s="368"/>
      <c r="HF151" s="368"/>
      <c r="HG151" s="368"/>
      <c r="HH151" s="368"/>
      <c r="HI151" s="368"/>
      <c r="HJ151" s="368"/>
      <c r="HK151" s="368"/>
      <c r="HL151" s="368"/>
      <c r="HM151" s="368"/>
      <c r="HN151" s="368"/>
      <c r="HO151" s="368"/>
      <c r="HP151" s="368"/>
      <c r="HQ151" s="368"/>
      <c r="HR151" s="368"/>
      <c r="HS151" s="368"/>
      <c r="HT151" s="368"/>
      <c r="HU151" s="368"/>
      <c r="HV151" s="368"/>
      <c r="HW151" s="368"/>
      <c r="HX151" s="368"/>
      <c r="HY151" s="368"/>
      <c r="HZ151" s="368"/>
      <c r="IA151" s="368"/>
      <c r="IB151" s="368"/>
      <c r="IC151" s="368"/>
      <c r="ID151" s="368"/>
      <c r="IE151" s="368"/>
      <c r="IF151" s="368"/>
      <c r="IG151" s="368"/>
      <c r="IH151" s="368"/>
      <c r="II151" s="368"/>
      <c r="IJ151" s="368"/>
      <c r="IK151" s="368"/>
      <c r="IL151" s="368"/>
      <c r="IM151" s="368"/>
      <c r="IN151" s="368"/>
      <c r="IO151" s="368"/>
      <c r="IP151" s="368"/>
      <c r="IQ151" s="368"/>
      <c r="IR151" s="368"/>
      <c r="IS151" s="368"/>
      <c r="IT151" s="368"/>
      <c r="IU151" s="368"/>
    </row>
    <row r="152" spans="2:255">
      <c r="B152" s="33"/>
      <c r="C152" s="35"/>
      <c r="D152" s="895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AP152" s="368"/>
      <c r="AQ152" s="368"/>
      <c r="AR152" s="368"/>
      <c r="AS152" s="368"/>
      <c r="AT152" s="368"/>
      <c r="AU152" s="368"/>
      <c r="AV152" s="368"/>
      <c r="AW152" s="368"/>
      <c r="AX152" s="368"/>
      <c r="AY152" s="368"/>
      <c r="AZ152" s="368"/>
      <c r="BA152" s="368"/>
      <c r="BB152" s="368"/>
      <c r="BC152" s="368"/>
      <c r="BD152" s="368"/>
      <c r="BE152" s="368"/>
      <c r="BF152" s="368"/>
      <c r="BG152" s="368"/>
      <c r="BH152" s="368"/>
      <c r="BI152" s="368"/>
      <c r="BJ152" s="368"/>
      <c r="BK152" s="368"/>
      <c r="BL152" s="368"/>
      <c r="BM152" s="368"/>
      <c r="BN152" s="368"/>
      <c r="BO152" s="368"/>
      <c r="BP152" s="368"/>
      <c r="BQ152" s="368"/>
      <c r="BR152" s="368"/>
      <c r="BS152" s="368"/>
      <c r="BT152" s="368"/>
      <c r="BU152" s="368"/>
      <c r="BV152" s="368"/>
      <c r="BW152" s="368"/>
      <c r="BX152" s="368"/>
      <c r="BY152" s="368"/>
      <c r="BZ152" s="368"/>
      <c r="CA152" s="368"/>
      <c r="CB152" s="368"/>
      <c r="CC152" s="368"/>
      <c r="CD152" s="368"/>
      <c r="CE152" s="368"/>
      <c r="CF152" s="368"/>
      <c r="CG152" s="368"/>
      <c r="CH152" s="368"/>
      <c r="CI152" s="368"/>
      <c r="CJ152" s="368"/>
      <c r="CK152" s="368"/>
      <c r="CL152" s="368"/>
      <c r="CM152" s="368"/>
      <c r="CN152" s="368"/>
      <c r="CO152" s="368"/>
      <c r="CP152" s="368"/>
      <c r="CQ152" s="368"/>
      <c r="CR152" s="368"/>
      <c r="CS152" s="368"/>
      <c r="CT152" s="368"/>
      <c r="CU152" s="368"/>
      <c r="CV152" s="368"/>
      <c r="CW152" s="368"/>
      <c r="CX152" s="368"/>
      <c r="CY152" s="368"/>
      <c r="CZ152" s="368"/>
      <c r="DA152" s="368"/>
      <c r="DB152" s="368"/>
      <c r="DC152" s="368"/>
      <c r="DD152" s="368"/>
      <c r="DE152" s="368"/>
      <c r="DF152" s="368"/>
      <c r="DG152" s="368"/>
      <c r="DH152" s="368"/>
      <c r="DI152" s="368"/>
      <c r="DJ152" s="368"/>
      <c r="DK152" s="368"/>
      <c r="DL152" s="368"/>
      <c r="DM152" s="368"/>
      <c r="DN152" s="368"/>
      <c r="DO152" s="368"/>
      <c r="DP152" s="368"/>
      <c r="DQ152" s="368"/>
      <c r="DR152" s="368"/>
      <c r="DS152" s="368"/>
      <c r="DT152" s="368"/>
      <c r="DU152" s="368"/>
      <c r="DV152" s="368"/>
      <c r="DW152" s="368"/>
      <c r="DX152" s="368"/>
      <c r="DY152" s="368"/>
      <c r="DZ152" s="368"/>
      <c r="EA152" s="368"/>
      <c r="EB152" s="368"/>
      <c r="EC152" s="368"/>
      <c r="ED152" s="368"/>
      <c r="EE152" s="368"/>
      <c r="EF152" s="368"/>
      <c r="EG152" s="368"/>
      <c r="EH152" s="368"/>
      <c r="EI152" s="368"/>
      <c r="EJ152" s="368"/>
      <c r="EK152" s="368"/>
      <c r="EL152" s="368"/>
      <c r="EM152" s="368"/>
      <c r="EN152" s="368"/>
      <c r="EO152" s="368"/>
      <c r="EP152" s="368"/>
      <c r="EQ152" s="368"/>
      <c r="ER152" s="368"/>
      <c r="ES152" s="368"/>
      <c r="ET152" s="368"/>
      <c r="EU152" s="368"/>
      <c r="EV152" s="368"/>
      <c r="EW152" s="368"/>
      <c r="EX152" s="368"/>
      <c r="EY152" s="368"/>
      <c r="EZ152" s="368"/>
      <c r="FA152" s="368"/>
      <c r="FB152" s="368"/>
      <c r="FC152" s="368"/>
      <c r="FD152" s="368"/>
      <c r="FE152" s="368"/>
      <c r="FF152" s="368"/>
      <c r="FG152" s="368"/>
      <c r="FH152" s="368"/>
      <c r="FI152" s="368"/>
      <c r="FJ152" s="368"/>
      <c r="FK152" s="368"/>
      <c r="FL152" s="368"/>
      <c r="FM152" s="368"/>
      <c r="FN152" s="368"/>
      <c r="FO152" s="368"/>
      <c r="FP152" s="368"/>
      <c r="FQ152" s="368"/>
      <c r="FR152" s="368"/>
      <c r="FS152" s="368"/>
      <c r="FT152" s="368"/>
      <c r="FU152" s="368"/>
      <c r="FV152" s="368"/>
      <c r="FW152" s="368"/>
      <c r="FX152" s="368"/>
      <c r="FY152" s="368"/>
      <c r="FZ152" s="368"/>
      <c r="GA152" s="368"/>
      <c r="GB152" s="368"/>
      <c r="GC152" s="368"/>
      <c r="GD152" s="368"/>
      <c r="GE152" s="368"/>
      <c r="GF152" s="368"/>
      <c r="GG152" s="368"/>
      <c r="GH152" s="368"/>
      <c r="GI152" s="368"/>
      <c r="GJ152" s="368"/>
      <c r="GK152" s="368"/>
      <c r="GL152" s="368"/>
      <c r="GM152" s="368"/>
      <c r="GN152" s="368"/>
      <c r="GO152" s="368"/>
      <c r="GP152" s="368"/>
      <c r="GQ152" s="368"/>
      <c r="GR152" s="368"/>
      <c r="GS152" s="368"/>
      <c r="GT152" s="368"/>
      <c r="GU152" s="368"/>
      <c r="GV152" s="368"/>
      <c r="GW152" s="368"/>
      <c r="GX152" s="368"/>
      <c r="GY152" s="368"/>
      <c r="GZ152" s="368"/>
      <c r="HA152" s="368"/>
      <c r="HB152" s="368"/>
      <c r="HC152" s="368"/>
      <c r="HD152" s="368"/>
      <c r="HE152" s="368"/>
      <c r="HF152" s="368"/>
      <c r="HG152" s="368"/>
      <c r="HH152" s="368"/>
      <c r="HI152" s="368"/>
      <c r="HJ152" s="368"/>
      <c r="HK152" s="368"/>
      <c r="HL152" s="368"/>
      <c r="HM152" s="368"/>
      <c r="HN152" s="368"/>
      <c r="HO152" s="368"/>
      <c r="HP152" s="368"/>
      <c r="HQ152" s="368"/>
      <c r="HR152" s="368"/>
      <c r="HS152" s="368"/>
      <c r="HT152" s="368"/>
      <c r="HU152" s="368"/>
      <c r="HV152" s="368"/>
      <c r="HW152" s="368"/>
      <c r="HX152" s="368"/>
      <c r="HY152" s="368"/>
      <c r="HZ152" s="368"/>
      <c r="IA152" s="368"/>
      <c r="IB152" s="368"/>
      <c r="IC152" s="368"/>
      <c r="ID152" s="368"/>
      <c r="IE152" s="368"/>
      <c r="IF152" s="368"/>
      <c r="IG152" s="368"/>
      <c r="IH152" s="368"/>
      <c r="II152" s="368"/>
      <c r="IJ152" s="368"/>
      <c r="IK152" s="368"/>
      <c r="IL152" s="368"/>
      <c r="IM152" s="368"/>
      <c r="IN152" s="368"/>
      <c r="IO152" s="368"/>
      <c r="IP152" s="368"/>
      <c r="IQ152" s="368"/>
      <c r="IR152" s="368"/>
      <c r="IS152" s="368"/>
      <c r="IT152" s="368"/>
      <c r="IU152" s="368"/>
    </row>
    <row r="153" spans="2:255">
      <c r="B153" s="33"/>
      <c r="C153" s="35"/>
      <c r="D153" s="895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AP153" s="368"/>
      <c r="AQ153" s="368"/>
      <c r="AR153" s="368"/>
      <c r="AS153" s="368"/>
      <c r="AT153" s="368"/>
      <c r="AU153" s="368"/>
      <c r="AV153" s="368"/>
      <c r="AW153" s="368"/>
      <c r="AX153" s="368"/>
      <c r="AY153" s="368"/>
      <c r="AZ153" s="368"/>
      <c r="BA153" s="368"/>
      <c r="BB153" s="368"/>
      <c r="BC153" s="368"/>
      <c r="BD153" s="368"/>
      <c r="BE153" s="368"/>
      <c r="BF153" s="368"/>
      <c r="BG153" s="368"/>
      <c r="BH153" s="368"/>
      <c r="BI153" s="368"/>
      <c r="BJ153" s="368"/>
      <c r="BK153" s="368"/>
      <c r="BL153" s="368"/>
      <c r="BM153" s="368"/>
      <c r="BN153" s="368"/>
      <c r="BO153" s="368"/>
      <c r="BP153" s="368"/>
      <c r="BQ153" s="368"/>
      <c r="BR153" s="368"/>
      <c r="BS153" s="368"/>
      <c r="BT153" s="368"/>
      <c r="BU153" s="368"/>
      <c r="BV153" s="368"/>
      <c r="BW153" s="368"/>
      <c r="BX153" s="368"/>
      <c r="BY153" s="368"/>
      <c r="BZ153" s="368"/>
      <c r="CA153" s="368"/>
      <c r="CB153" s="368"/>
      <c r="CC153" s="368"/>
      <c r="CD153" s="368"/>
      <c r="CE153" s="368"/>
      <c r="CF153" s="368"/>
      <c r="CG153" s="368"/>
      <c r="CH153" s="368"/>
      <c r="CI153" s="368"/>
      <c r="CJ153" s="368"/>
      <c r="CK153" s="368"/>
      <c r="CL153" s="368"/>
      <c r="CM153" s="368"/>
      <c r="CN153" s="368"/>
      <c r="CO153" s="368"/>
      <c r="CP153" s="368"/>
      <c r="CQ153" s="368"/>
      <c r="CR153" s="368"/>
      <c r="CS153" s="368"/>
      <c r="CT153" s="368"/>
      <c r="CU153" s="368"/>
      <c r="CV153" s="368"/>
      <c r="CW153" s="368"/>
      <c r="CX153" s="368"/>
      <c r="CY153" s="368"/>
      <c r="CZ153" s="368"/>
      <c r="DA153" s="368"/>
      <c r="DB153" s="368"/>
      <c r="DC153" s="368"/>
      <c r="DD153" s="368"/>
      <c r="DE153" s="368"/>
      <c r="DF153" s="368"/>
      <c r="DG153" s="368"/>
      <c r="DH153" s="368"/>
      <c r="DI153" s="368"/>
      <c r="DJ153" s="368"/>
      <c r="DK153" s="368"/>
      <c r="DL153" s="368"/>
      <c r="DM153" s="368"/>
      <c r="DN153" s="368"/>
      <c r="DO153" s="368"/>
      <c r="DP153" s="368"/>
      <c r="DQ153" s="368"/>
      <c r="DR153" s="368"/>
      <c r="DS153" s="368"/>
      <c r="DT153" s="368"/>
      <c r="DU153" s="368"/>
      <c r="DV153" s="368"/>
      <c r="DW153" s="368"/>
      <c r="DX153" s="368"/>
      <c r="DY153" s="368"/>
      <c r="DZ153" s="368"/>
      <c r="EA153" s="368"/>
      <c r="EB153" s="368"/>
      <c r="EC153" s="368"/>
      <c r="ED153" s="368"/>
      <c r="EE153" s="368"/>
      <c r="EF153" s="368"/>
      <c r="EG153" s="368"/>
      <c r="EH153" s="368"/>
      <c r="EI153" s="368"/>
      <c r="EJ153" s="368"/>
      <c r="EK153" s="368"/>
      <c r="EL153" s="368"/>
      <c r="EM153" s="368"/>
      <c r="EN153" s="368"/>
      <c r="EO153" s="368"/>
      <c r="EP153" s="368"/>
      <c r="EQ153" s="368"/>
      <c r="ER153" s="368"/>
      <c r="ES153" s="368"/>
      <c r="ET153" s="368"/>
      <c r="EU153" s="368"/>
      <c r="EV153" s="368"/>
      <c r="EW153" s="368"/>
      <c r="EX153" s="368"/>
      <c r="EY153" s="368"/>
      <c r="EZ153" s="368"/>
      <c r="FA153" s="368"/>
      <c r="FB153" s="368"/>
      <c r="FC153" s="368"/>
      <c r="FD153" s="368"/>
      <c r="FE153" s="368"/>
      <c r="FF153" s="368"/>
      <c r="FG153" s="368"/>
      <c r="FH153" s="368"/>
      <c r="FI153" s="368"/>
      <c r="FJ153" s="368"/>
      <c r="FK153" s="368"/>
      <c r="FL153" s="368"/>
      <c r="FM153" s="368"/>
      <c r="FN153" s="368"/>
      <c r="FO153" s="368"/>
      <c r="FP153" s="368"/>
      <c r="FQ153" s="368"/>
      <c r="FR153" s="368"/>
      <c r="FS153" s="368"/>
      <c r="FT153" s="368"/>
      <c r="FU153" s="368"/>
      <c r="FV153" s="368"/>
      <c r="FW153" s="368"/>
      <c r="FX153" s="368"/>
      <c r="FY153" s="368"/>
      <c r="FZ153" s="368"/>
      <c r="GA153" s="368"/>
      <c r="GB153" s="368"/>
      <c r="GC153" s="368"/>
      <c r="GD153" s="368"/>
      <c r="GE153" s="368"/>
      <c r="GF153" s="368"/>
      <c r="GG153" s="368"/>
      <c r="GH153" s="368"/>
      <c r="GI153" s="368"/>
      <c r="GJ153" s="368"/>
      <c r="GK153" s="368"/>
      <c r="GL153" s="368"/>
      <c r="GM153" s="368"/>
      <c r="GN153" s="368"/>
      <c r="GO153" s="368"/>
      <c r="GP153" s="368"/>
      <c r="GQ153" s="368"/>
      <c r="GR153" s="368"/>
      <c r="GS153" s="368"/>
      <c r="GT153" s="368"/>
      <c r="GU153" s="368"/>
      <c r="GV153" s="368"/>
      <c r="GW153" s="368"/>
      <c r="GX153" s="368"/>
      <c r="GY153" s="368"/>
      <c r="GZ153" s="368"/>
      <c r="HA153" s="368"/>
      <c r="HB153" s="368"/>
      <c r="HC153" s="368"/>
      <c r="HD153" s="368"/>
      <c r="HE153" s="368"/>
      <c r="HF153" s="368"/>
      <c r="HG153" s="368"/>
      <c r="HH153" s="368"/>
      <c r="HI153" s="368"/>
      <c r="HJ153" s="368"/>
      <c r="HK153" s="368"/>
      <c r="HL153" s="368"/>
      <c r="HM153" s="368"/>
      <c r="HN153" s="368"/>
      <c r="HO153" s="368"/>
      <c r="HP153" s="368"/>
      <c r="HQ153" s="368"/>
      <c r="HR153" s="368"/>
      <c r="HS153" s="368"/>
      <c r="HT153" s="368"/>
      <c r="HU153" s="368"/>
      <c r="HV153" s="368"/>
      <c r="HW153" s="368"/>
      <c r="HX153" s="368"/>
      <c r="HY153" s="368"/>
      <c r="HZ153" s="368"/>
      <c r="IA153" s="368"/>
      <c r="IB153" s="368"/>
      <c r="IC153" s="368"/>
      <c r="ID153" s="368"/>
      <c r="IE153" s="368"/>
      <c r="IF153" s="368"/>
      <c r="IG153" s="368"/>
      <c r="IH153" s="368"/>
      <c r="II153" s="368"/>
      <c r="IJ153" s="368"/>
      <c r="IK153" s="368"/>
      <c r="IL153" s="368"/>
      <c r="IM153" s="368"/>
      <c r="IN153" s="368"/>
      <c r="IO153" s="368"/>
      <c r="IP153" s="368"/>
      <c r="IQ153" s="368"/>
      <c r="IR153" s="368"/>
      <c r="IS153" s="368"/>
      <c r="IT153" s="368"/>
      <c r="IU153" s="368"/>
    </row>
    <row r="154" spans="2:255">
      <c r="B154" s="33"/>
      <c r="C154" s="35"/>
      <c r="D154" s="895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AP154" s="368"/>
      <c r="AQ154" s="368"/>
      <c r="AR154" s="368"/>
      <c r="AS154" s="368"/>
      <c r="AT154" s="368"/>
      <c r="AU154" s="368"/>
      <c r="AV154" s="368"/>
      <c r="AW154" s="368"/>
      <c r="AX154" s="368"/>
      <c r="AY154" s="368"/>
      <c r="AZ154" s="368"/>
      <c r="BA154" s="368"/>
      <c r="BB154" s="368"/>
      <c r="BC154" s="368"/>
      <c r="BD154" s="368"/>
      <c r="BE154" s="368"/>
      <c r="BF154" s="368"/>
      <c r="BG154" s="368"/>
      <c r="BH154" s="368"/>
      <c r="BI154" s="368"/>
      <c r="BJ154" s="368"/>
      <c r="BK154" s="368"/>
      <c r="BL154" s="368"/>
      <c r="BM154" s="368"/>
      <c r="BN154" s="368"/>
      <c r="BO154" s="368"/>
      <c r="BP154" s="368"/>
      <c r="BQ154" s="368"/>
      <c r="BR154" s="368"/>
      <c r="BS154" s="368"/>
      <c r="BT154" s="368"/>
      <c r="BU154" s="368"/>
      <c r="BV154" s="368"/>
      <c r="BW154" s="368"/>
      <c r="BX154" s="368"/>
      <c r="BY154" s="368"/>
      <c r="BZ154" s="368"/>
      <c r="CA154" s="368"/>
      <c r="CB154" s="368"/>
      <c r="CC154" s="368"/>
      <c r="CD154" s="368"/>
      <c r="CE154" s="368"/>
      <c r="CF154" s="368"/>
      <c r="CG154" s="368"/>
      <c r="CH154" s="368"/>
      <c r="CI154" s="368"/>
      <c r="CJ154" s="368"/>
      <c r="CK154" s="368"/>
      <c r="CL154" s="368"/>
      <c r="CM154" s="368"/>
      <c r="CN154" s="368"/>
      <c r="CO154" s="368"/>
      <c r="CP154" s="368"/>
      <c r="CQ154" s="368"/>
      <c r="CR154" s="368"/>
      <c r="CS154" s="368"/>
      <c r="CT154" s="368"/>
      <c r="CU154" s="368"/>
      <c r="CV154" s="368"/>
      <c r="CW154" s="368"/>
      <c r="CX154" s="368"/>
      <c r="CY154" s="368"/>
      <c r="CZ154" s="368"/>
      <c r="DA154" s="368"/>
      <c r="DB154" s="368"/>
      <c r="DC154" s="368"/>
      <c r="DD154" s="368"/>
      <c r="DE154" s="368"/>
      <c r="DF154" s="368"/>
      <c r="DG154" s="368"/>
      <c r="DH154" s="368"/>
      <c r="DI154" s="368"/>
      <c r="DJ154" s="368"/>
      <c r="DK154" s="368"/>
      <c r="DL154" s="368"/>
      <c r="DM154" s="368"/>
      <c r="DN154" s="368"/>
      <c r="DO154" s="368"/>
      <c r="DP154" s="368"/>
      <c r="DQ154" s="368"/>
      <c r="DR154" s="368"/>
      <c r="DS154" s="368"/>
      <c r="DT154" s="368"/>
      <c r="DU154" s="368"/>
      <c r="DV154" s="368"/>
      <c r="DW154" s="368"/>
      <c r="DX154" s="368"/>
      <c r="DY154" s="368"/>
      <c r="DZ154" s="368"/>
      <c r="EA154" s="368"/>
      <c r="EB154" s="368"/>
      <c r="EC154" s="368"/>
      <c r="ED154" s="368"/>
      <c r="EE154" s="368"/>
      <c r="EF154" s="368"/>
      <c r="EG154" s="368"/>
      <c r="EH154" s="368"/>
      <c r="EI154" s="368"/>
      <c r="EJ154" s="368"/>
      <c r="EK154" s="368"/>
      <c r="EL154" s="368"/>
      <c r="EM154" s="368"/>
      <c r="EN154" s="368"/>
      <c r="EO154" s="368"/>
      <c r="EP154" s="368"/>
      <c r="EQ154" s="368"/>
      <c r="ER154" s="368"/>
      <c r="ES154" s="368"/>
      <c r="ET154" s="368"/>
      <c r="EU154" s="368"/>
      <c r="EV154" s="368"/>
      <c r="EW154" s="368"/>
      <c r="EX154" s="368"/>
      <c r="EY154" s="368"/>
      <c r="EZ154" s="368"/>
      <c r="FA154" s="368"/>
      <c r="FB154" s="368"/>
      <c r="FC154" s="368"/>
      <c r="FD154" s="368"/>
      <c r="FE154" s="368"/>
      <c r="FF154" s="368"/>
      <c r="FG154" s="368"/>
      <c r="FH154" s="368"/>
      <c r="FI154" s="368"/>
      <c r="FJ154" s="368"/>
      <c r="FK154" s="368"/>
      <c r="FL154" s="368"/>
      <c r="FM154" s="368"/>
      <c r="FN154" s="368"/>
      <c r="FO154" s="368"/>
      <c r="FP154" s="368"/>
      <c r="FQ154" s="368"/>
      <c r="FR154" s="368"/>
      <c r="FS154" s="368"/>
      <c r="FT154" s="368"/>
      <c r="FU154" s="368"/>
      <c r="FV154" s="368"/>
      <c r="FW154" s="368"/>
      <c r="FX154" s="368"/>
      <c r="FY154" s="368"/>
      <c r="FZ154" s="368"/>
      <c r="GA154" s="368"/>
      <c r="GB154" s="368"/>
      <c r="GC154" s="368"/>
      <c r="GD154" s="368"/>
      <c r="GE154" s="368"/>
      <c r="GF154" s="368"/>
      <c r="GG154" s="368"/>
      <c r="GH154" s="368"/>
      <c r="GI154" s="368"/>
      <c r="GJ154" s="368"/>
      <c r="GK154" s="368"/>
      <c r="GL154" s="368"/>
      <c r="GM154" s="368"/>
      <c r="GN154" s="368"/>
      <c r="GO154" s="368"/>
      <c r="GP154" s="368"/>
      <c r="GQ154" s="368"/>
      <c r="GR154" s="368"/>
      <c r="GS154" s="368"/>
      <c r="GT154" s="368"/>
      <c r="GU154" s="368"/>
      <c r="GV154" s="368"/>
      <c r="GW154" s="368"/>
      <c r="GX154" s="368"/>
      <c r="GY154" s="368"/>
      <c r="GZ154" s="368"/>
      <c r="HA154" s="368"/>
      <c r="HB154" s="368"/>
      <c r="HC154" s="368"/>
      <c r="HD154" s="368"/>
      <c r="HE154" s="368"/>
      <c r="HF154" s="368"/>
      <c r="HG154" s="368"/>
      <c r="HH154" s="368"/>
      <c r="HI154" s="368"/>
      <c r="HJ154" s="368"/>
      <c r="HK154" s="368"/>
      <c r="HL154" s="368"/>
      <c r="HM154" s="368"/>
      <c r="HN154" s="368"/>
      <c r="HO154" s="368"/>
      <c r="HP154" s="368"/>
      <c r="HQ154" s="368"/>
      <c r="HR154" s="368"/>
      <c r="HS154" s="368"/>
      <c r="HT154" s="368"/>
      <c r="HU154" s="368"/>
      <c r="HV154" s="368"/>
      <c r="HW154" s="368"/>
      <c r="HX154" s="368"/>
      <c r="HY154" s="368"/>
      <c r="HZ154" s="368"/>
      <c r="IA154" s="368"/>
      <c r="IB154" s="368"/>
      <c r="IC154" s="368"/>
      <c r="ID154" s="368"/>
      <c r="IE154" s="368"/>
      <c r="IF154" s="368"/>
      <c r="IG154" s="368"/>
      <c r="IH154" s="368"/>
      <c r="II154" s="368"/>
      <c r="IJ154" s="368"/>
      <c r="IK154" s="368"/>
      <c r="IL154" s="368"/>
      <c r="IM154" s="368"/>
      <c r="IN154" s="368"/>
      <c r="IO154" s="368"/>
      <c r="IP154" s="368"/>
      <c r="IQ154" s="368"/>
      <c r="IR154" s="368"/>
      <c r="IS154" s="368"/>
      <c r="IT154" s="368"/>
      <c r="IU154" s="368"/>
    </row>
    <row r="155" spans="2:255">
      <c r="B155" s="33"/>
      <c r="C155" s="35"/>
      <c r="D155" s="895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AP155" s="368"/>
      <c r="AQ155" s="368"/>
      <c r="AR155" s="368"/>
      <c r="AS155" s="368"/>
      <c r="AT155" s="368"/>
      <c r="AU155" s="368"/>
      <c r="AV155" s="368"/>
      <c r="AW155" s="368"/>
      <c r="AX155" s="368"/>
      <c r="AY155" s="368"/>
      <c r="AZ155" s="368"/>
      <c r="BA155" s="368"/>
      <c r="BB155" s="368"/>
      <c r="BC155" s="368"/>
      <c r="BD155" s="368"/>
      <c r="BE155" s="368"/>
      <c r="BF155" s="368"/>
      <c r="BG155" s="368"/>
      <c r="BH155" s="368"/>
      <c r="BI155" s="368"/>
      <c r="BJ155" s="368"/>
      <c r="BK155" s="368"/>
      <c r="BL155" s="368"/>
      <c r="BM155" s="368"/>
      <c r="BN155" s="368"/>
      <c r="BO155" s="368"/>
      <c r="BP155" s="368"/>
      <c r="BQ155" s="368"/>
      <c r="BR155" s="368"/>
      <c r="BS155" s="368"/>
      <c r="BT155" s="368"/>
      <c r="BU155" s="368"/>
      <c r="BV155" s="368"/>
      <c r="BW155" s="368"/>
      <c r="BX155" s="368"/>
      <c r="BY155" s="368"/>
      <c r="BZ155" s="368"/>
      <c r="CA155" s="368"/>
      <c r="CB155" s="368"/>
      <c r="CC155" s="368"/>
      <c r="CD155" s="368"/>
      <c r="CE155" s="368"/>
      <c r="CF155" s="368"/>
      <c r="CG155" s="368"/>
      <c r="CH155" s="368"/>
      <c r="CI155" s="368"/>
      <c r="CJ155" s="368"/>
      <c r="CK155" s="368"/>
      <c r="CL155" s="368"/>
      <c r="CM155" s="368"/>
      <c r="CN155" s="368"/>
      <c r="CO155" s="368"/>
      <c r="CP155" s="368"/>
      <c r="CQ155" s="368"/>
      <c r="CR155" s="368"/>
      <c r="CS155" s="368"/>
      <c r="CT155" s="368"/>
      <c r="CU155" s="368"/>
      <c r="CV155" s="368"/>
      <c r="CW155" s="368"/>
      <c r="CX155" s="368"/>
      <c r="CY155" s="368"/>
      <c r="CZ155" s="368"/>
      <c r="DA155" s="368"/>
      <c r="DB155" s="368"/>
      <c r="DC155" s="368"/>
      <c r="DD155" s="368"/>
      <c r="DE155" s="368"/>
      <c r="DF155" s="368"/>
      <c r="DG155" s="368"/>
      <c r="DH155" s="368"/>
      <c r="DI155" s="368"/>
      <c r="DJ155" s="368"/>
      <c r="DK155" s="368"/>
      <c r="DL155" s="368"/>
      <c r="DM155" s="368"/>
      <c r="DN155" s="368"/>
      <c r="DO155" s="368"/>
      <c r="DP155" s="368"/>
      <c r="DQ155" s="368"/>
      <c r="DR155" s="368"/>
      <c r="DS155" s="368"/>
      <c r="DT155" s="368"/>
      <c r="DU155" s="368"/>
      <c r="DV155" s="368"/>
      <c r="DW155" s="368"/>
      <c r="DX155" s="368"/>
      <c r="DY155" s="368"/>
      <c r="DZ155" s="368"/>
      <c r="EA155" s="368"/>
      <c r="EB155" s="368"/>
      <c r="EC155" s="368"/>
      <c r="ED155" s="368"/>
      <c r="EE155" s="368"/>
      <c r="EF155" s="368"/>
      <c r="EG155" s="368"/>
      <c r="EH155" s="368"/>
      <c r="EI155" s="368"/>
      <c r="EJ155" s="368"/>
      <c r="EK155" s="368"/>
      <c r="EL155" s="368"/>
      <c r="EM155" s="368"/>
      <c r="EN155" s="368"/>
      <c r="EO155" s="368"/>
      <c r="EP155" s="368"/>
      <c r="EQ155" s="368"/>
      <c r="ER155" s="368"/>
      <c r="ES155" s="368"/>
      <c r="ET155" s="368"/>
      <c r="EU155" s="368"/>
      <c r="EV155" s="368"/>
      <c r="EW155" s="368"/>
      <c r="EX155" s="368"/>
      <c r="EY155" s="368"/>
      <c r="EZ155" s="368"/>
      <c r="FA155" s="368"/>
      <c r="FB155" s="368"/>
      <c r="FC155" s="368"/>
      <c r="FD155" s="368"/>
      <c r="FE155" s="368"/>
      <c r="FF155" s="368"/>
      <c r="FG155" s="368"/>
      <c r="FH155" s="368"/>
      <c r="FI155" s="368"/>
      <c r="FJ155" s="368"/>
      <c r="FK155" s="368"/>
      <c r="FL155" s="368"/>
      <c r="FM155" s="368"/>
      <c r="FN155" s="368"/>
      <c r="FO155" s="368"/>
      <c r="FP155" s="368"/>
      <c r="FQ155" s="368"/>
      <c r="FR155" s="368"/>
      <c r="FS155" s="368"/>
      <c r="FT155" s="368"/>
      <c r="FU155" s="368"/>
      <c r="FV155" s="368"/>
      <c r="FW155" s="368"/>
      <c r="FX155" s="368"/>
      <c r="FY155" s="368"/>
      <c r="FZ155" s="368"/>
      <c r="GA155" s="368"/>
      <c r="GB155" s="368"/>
      <c r="GC155" s="368"/>
      <c r="GD155" s="368"/>
      <c r="GE155" s="368"/>
      <c r="GF155" s="368"/>
      <c r="GG155" s="368"/>
      <c r="GH155" s="368"/>
      <c r="GI155" s="368"/>
      <c r="GJ155" s="368"/>
      <c r="GK155" s="368"/>
      <c r="GL155" s="368"/>
      <c r="GM155" s="368"/>
      <c r="GN155" s="368"/>
      <c r="GO155" s="368"/>
      <c r="GP155" s="368"/>
      <c r="GQ155" s="368"/>
      <c r="GR155" s="368"/>
      <c r="GS155" s="368"/>
      <c r="GT155" s="368"/>
      <c r="GU155" s="368"/>
      <c r="GV155" s="368"/>
      <c r="GW155" s="368"/>
      <c r="GX155" s="368"/>
      <c r="GY155" s="368"/>
      <c r="GZ155" s="368"/>
      <c r="HA155" s="368"/>
      <c r="HB155" s="368"/>
      <c r="HC155" s="368"/>
      <c r="HD155" s="368"/>
      <c r="HE155" s="368"/>
      <c r="HF155" s="368"/>
      <c r="HG155" s="368"/>
      <c r="HH155" s="368"/>
      <c r="HI155" s="368"/>
      <c r="HJ155" s="368"/>
      <c r="HK155" s="368"/>
      <c r="HL155" s="368"/>
      <c r="HM155" s="368"/>
      <c r="HN155" s="368"/>
      <c r="HO155" s="368"/>
      <c r="HP155" s="368"/>
      <c r="HQ155" s="368"/>
      <c r="HR155" s="368"/>
      <c r="HS155" s="368"/>
      <c r="HT155" s="368"/>
      <c r="HU155" s="368"/>
      <c r="HV155" s="368"/>
      <c r="HW155" s="368"/>
      <c r="HX155" s="368"/>
      <c r="HY155" s="368"/>
      <c r="HZ155" s="368"/>
      <c r="IA155" s="368"/>
      <c r="IB155" s="368"/>
      <c r="IC155" s="368"/>
      <c r="ID155" s="368"/>
      <c r="IE155" s="368"/>
      <c r="IF155" s="368"/>
      <c r="IG155" s="368"/>
      <c r="IH155" s="368"/>
      <c r="II155" s="368"/>
      <c r="IJ155" s="368"/>
      <c r="IK155" s="368"/>
      <c r="IL155" s="368"/>
      <c r="IM155" s="368"/>
      <c r="IN155" s="368"/>
      <c r="IO155" s="368"/>
      <c r="IP155" s="368"/>
      <c r="IQ155" s="368"/>
      <c r="IR155" s="368"/>
      <c r="IS155" s="368"/>
      <c r="IT155" s="368"/>
      <c r="IU155" s="368"/>
    </row>
    <row r="156" spans="2:255">
      <c r="B156" s="33"/>
      <c r="C156" s="35"/>
      <c r="D156" s="895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AP156" s="368"/>
      <c r="AQ156" s="368"/>
      <c r="AR156" s="368"/>
      <c r="AS156" s="368"/>
      <c r="AT156" s="368"/>
      <c r="AU156" s="368"/>
      <c r="AV156" s="368"/>
      <c r="AW156" s="368"/>
      <c r="AX156" s="368"/>
      <c r="AY156" s="368"/>
      <c r="AZ156" s="368"/>
      <c r="BA156" s="368"/>
      <c r="BB156" s="368"/>
      <c r="BC156" s="368"/>
      <c r="BD156" s="368"/>
      <c r="BE156" s="368"/>
      <c r="BF156" s="368"/>
      <c r="BG156" s="368"/>
      <c r="BH156" s="368"/>
      <c r="BI156" s="368"/>
      <c r="BJ156" s="368"/>
      <c r="BK156" s="368"/>
      <c r="BL156" s="368"/>
      <c r="BM156" s="368"/>
      <c r="BN156" s="368"/>
      <c r="BO156" s="368"/>
      <c r="BP156" s="368"/>
      <c r="BQ156" s="368"/>
      <c r="BR156" s="368"/>
      <c r="BS156" s="368"/>
      <c r="BT156" s="368"/>
      <c r="BU156" s="368"/>
      <c r="BV156" s="368"/>
      <c r="BW156" s="368"/>
      <c r="BX156" s="368"/>
      <c r="BY156" s="368"/>
      <c r="BZ156" s="368"/>
      <c r="CA156" s="368"/>
      <c r="CB156" s="368"/>
      <c r="CC156" s="368"/>
      <c r="CD156" s="368"/>
      <c r="CE156" s="368"/>
      <c r="CF156" s="368"/>
      <c r="CG156" s="368"/>
      <c r="CH156" s="368"/>
      <c r="CI156" s="368"/>
      <c r="CJ156" s="368"/>
      <c r="CK156" s="368"/>
      <c r="CL156" s="368"/>
      <c r="CM156" s="368"/>
      <c r="CN156" s="368"/>
      <c r="CO156" s="368"/>
      <c r="CP156" s="368"/>
      <c r="CQ156" s="368"/>
      <c r="CR156" s="368"/>
      <c r="CS156" s="368"/>
      <c r="CT156" s="368"/>
      <c r="CU156" s="368"/>
      <c r="CV156" s="368"/>
      <c r="CW156" s="368"/>
      <c r="CX156" s="368"/>
      <c r="CY156" s="368"/>
      <c r="CZ156" s="368"/>
      <c r="DA156" s="368"/>
      <c r="DB156" s="368"/>
      <c r="DC156" s="368"/>
      <c r="DD156" s="368"/>
      <c r="DE156" s="368"/>
      <c r="DF156" s="368"/>
      <c r="DG156" s="368"/>
      <c r="DH156" s="368"/>
      <c r="DI156" s="368"/>
      <c r="DJ156" s="368"/>
      <c r="DK156" s="368"/>
      <c r="DL156" s="368"/>
      <c r="DM156" s="368"/>
      <c r="DN156" s="368"/>
      <c r="DO156" s="368"/>
      <c r="DP156" s="368"/>
      <c r="DQ156" s="368"/>
      <c r="DR156" s="368"/>
      <c r="DS156" s="368"/>
      <c r="DT156" s="368"/>
      <c r="DU156" s="368"/>
      <c r="DV156" s="368"/>
      <c r="DW156" s="368"/>
      <c r="DX156" s="368"/>
      <c r="DY156" s="368"/>
      <c r="DZ156" s="368"/>
      <c r="EA156" s="368"/>
      <c r="EB156" s="368"/>
      <c r="EC156" s="368"/>
      <c r="ED156" s="368"/>
      <c r="EE156" s="368"/>
      <c r="EF156" s="368"/>
      <c r="EG156" s="368"/>
      <c r="EH156" s="368"/>
      <c r="EI156" s="368"/>
      <c r="EJ156" s="368"/>
      <c r="EK156" s="368"/>
      <c r="EL156" s="368"/>
      <c r="EM156" s="368"/>
      <c r="EN156" s="368"/>
      <c r="EO156" s="368"/>
      <c r="EP156" s="368"/>
      <c r="EQ156" s="368"/>
      <c r="ER156" s="368"/>
      <c r="ES156" s="368"/>
      <c r="ET156" s="368"/>
      <c r="EU156" s="368"/>
      <c r="EV156" s="368"/>
      <c r="EW156" s="368"/>
      <c r="EX156" s="368"/>
      <c r="EY156" s="368"/>
      <c r="EZ156" s="368"/>
      <c r="FA156" s="368"/>
      <c r="FB156" s="368"/>
      <c r="FC156" s="368"/>
      <c r="FD156" s="368"/>
      <c r="FE156" s="368"/>
      <c r="FF156" s="368"/>
      <c r="FG156" s="368"/>
      <c r="FH156" s="368"/>
      <c r="FI156" s="368"/>
      <c r="FJ156" s="368"/>
      <c r="FK156" s="368"/>
      <c r="FL156" s="368"/>
      <c r="FM156" s="368"/>
      <c r="FN156" s="368"/>
      <c r="FO156" s="368"/>
      <c r="FP156" s="368"/>
      <c r="FQ156" s="368"/>
      <c r="FR156" s="368"/>
      <c r="FS156" s="368"/>
      <c r="FT156" s="368"/>
      <c r="FU156" s="368"/>
      <c r="FV156" s="368"/>
      <c r="FW156" s="368"/>
      <c r="FX156" s="368"/>
      <c r="FY156" s="368"/>
      <c r="FZ156" s="368"/>
      <c r="GA156" s="368"/>
      <c r="GB156" s="368"/>
      <c r="GC156" s="368"/>
      <c r="GD156" s="368"/>
      <c r="GE156" s="368"/>
      <c r="GF156" s="368"/>
      <c r="GG156" s="368"/>
      <c r="GH156" s="368"/>
      <c r="GI156" s="368"/>
      <c r="GJ156" s="368"/>
      <c r="GK156" s="368"/>
      <c r="GL156" s="368"/>
      <c r="GM156" s="368"/>
      <c r="GN156" s="368"/>
      <c r="GO156" s="368"/>
      <c r="GP156" s="368"/>
      <c r="GQ156" s="368"/>
      <c r="GR156" s="368"/>
      <c r="GS156" s="368"/>
      <c r="GT156" s="368"/>
      <c r="GU156" s="368"/>
      <c r="GV156" s="368"/>
      <c r="GW156" s="368"/>
      <c r="GX156" s="368"/>
      <c r="GY156" s="368"/>
      <c r="GZ156" s="368"/>
      <c r="HA156" s="368"/>
      <c r="HB156" s="368"/>
      <c r="HC156" s="368"/>
      <c r="HD156" s="368"/>
      <c r="HE156" s="368"/>
      <c r="HF156" s="368"/>
      <c r="HG156" s="368"/>
      <c r="HH156" s="368"/>
      <c r="HI156" s="368"/>
      <c r="HJ156" s="368"/>
      <c r="HK156" s="368"/>
      <c r="HL156" s="368"/>
      <c r="HM156" s="368"/>
      <c r="HN156" s="368"/>
      <c r="HO156" s="368"/>
      <c r="HP156" s="368"/>
      <c r="HQ156" s="368"/>
      <c r="HR156" s="368"/>
      <c r="HS156" s="368"/>
      <c r="HT156" s="368"/>
      <c r="HU156" s="368"/>
      <c r="HV156" s="368"/>
      <c r="HW156" s="368"/>
      <c r="HX156" s="368"/>
      <c r="HY156" s="368"/>
      <c r="HZ156" s="368"/>
      <c r="IA156" s="368"/>
      <c r="IB156" s="368"/>
      <c r="IC156" s="368"/>
      <c r="ID156" s="368"/>
      <c r="IE156" s="368"/>
      <c r="IF156" s="368"/>
      <c r="IG156" s="368"/>
      <c r="IH156" s="368"/>
      <c r="II156" s="368"/>
      <c r="IJ156" s="368"/>
      <c r="IK156" s="368"/>
      <c r="IL156" s="368"/>
      <c r="IM156" s="368"/>
      <c r="IN156" s="368"/>
      <c r="IO156" s="368"/>
      <c r="IP156" s="368"/>
      <c r="IQ156" s="368"/>
      <c r="IR156" s="368"/>
      <c r="IS156" s="368"/>
      <c r="IT156" s="368"/>
      <c r="IU156" s="368"/>
    </row>
    <row r="157" spans="2:255">
      <c r="B157" s="33"/>
      <c r="C157" s="59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AP157" s="368"/>
      <c r="AQ157" s="368"/>
      <c r="AR157" s="368"/>
      <c r="AS157" s="368"/>
      <c r="AT157" s="368"/>
      <c r="AU157" s="368"/>
      <c r="AV157" s="368"/>
      <c r="AW157" s="368"/>
      <c r="AX157" s="368"/>
      <c r="AY157" s="368"/>
      <c r="AZ157" s="368"/>
      <c r="BA157" s="368"/>
      <c r="BB157" s="368"/>
      <c r="BC157" s="368"/>
      <c r="BD157" s="368"/>
      <c r="BE157" s="368"/>
      <c r="BF157" s="368"/>
      <c r="BG157" s="368"/>
      <c r="BH157" s="368"/>
      <c r="BI157" s="368"/>
      <c r="BJ157" s="368"/>
      <c r="BK157" s="368"/>
      <c r="BL157" s="368"/>
      <c r="BM157" s="368"/>
      <c r="BN157" s="368"/>
      <c r="BO157" s="368"/>
      <c r="BP157" s="368"/>
      <c r="BQ157" s="368"/>
      <c r="BR157" s="368"/>
      <c r="BS157" s="368"/>
      <c r="BT157" s="368"/>
      <c r="BU157" s="368"/>
      <c r="BV157" s="368"/>
      <c r="BW157" s="368"/>
      <c r="BX157" s="368"/>
      <c r="BY157" s="368"/>
      <c r="BZ157" s="368"/>
      <c r="CA157" s="368"/>
      <c r="CB157" s="368"/>
      <c r="CC157" s="368"/>
      <c r="CD157" s="368"/>
      <c r="CE157" s="368"/>
      <c r="CF157" s="368"/>
      <c r="CG157" s="368"/>
      <c r="CH157" s="368"/>
      <c r="CI157" s="368"/>
      <c r="CJ157" s="368"/>
      <c r="CK157" s="368"/>
      <c r="CL157" s="368"/>
      <c r="CM157" s="368"/>
      <c r="CN157" s="368"/>
      <c r="CO157" s="368"/>
      <c r="CP157" s="368"/>
      <c r="CQ157" s="368"/>
      <c r="CR157" s="368"/>
      <c r="CS157" s="368"/>
      <c r="CT157" s="368"/>
      <c r="CU157" s="368"/>
      <c r="CV157" s="368"/>
      <c r="CW157" s="368"/>
      <c r="CX157" s="368"/>
      <c r="CY157" s="368"/>
      <c r="CZ157" s="368"/>
      <c r="DA157" s="368"/>
      <c r="DB157" s="368"/>
      <c r="DC157" s="368"/>
      <c r="DD157" s="368"/>
      <c r="DE157" s="368"/>
      <c r="DF157" s="368"/>
      <c r="DG157" s="368"/>
      <c r="DH157" s="368"/>
      <c r="DI157" s="368"/>
      <c r="DJ157" s="368"/>
      <c r="DK157" s="368"/>
      <c r="DL157" s="368"/>
      <c r="DM157" s="368"/>
      <c r="DN157" s="368"/>
      <c r="DO157" s="368"/>
      <c r="DP157" s="368"/>
      <c r="DQ157" s="368"/>
      <c r="DR157" s="368"/>
      <c r="DS157" s="368"/>
      <c r="DT157" s="368"/>
      <c r="DU157" s="368"/>
      <c r="DV157" s="368"/>
      <c r="DW157" s="368"/>
      <c r="DX157" s="368"/>
      <c r="DY157" s="368"/>
      <c r="DZ157" s="368"/>
      <c r="EA157" s="368"/>
      <c r="EB157" s="368"/>
      <c r="EC157" s="368"/>
      <c r="ED157" s="368"/>
      <c r="EE157" s="368"/>
      <c r="EF157" s="368"/>
      <c r="EG157" s="368"/>
      <c r="EH157" s="368"/>
      <c r="EI157" s="368"/>
      <c r="EJ157" s="368"/>
      <c r="EK157" s="368"/>
      <c r="EL157" s="368"/>
      <c r="EM157" s="368"/>
      <c r="EN157" s="368"/>
      <c r="EO157" s="368"/>
      <c r="EP157" s="368"/>
      <c r="EQ157" s="368"/>
      <c r="ER157" s="368"/>
      <c r="ES157" s="368"/>
      <c r="ET157" s="368"/>
      <c r="EU157" s="368"/>
      <c r="EV157" s="368"/>
      <c r="EW157" s="368"/>
      <c r="EX157" s="368"/>
      <c r="EY157" s="368"/>
      <c r="EZ157" s="368"/>
      <c r="FA157" s="368"/>
      <c r="FB157" s="368"/>
      <c r="FC157" s="368"/>
      <c r="FD157" s="368"/>
      <c r="FE157" s="368"/>
      <c r="FF157" s="368"/>
      <c r="FG157" s="368"/>
      <c r="FH157" s="368"/>
      <c r="FI157" s="368"/>
      <c r="FJ157" s="368"/>
      <c r="FK157" s="368"/>
      <c r="FL157" s="368"/>
      <c r="FM157" s="368"/>
      <c r="FN157" s="368"/>
      <c r="FO157" s="368"/>
      <c r="FP157" s="368"/>
      <c r="FQ157" s="368"/>
      <c r="FR157" s="368"/>
      <c r="FS157" s="368"/>
      <c r="FT157" s="368"/>
      <c r="FU157" s="368"/>
      <c r="FV157" s="368"/>
      <c r="FW157" s="368"/>
      <c r="FX157" s="368"/>
      <c r="FY157" s="368"/>
      <c r="FZ157" s="368"/>
      <c r="GA157" s="368"/>
      <c r="GB157" s="368"/>
      <c r="GC157" s="368"/>
      <c r="GD157" s="368"/>
      <c r="GE157" s="368"/>
      <c r="GF157" s="368"/>
      <c r="GG157" s="368"/>
      <c r="GH157" s="368"/>
      <c r="GI157" s="368"/>
      <c r="GJ157" s="368"/>
      <c r="GK157" s="368"/>
      <c r="GL157" s="368"/>
      <c r="GM157" s="368"/>
      <c r="GN157" s="368"/>
      <c r="GO157" s="368"/>
      <c r="GP157" s="368"/>
      <c r="GQ157" s="368"/>
      <c r="GR157" s="368"/>
      <c r="GS157" s="368"/>
      <c r="GT157" s="368"/>
      <c r="GU157" s="368"/>
      <c r="GV157" s="368"/>
      <c r="GW157" s="368"/>
      <c r="GX157" s="368"/>
      <c r="GY157" s="368"/>
      <c r="GZ157" s="368"/>
      <c r="HA157" s="368"/>
      <c r="HB157" s="368"/>
      <c r="HC157" s="368"/>
      <c r="HD157" s="368"/>
      <c r="HE157" s="368"/>
      <c r="HF157" s="368"/>
      <c r="HG157" s="368"/>
      <c r="HH157" s="368"/>
      <c r="HI157" s="368"/>
      <c r="HJ157" s="368"/>
      <c r="HK157" s="368"/>
      <c r="HL157" s="368"/>
      <c r="HM157" s="368"/>
      <c r="HN157" s="368"/>
      <c r="HO157" s="368"/>
      <c r="HP157" s="368"/>
      <c r="HQ157" s="368"/>
      <c r="HR157" s="368"/>
      <c r="HS157" s="368"/>
      <c r="HT157" s="368"/>
      <c r="HU157" s="368"/>
      <c r="HV157" s="368"/>
      <c r="HW157" s="368"/>
      <c r="HX157" s="368"/>
      <c r="HY157" s="368"/>
      <c r="HZ157" s="368"/>
      <c r="IA157" s="368"/>
      <c r="IB157" s="368"/>
      <c r="IC157" s="368"/>
      <c r="ID157" s="368"/>
      <c r="IE157" s="368"/>
      <c r="IF157" s="368"/>
      <c r="IG157" s="368"/>
      <c r="IH157" s="368"/>
      <c r="II157" s="368"/>
      <c r="IJ157" s="368"/>
      <c r="IK157" s="368"/>
      <c r="IL157" s="368"/>
      <c r="IM157" s="368"/>
      <c r="IN157" s="368"/>
      <c r="IO157" s="368"/>
      <c r="IP157" s="368"/>
      <c r="IQ157" s="368"/>
      <c r="IR157" s="368"/>
      <c r="IS157" s="368"/>
      <c r="IT157" s="368"/>
      <c r="IU157" s="368"/>
    </row>
    <row r="158" spans="2:255">
      <c r="B158" s="33"/>
      <c r="C158" s="59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AP158" s="368"/>
      <c r="AQ158" s="368"/>
      <c r="AR158" s="368"/>
      <c r="AS158" s="368"/>
      <c r="AT158" s="368"/>
      <c r="AU158" s="368"/>
      <c r="AV158" s="368"/>
      <c r="AW158" s="368"/>
      <c r="AX158" s="368"/>
      <c r="AY158" s="368"/>
      <c r="AZ158" s="368"/>
      <c r="BA158" s="368"/>
      <c r="BB158" s="368"/>
      <c r="BC158" s="368"/>
      <c r="BD158" s="368"/>
      <c r="BE158" s="368"/>
      <c r="BF158" s="368"/>
      <c r="BG158" s="368"/>
      <c r="BH158" s="368"/>
      <c r="BI158" s="368"/>
      <c r="BJ158" s="368"/>
      <c r="BK158" s="368"/>
      <c r="BL158" s="368"/>
      <c r="BM158" s="368"/>
      <c r="BN158" s="368"/>
      <c r="BO158" s="368"/>
      <c r="BP158" s="368"/>
      <c r="BQ158" s="368"/>
      <c r="BR158" s="368"/>
      <c r="BS158" s="368"/>
      <c r="BT158" s="368"/>
      <c r="BU158" s="368"/>
      <c r="BV158" s="368"/>
      <c r="BW158" s="368"/>
      <c r="BX158" s="368"/>
      <c r="BY158" s="368"/>
      <c r="BZ158" s="368"/>
      <c r="CA158" s="368"/>
      <c r="CB158" s="368"/>
      <c r="CC158" s="368"/>
      <c r="CD158" s="368"/>
      <c r="CE158" s="368"/>
      <c r="CF158" s="368"/>
      <c r="CG158" s="368"/>
      <c r="CH158" s="368"/>
      <c r="CI158" s="368"/>
      <c r="CJ158" s="368"/>
      <c r="CK158" s="368"/>
      <c r="CL158" s="368"/>
      <c r="CM158" s="368"/>
      <c r="CN158" s="368"/>
      <c r="CO158" s="368"/>
      <c r="CP158" s="368"/>
      <c r="CQ158" s="368"/>
      <c r="CR158" s="368"/>
      <c r="CS158" s="368"/>
      <c r="CT158" s="368"/>
      <c r="CU158" s="368"/>
      <c r="CV158" s="368"/>
      <c r="CW158" s="368"/>
      <c r="CX158" s="368"/>
      <c r="CY158" s="368"/>
      <c r="CZ158" s="368"/>
      <c r="DA158" s="368"/>
      <c r="DB158" s="368"/>
      <c r="DC158" s="368"/>
      <c r="DD158" s="368"/>
      <c r="DE158" s="368"/>
      <c r="DF158" s="368"/>
      <c r="DG158" s="368"/>
      <c r="DH158" s="368"/>
      <c r="DI158" s="368"/>
      <c r="DJ158" s="368"/>
      <c r="DK158" s="368"/>
      <c r="DL158" s="368"/>
      <c r="DM158" s="368"/>
      <c r="DN158" s="368"/>
      <c r="DO158" s="368"/>
      <c r="DP158" s="368"/>
      <c r="DQ158" s="368"/>
      <c r="DR158" s="368"/>
      <c r="DS158" s="368"/>
      <c r="DT158" s="368"/>
      <c r="DU158" s="368"/>
      <c r="DV158" s="368"/>
      <c r="DW158" s="368"/>
      <c r="DX158" s="368"/>
      <c r="DY158" s="368"/>
      <c r="DZ158" s="368"/>
      <c r="EA158" s="368"/>
      <c r="EB158" s="368"/>
      <c r="EC158" s="368"/>
      <c r="ED158" s="368"/>
      <c r="EE158" s="368"/>
      <c r="EF158" s="368"/>
      <c r="EG158" s="368"/>
      <c r="EH158" s="368"/>
      <c r="EI158" s="368"/>
      <c r="EJ158" s="368"/>
      <c r="EK158" s="368"/>
      <c r="EL158" s="368"/>
      <c r="EM158" s="368"/>
      <c r="EN158" s="368"/>
      <c r="EO158" s="368"/>
      <c r="EP158" s="368"/>
      <c r="EQ158" s="368"/>
      <c r="ER158" s="368"/>
      <c r="ES158" s="368"/>
      <c r="ET158" s="368"/>
      <c r="EU158" s="368"/>
      <c r="EV158" s="368"/>
      <c r="EW158" s="368"/>
      <c r="EX158" s="368"/>
      <c r="EY158" s="368"/>
      <c r="EZ158" s="368"/>
      <c r="FA158" s="368"/>
      <c r="FB158" s="368"/>
      <c r="FC158" s="368"/>
      <c r="FD158" s="368"/>
      <c r="FE158" s="368"/>
      <c r="FF158" s="368"/>
      <c r="FG158" s="368"/>
      <c r="FH158" s="368"/>
      <c r="FI158" s="368"/>
      <c r="FJ158" s="368"/>
      <c r="FK158" s="368"/>
      <c r="FL158" s="368"/>
      <c r="FM158" s="368"/>
      <c r="FN158" s="368"/>
      <c r="FO158" s="368"/>
      <c r="FP158" s="368"/>
      <c r="FQ158" s="368"/>
      <c r="FR158" s="368"/>
      <c r="FS158" s="368"/>
      <c r="FT158" s="368"/>
      <c r="FU158" s="368"/>
      <c r="FV158" s="368"/>
      <c r="FW158" s="368"/>
      <c r="FX158" s="368"/>
      <c r="FY158" s="368"/>
      <c r="FZ158" s="368"/>
      <c r="GA158" s="368"/>
      <c r="GB158" s="368"/>
      <c r="GC158" s="368"/>
      <c r="GD158" s="368"/>
      <c r="GE158" s="368"/>
      <c r="GF158" s="368"/>
      <c r="GG158" s="368"/>
      <c r="GH158" s="368"/>
      <c r="GI158" s="368"/>
      <c r="GJ158" s="368"/>
      <c r="GK158" s="368"/>
      <c r="GL158" s="368"/>
      <c r="GM158" s="368"/>
      <c r="GN158" s="368"/>
      <c r="GO158" s="368"/>
      <c r="GP158" s="368"/>
      <c r="GQ158" s="368"/>
      <c r="GR158" s="368"/>
      <c r="GS158" s="368"/>
      <c r="GT158" s="368"/>
      <c r="GU158" s="368"/>
      <c r="GV158" s="368"/>
      <c r="GW158" s="368"/>
      <c r="GX158" s="368"/>
      <c r="GY158" s="368"/>
      <c r="GZ158" s="368"/>
      <c r="HA158" s="368"/>
      <c r="HB158" s="368"/>
      <c r="HC158" s="368"/>
      <c r="HD158" s="368"/>
      <c r="HE158" s="368"/>
      <c r="HF158" s="368"/>
      <c r="HG158" s="368"/>
      <c r="HH158" s="368"/>
      <c r="HI158" s="368"/>
      <c r="HJ158" s="368"/>
      <c r="HK158" s="368"/>
      <c r="HL158" s="368"/>
      <c r="HM158" s="368"/>
      <c r="HN158" s="368"/>
      <c r="HO158" s="368"/>
      <c r="HP158" s="368"/>
      <c r="HQ158" s="368"/>
      <c r="HR158" s="368"/>
      <c r="HS158" s="368"/>
      <c r="HT158" s="368"/>
      <c r="HU158" s="368"/>
      <c r="HV158" s="368"/>
      <c r="HW158" s="368"/>
      <c r="HX158" s="368"/>
      <c r="HY158" s="368"/>
      <c r="HZ158" s="368"/>
      <c r="IA158" s="368"/>
      <c r="IB158" s="368"/>
      <c r="IC158" s="368"/>
      <c r="ID158" s="368"/>
      <c r="IE158" s="368"/>
      <c r="IF158" s="368"/>
      <c r="IG158" s="368"/>
      <c r="IH158" s="368"/>
      <c r="II158" s="368"/>
      <c r="IJ158" s="368"/>
      <c r="IK158" s="368"/>
      <c r="IL158" s="368"/>
      <c r="IM158" s="368"/>
      <c r="IN158" s="368"/>
      <c r="IO158" s="368"/>
      <c r="IP158" s="368"/>
      <c r="IQ158" s="368"/>
      <c r="IR158" s="368"/>
      <c r="IS158" s="368"/>
      <c r="IT158" s="368"/>
      <c r="IU158" s="368"/>
    </row>
    <row r="159" spans="2:25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AP159" s="368"/>
      <c r="AQ159" s="368"/>
      <c r="AR159" s="368"/>
      <c r="AS159" s="368"/>
      <c r="AT159" s="368"/>
      <c r="AU159" s="368"/>
      <c r="AV159" s="368"/>
      <c r="AW159" s="368"/>
      <c r="AX159" s="368"/>
      <c r="AY159" s="368"/>
      <c r="AZ159" s="368"/>
      <c r="BA159" s="368"/>
      <c r="BB159" s="368"/>
      <c r="BC159" s="368"/>
      <c r="BD159" s="368"/>
      <c r="BE159" s="368"/>
      <c r="BF159" s="368"/>
      <c r="BG159" s="368"/>
      <c r="BH159" s="368"/>
      <c r="BI159" s="368"/>
      <c r="BJ159" s="368"/>
      <c r="BK159" s="368"/>
      <c r="BL159" s="368"/>
      <c r="BM159" s="368"/>
      <c r="BN159" s="368"/>
      <c r="BO159" s="368"/>
      <c r="BP159" s="368"/>
      <c r="BQ159" s="368"/>
      <c r="BR159" s="368"/>
      <c r="BS159" s="368"/>
      <c r="BT159" s="368"/>
      <c r="BU159" s="368"/>
      <c r="BV159" s="368"/>
      <c r="BW159" s="368"/>
      <c r="BX159" s="368"/>
      <c r="BY159" s="368"/>
      <c r="BZ159" s="368"/>
      <c r="CA159" s="368"/>
      <c r="CB159" s="368"/>
      <c r="CC159" s="368"/>
      <c r="CD159" s="368"/>
      <c r="CE159" s="368"/>
      <c r="CF159" s="368"/>
      <c r="CG159" s="368"/>
      <c r="CH159" s="368"/>
      <c r="CI159" s="368"/>
      <c r="CJ159" s="368"/>
      <c r="CK159" s="368"/>
      <c r="CL159" s="368"/>
      <c r="CM159" s="368"/>
      <c r="CN159" s="368"/>
      <c r="CO159" s="368"/>
      <c r="CP159" s="368"/>
      <c r="CQ159" s="368"/>
      <c r="CR159" s="368"/>
      <c r="CS159" s="368"/>
      <c r="CT159" s="368"/>
      <c r="CU159" s="368"/>
      <c r="CV159" s="368"/>
      <c r="CW159" s="368"/>
      <c r="CX159" s="368"/>
      <c r="CY159" s="368"/>
      <c r="CZ159" s="368"/>
      <c r="DA159" s="368"/>
      <c r="DB159" s="368"/>
      <c r="DC159" s="368"/>
      <c r="DD159" s="368"/>
      <c r="DE159" s="368"/>
      <c r="DF159" s="368"/>
      <c r="DG159" s="368"/>
      <c r="DH159" s="368"/>
      <c r="DI159" s="368"/>
      <c r="DJ159" s="368"/>
      <c r="DK159" s="368"/>
      <c r="DL159" s="368"/>
      <c r="DM159" s="368"/>
      <c r="DN159" s="368"/>
      <c r="DO159" s="368"/>
      <c r="DP159" s="368"/>
      <c r="DQ159" s="368"/>
      <c r="DR159" s="368"/>
      <c r="DS159" s="368"/>
      <c r="DT159" s="368"/>
      <c r="DU159" s="368"/>
      <c r="DV159" s="368"/>
      <c r="DW159" s="368"/>
      <c r="DX159" s="368"/>
      <c r="DY159" s="368"/>
      <c r="DZ159" s="368"/>
      <c r="EA159" s="368"/>
      <c r="EB159" s="368"/>
      <c r="EC159" s="368"/>
      <c r="ED159" s="368"/>
      <c r="EE159" s="368"/>
      <c r="EF159" s="368"/>
      <c r="EG159" s="368"/>
      <c r="EH159" s="368"/>
      <c r="EI159" s="368"/>
      <c r="EJ159" s="368"/>
      <c r="EK159" s="368"/>
      <c r="EL159" s="368"/>
      <c r="EM159" s="368"/>
      <c r="EN159" s="368"/>
      <c r="EO159" s="368"/>
      <c r="EP159" s="368"/>
      <c r="EQ159" s="368"/>
      <c r="ER159" s="368"/>
      <c r="ES159" s="368"/>
      <c r="ET159" s="368"/>
      <c r="EU159" s="368"/>
      <c r="EV159" s="368"/>
      <c r="EW159" s="368"/>
      <c r="EX159" s="368"/>
      <c r="EY159" s="368"/>
      <c r="EZ159" s="368"/>
      <c r="FA159" s="368"/>
      <c r="FB159" s="368"/>
      <c r="FC159" s="368"/>
      <c r="FD159" s="368"/>
      <c r="FE159" s="368"/>
      <c r="FF159" s="368"/>
      <c r="FG159" s="368"/>
      <c r="FH159" s="368"/>
      <c r="FI159" s="368"/>
      <c r="FJ159" s="368"/>
      <c r="FK159" s="368"/>
      <c r="FL159" s="368"/>
      <c r="FM159" s="368"/>
      <c r="FN159" s="368"/>
      <c r="FO159" s="368"/>
      <c r="FP159" s="368"/>
      <c r="FQ159" s="368"/>
      <c r="FR159" s="368"/>
      <c r="FS159" s="368"/>
      <c r="FT159" s="368"/>
      <c r="FU159" s="368"/>
      <c r="FV159" s="368"/>
      <c r="FW159" s="368"/>
      <c r="FX159" s="368"/>
      <c r="FY159" s="368"/>
      <c r="FZ159" s="368"/>
      <c r="GA159" s="368"/>
      <c r="GB159" s="368"/>
      <c r="GC159" s="368"/>
      <c r="GD159" s="368"/>
      <c r="GE159" s="368"/>
      <c r="GF159" s="368"/>
      <c r="GG159" s="368"/>
      <c r="GH159" s="368"/>
      <c r="GI159" s="368"/>
      <c r="GJ159" s="368"/>
      <c r="GK159" s="368"/>
      <c r="GL159" s="368"/>
      <c r="GM159" s="368"/>
      <c r="GN159" s="368"/>
      <c r="GO159" s="368"/>
      <c r="GP159" s="368"/>
      <c r="GQ159" s="368"/>
      <c r="GR159" s="368"/>
      <c r="GS159" s="368"/>
      <c r="GT159" s="368"/>
      <c r="GU159" s="368"/>
      <c r="GV159" s="368"/>
      <c r="GW159" s="368"/>
      <c r="GX159" s="368"/>
      <c r="GY159" s="368"/>
      <c r="GZ159" s="368"/>
      <c r="HA159" s="368"/>
      <c r="HB159" s="368"/>
      <c r="HC159" s="368"/>
      <c r="HD159" s="368"/>
      <c r="HE159" s="368"/>
      <c r="HF159" s="368"/>
      <c r="HG159" s="368"/>
      <c r="HH159" s="368"/>
      <c r="HI159" s="368"/>
      <c r="HJ159" s="368"/>
      <c r="HK159" s="368"/>
      <c r="HL159" s="368"/>
      <c r="HM159" s="368"/>
      <c r="HN159" s="368"/>
      <c r="HO159" s="368"/>
      <c r="HP159" s="368"/>
      <c r="HQ159" s="368"/>
      <c r="HR159" s="368"/>
      <c r="HS159" s="368"/>
      <c r="HT159" s="368"/>
      <c r="HU159" s="368"/>
      <c r="HV159" s="368"/>
      <c r="HW159" s="368"/>
      <c r="HX159" s="368"/>
      <c r="HY159" s="368"/>
      <c r="HZ159" s="368"/>
      <c r="IA159" s="368"/>
      <c r="IB159" s="368"/>
      <c r="IC159" s="368"/>
      <c r="ID159" s="368"/>
      <c r="IE159" s="368"/>
      <c r="IF159" s="368"/>
      <c r="IG159" s="368"/>
      <c r="IH159" s="368"/>
      <c r="II159" s="368"/>
      <c r="IJ159" s="368"/>
      <c r="IK159" s="368"/>
      <c r="IL159" s="368"/>
      <c r="IM159" s="368"/>
      <c r="IN159" s="368"/>
      <c r="IO159" s="368"/>
      <c r="IP159" s="368"/>
      <c r="IQ159" s="368"/>
      <c r="IR159" s="368"/>
      <c r="IS159" s="368"/>
      <c r="IT159" s="368"/>
      <c r="IU159" s="368"/>
    </row>
    <row r="162" spans="13:23" s="368" customFormat="1"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13:23" s="368" customFormat="1"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13:23" s="368" customFormat="1" ht="18.5">
      <c r="M164" s="18"/>
      <c r="N164" s="18"/>
      <c r="O164" s="18"/>
      <c r="P164" s="18"/>
      <c r="Q164" s="17"/>
      <c r="R164" s="17"/>
      <c r="S164" s="18"/>
      <c r="T164" s="18"/>
      <c r="U164" s="60"/>
      <c r="V164" s="1018"/>
      <c r="W164" s="1018"/>
    </row>
    <row r="165" spans="13:23" s="368" customFormat="1" ht="18.5">
      <c r="M165" s="18"/>
      <c r="N165" s="18"/>
      <c r="O165" s="18"/>
      <c r="P165" s="18"/>
      <c r="Q165" s="17"/>
      <c r="R165" s="17"/>
      <c r="S165" s="18"/>
      <c r="T165" s="18"/>
      <c r="U165" s="60"/>
      <c r="V165" s="1018"/>
      <c r="W165" s="1018"/>
    </row>
    <row r="166" spans="13:23" s="368" customFormat="1" ht="18.5">
      <c r="M166" s="18"/>
      <c r="N166" s="18"/>
      <c r="O166" s="18"/>
      <c r="P166" s="18"/>
      <c r="Q166" s="18"/>
      <c r="R166" s="18"/>
      <c r="S166" s="18"/>
      <c r="T166" s="18"/>
      <c r="U166" s="10"/>
      <c r="V166" s="1018"/>
      <c r="W166" s="1018"/>
    </row>
    <row r="167" spans="13:23" s="368" customFormat="1" ht="18.5">
      <c r="M167" s="18"/>
      <c r="N167" s="18"/>
      <c r="O167" s="18"/>
      <c r="P167" s="18"/>
      <c r="Q167" s="18"/>
      <c r="R167" s="15"/>
      <c r="S167" s="15"/>
      <c r="T167" s="18"/>
      <c r="U167" s="10"/>
      <c r="V167" s="1018"/>
      <c r="W167" s="1018"/>
    </row>
    <row r="168" spans="13:23" s="368" customFormat="1" ht="18.5">
      <c r="M168" s="18"/>
      <c r="N168" s="18"/>
      <c r="O168" s="18"/>
      <c r="P168" s="18"/>
      <c r="Q168" s="18"/>
      <c r="R168" s="15"/>
      <c r="S168" s="15"/>
      <c r="T168" s="18"/>
      <c r="U168" s="38"/>
      <c r="V168" s="1018"/>
      <c r="W168" s="1018"/>
    </row>
    <row r="169" spans="13:23" s="368" customFormat="1" ht="18.5">
      <c r="M169" s="18"/>
      <c r="N169" s="18"/>
      <c r="O169" s="18"/>
      <c r="P169" s="18"/>
      <c r="Q169" s="18"/>
      <c r="R169" s="15"/>
      <c r="S169" s="15"/>
      <c r="T169" s="18"/>
      <c r="U169" s="38"/>
      <c r="V169" s="1018"/>
      <c r="W169" s="1018"/>
    </row>
    <row r="170" spans="13:23" s="368" customFormat="1" ht="18.5">
      <c r="M170" s="18"/>
      <c r="N170" s="18"/>
      <c r="O170" s="18"/>
      <c r="P170" s="18"/>
      <c r="Q170" s="18"/>
      <c r="R170" s="15"/>
      <c r="S170" s="15"/>
      <c r="T170" s="18"/>
      <c r="U170" s="60"/>
      <c r="V170" s="1018"/>
      <c r="W170" s="1018"/>
    </row>
    <row r="171" spans="13:23" s="368" customFormat="1" ht="18.5">
      <c r="M171" s="18"/>
      <c r="N171" s="18"/>
      <c r="O171" s="18"/>
      <c r="P171" s="18"/>
      <c r="Q171" s="18"/>
      <c r="R171" s="15"/>
      <c r="S171" s="15"/>
      <c r="T171" s="18"/>
      <c r="U171" s="60"/>
      <c r="V171" s="1018"/>
      <c r="W171" s="1018"/>
    </row>
    <row r="172" spans="13:23" s="368" customFormat="1"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13:23" s="368" customFormat="1"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13:23" s="368" customFormat="1"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</sheetData>
  <sheetProtection formatCells="0" formatColumns="0" formatRows="0" insertColumns="0" insertRows="0" deleteColumns="0" deleteRows="0"/>
  <mergeCells count="119">
    <mergeCell ref="A1:P1"/>
    <mergeCell ref="O83:O84"/>
    <mergeCell ref="P83:P84"/>
    <mergeCell ref="D13:K13"/>
    <mergeCell ref="D14:K14"/>
    <mergeCell ref="D22:E22"/>
    <mergeCell ref="D23:E23"/>
    <mergeCell ref="C26:I26"/>
    <mergeCell ref="J26:K26"/>
    <mergeCell ref="D40:E40"/>
    <mergeCell ref="F40:G40"/>
    <mergeCell ref="I40:K40"/>
    <mergeCell ref="B19:C19"/>
    <mergeCell ref="I2:P2"/>
    <mergeCell ref="L29:M29"/>
    <mergeCell ref="L30:M30"/>
    <mergeCell ref="A2:H2"/>
    <mergeCell ref="AK146:AL146"/>
    <mergeCell ref="D94:H94"/>
    <mergeCell ref="B120:D120"/>
    <mergeCell ref="V166:W166"/>
    <mergeCell ref="B81:C81"/>
    <mergeCell ref="B83:B84"/>
    <mergeCell ref="C83:C84"/>
    <mergeCell ref="D83:M83"/>
    <mergeCell ref="B85:B92"/>
    <mergeCell ref="B93:C93"/>
    <mergeCell ref="B94:C94"/>
    <mergeCell ref="B112:I112"/>
    <mergeCell ref="AA148:AC148"/>
    <mergeCell ref="AA149:AC149"/>
    <mergeCell ref="AA150:AC150"/>
    <mergeCell ref="L98:M98"/>
    <mergeCell ref="AA146:AC146"/>
    <mergeCell ref="AA147:AC147"/>
    <mergeCell ref="AK147:AL147"/>
    <mergeCell ref="D97:K97"/>
    <mergeCell ref="AA144:AC144"/>
    <mergeCell ref="AA145:AC145"/>
    <mergeCell ref="AK144:AL144"/>
    <mergeCell ref="AK145:AL145"/>
    <mergeCell ref="AA141:AH141"/>
    <mergeCell ref="AA143:AC143"/>
    <mergeCell ref="T36:Y36"/>
    <mergeCell ref="D38:E38"/>
    <mergeCell ref="F38:G38"/>
    <mergeCell ref="I38:K38"/>
    <mergeCell ref="L26:M26"/>
    <mergeCell ref="H22:L23"/>
    <mergeCell ref="S20:S23"/>
    <mergeCell ref="L31:M31"/>
    <mergeCell ref="L96:M96"/>
    <mergeCell ref="L95:M95"/>
    <mergeCell ref="D93:H93"/>
    <mergeCell ref="I93:M93"/>
    <mergeCell ref="L27:M27"/>
    <mergeCell ref="L28:M28"/>
    <mergeCell ref="D102:K102"/>
    <mergeCell ref="L38:P38"/>
    <mergeCell ref="D39:E39"/>
    <mergeCell ref="F39:G39"/>
    <mergeCell ref="I39:K39"/>
    <mergeCell ref="M39:N39"/>
    <mergeCell ref="O39:P39"/>
    <mergeCell ref="B123:N123"/>
    <mergeCell ref="L97:M97"/>
    <mergeCell ref="I94:M94"/>
    <mergeCell ref="Q39:R39"/>
    <mergeCell ref="Q19:R23"/>
    <mergeCell ref="Y23:Z23"/>
    <mergeCell ref="Y24:Z24"/>
    <mergeCell ref="C28:I28"/>
    <mergeCell ref="C29:I29"/>
    <mergeCell ref="AA140:AH140"/>
    <mergeCell ref="V165:W165"/>
    <mergeCell ref="V167:W167"/>
    <mergeCell ref="Q69:S69"/>
    <mergeCell ref="D70:M70"/>
    <mergeCell ref="AA139:AL139"/>
    <mergeCell ref="B80:C80"/>
    <mergeCell ref="D80:H80"/>
    <mergeCell ref="I80:M80"/>
    <mergeCell ref="D81:H81"/>
    <mergeCell ref="I81:M81"/>
    <mergeCell ref="AK143:AL143"/>
    <mergeCell ref="N93:N94"/>
    <mergeCell ref="N83:N84"/>
    <mergeCell ref="D96:K96"/>
    <mergeCell ref="D95:K95"/>
    <mergeCell ref="D101:K101"/>
    <mergeCell ref="D100:K100"/>
    <mergeCell ref="L102:M102"/>
    <mergeCell ref="L101:M101"/>
    <mergeCell ref="L100:M100"/>
    <mergeCell ref="L99:M99"/>
    <mergeCell ref="D99:K99"/>
    <mergeCell ref="B69:C69"/>
    <mergeCell ref="D69:I69"/>
    <mergeCell ref="V168:W168"/>
    <mergeCell ref="V169:W169"/>
    <mergeCell ref="V170:W170"/>
    <mergeCell ref="V171:W171"/>
    <mergeCell ref="B70:B71"/>
    <mergeCell ref="B72:B79"/>
    <mergeCell ref="C70:C71"/>
    <mergeCell ref="N104:N105"/>
    <mergeCell ref="O104:O105"/>
    <mergeCell ref="P104:P105"/>
    <mergeCell ref="P115:P116"/>
    <mergeCell ref="R83:R84"/>
    <mergeCell ref="S83:S84"/>
    <mergeCell ref="T83:T84"/>
    <mergeCell ref="U83:U84"/>
    <mergeCell ref="B111:I111"/>
    <mergeCell ref="B113:I113"/>
    <mergeCell ref="B114:I114"/>
    <mergeCell ref="B117:O117"/>
    <mergeCell ref="D98:K98"/>
    <mergeCell ref="V164:W164"/>
  </mergeCells>
  <dataValidations count="8">
    <dataValidation type="list" allowBlank="1" showInputMessage="1" showErrorMessage="1" sqref="F152 M118:M119 M114:M116" xr:uid="{00000000-0002-0000-0200-000000000000}">
      <formula1>#REF!</formula1>
    </dataValidation>
    <dataValidation type="list" allowBlank="1" showInputMessage="1" showErrorMessage="1" sqref="M120" xr:uid="{00000000-0002-0000-0200-000001000000}">
      <formula1>$I$150</formula1>
    </dataValidation>
    <dataValidation type="list" allowBlank="1" showInputMessage="1" showErrorMessage="1" sqref="M121" xr:uid="{00000000-0002-0000-0200-000002000000}">
      <formula1>$H$146:$H$147</formula1>
    </dataValidation>
    <dataValidation type="list" allowBlank="1" showInputMessage="1" showErrorMessage="1" sqref="F151" xr:uid="{00000000-0002-0000-0200-000003000000}">
      <formula1>$N$145:$N$149</formula1>
    </dataValidation>
    <dataValidation type="list" allowBlank="1" showInputMessage="1" showErrorMessage="1" sqref="Q19" xr:uid="{00000000-0002-0000-0200-000004000000}">
      <formula1>$S$27:$S$28</formula1>
    </dataValidation>
    <dataValidation type="list" allowBlank="1" showInputMessage="1" showErrorMessage="1" sqref="D24" xr:uid="{00000000-0002-0000-0200-000006000000}">
      <formula1>$O$25:$O$25</formula1>
    </dataValidation>
    <dataValidation type="list" allowBlank="1" showInputMessage="1" showErrorMessage="1" sqref="C28:I28" xr:uid="{00000000-0002-0000-0200-000007000000}">
      <formula1>$X$23:$X$24</formula1>
    </dataValidation>
    <dataValidation type="list" allowBlank="1" showInputMessage="1" showErrorMessage="1" sqref="D22:E23" xr:uid="{D12F2623-02C6-4238-9A78-CBB35E913DAB}">
      <formula1>$Q$24:$Q$25</formula1>
    </dataValidation>
  </dataValidations>
  <printOptions horizontalCentered="1"/>
  <pageMargins left="0.25" right="0.25" top="0.5" bottom="0.25" header="0.25" footer="0.25"/>
  <pageSetup paperSize="9" scale="53" orientation="portrait" r:id="rId1"/>
  <headerFooter>
    <oddHeader>&amp;R&amp;"-,Regular"&amp;8SH.028-18  / Rev 1</oddHeader>
  </headerFooter>
  <rowBreaks count="1" manualBreakCount="1">
    <brk id="67" max="15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B000000}">
          <x14:formula1>
            <xm:f>'Data Alat'!$O$6:$O$30</xm:f>
          </x14:formula1>
          <xm:sqref>B120:D120</xm:sqref>
        </x14:dataValidation>
        <x14:dataValidation type="list" allowBlank="1" showInputMessage="1" showErrorMessage="1" xr:uid="{00000000-0002-0000-0200-000009000000}">
          <x14:formula1>
            <xm:f>'DB Thermo'!$A$390:$A$408</xm:f>
          </x14:formula1>
          <xm:sqref>B114:I114</xm:sqref>
        </x14:dataValidation>
        <x14:dataValidation type="list" allowBlank="1" showInputMessage="1" showErrorMessage="1" xr:uid="{00000000-0002-0000-0200-00000A000000}">
          <x14:formula1>
            <xm:f>'DB Kelistrikan'!$A$299:$A$310</xm:f>
          </x14:formula1>
          <xm:sqref>B113:I113</xm:sqref>
        </x14:dataValidation>
        <x14:dataValidation type="list" allowBlank="1" showInputMessage="1" showErrorMessage="1" xr:uid="{00000000-0002-0000-0200-00000D000000}">
          <x14:formula1>
            <xm:f>'Data Alat'!$A$20:$A$24</xm:f>
          </x14:formula1>
          <xm:sqref>B112:I112</xm:sqref>
        </x14:dataValidation>
        <x14:dataValidation type="list" allowBlank="1" showInputMessage="1" showErrorMessage="1" xr:uid="{57F67985-9171-4BF2-8F8A-EC9D7B340C76}">
          <x14:formula1>
            <xm:f>'Data Alat'!$A$4:$A$19</xm:f>
          </x14:formula1>
          <xm:sqref>B111:I111</xm:sqref>
        </x14:dataValidation>
        <x14:dataValidation type="list" allowBlank="1" showInputMessage="1" showErrorMessage="1" xr:uid="{66588636-9E95-48CB-A4AA-BB986231FB8A}">
          <x14:formula1>
            <xm:f>'Lembar Penyelia'!$X$13:$X$14</xm:f>
          </x14:formula1>
          <xm:sqref>C29:I29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2:V88"/>
  <sheetViews>
    <sheetView showGridLines="0" view="pageBreakPreview" zoomScale="90" zoomScaleNormal="80" zoomScaleSheetLayoutView="90" workbookViewId="0">
      <selection activeCell="F9" sqref="F9"/>
    </sheetView>
  </sheetViews>
  <sheetFormatPr defaultColWidth="9" defaultRowHeight="14"/>
  <cols>
    <col min="1" max="1" width="14.81640625" style="3" customWidth="1"/>
    <col min="2" max="2" width="14.1796875" style="3" customWidth="1"/>
    <col min="3" max="3" width="4" style="3" customWidth="1"/>
    <col min="4" max="4" width="6.7265625" style="3" customWidth="1"/>
    <col min="5" max="5" width="10.54296875" style="3" customWidth="1"/>
    <col min="6" max="6" width="8.26953125" style="3" customWidth="1"/>
    <col min="7" max="7" width="9.26953125" style="3" customWidth="1"/>
    <col min="8" max="8" width="11.453125" style="3" customWidth="1"/>
    <col min="9" max="9" width="8.1796875" style="3" customWidth="1"/>
    <col min="10" max="10" width="4" style="3" hidden="1"/>
    <col min="11" max="11" width="12.54296875" style="3" customWidth="1"/>
    <col min="12" max="12" width="8.7265625" style="3" customWidth="1"/>
    <col min="13" max="13" width="19.54296875" style="3" customWidth="1"/>
    <col min="14" max="14" width="20.26953125" style="3" customWidth="1"/>
    <col min="15" max="21" width="9.1796875" style="3" customWidth="1"/>
    <col min="22" max="22" width="17.7265625" style="3" customWidth="1"/>
    <col min="23" max="250" width="9.1796875" style="3" customWidth="1"/>
    <col min="251" max="16384" width="9" style="3"/>
  </cols>
  <sheetData>
    <row r="2" spans="1:14">
      <c r="A2" s="1073" t="s">
        <v>254</v>
      </c>
      <c r="B2" s="1073"/>
      <c r="C2" s="1073"/>
      <c r="D2" s="1073"/>
      <c r="E2" s="1073"/>
      <c r="F2" s="1073"/>
      <c r="G2" s="1073"/>
      <c r="H2" s="1073"/>
      <c r="I2" s="1073"/>
      <c r="J2" s="1073"/>
      <c r="K2" s="1073"/>
      <c r="L2" s="1073"/>
      <c r="M2" s="1073"/>
      <c r="N2" s="1073"/>
    </row>
    <row r="3" spans="1:14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18" customHeight="1">
      <c r="A5" s="3" t="s">
        <v>255</v>
      </c>
      <c r="B5" s="87">
        <f>ID!$D$8</f>
        <v>0.1</v>
      </c>
      <c r="C5" s="3" t="s">
        <v>256</v>
      </c>
      <c r="D5" s="87"/>
    </row>
    <row r="6" spans="1:14" ht="18" customHeight="1">
      <c r="A6" s="3" t="s">
        <v>257</v>
      </c>
      <c r="B6" s="87">
        <f>ID!B72</f>
        <v>37</v>
      </c>
      <c r="C6" s="3" t="s">
        <v>256</v>
      </c>
      <c r="I6" s="90"/>
    </row>
    <row r="7" spans="1:14" ht="18" customHeight="1">
      <c r="A7" s="1075" t="s">
        <v>258</v>
      </c>
      <c r="B7" s="1075"/>
      <c r="C7" s="1075"/>
      <c r="D7" s="1075" t="s">
        <v>259</v>
      </c>
      <c r="E7" s="1075" t="s">
        <v>260</v>
      </c>
      <c r="F7" s="1075" t="s">
        <v>261</v>
      </c>
      <c r="G7" s="1075" t="s">
        <v>262</v>
      </c>
      <c r="H7" s="1075" t="s">
        <v>263</v>
      </c>
      <c r="I7" s="1075" t="s">
        <v>264</v>
      </c>
      <c r="J7" s="1075"/>
      <c r="K7" s="1075" t="s">
        <v>265</v>
      </c>
      <c r="L7" s="1075" t="s">
        <v>266</v>
      </c>
      <c r="M7" s="1075" t="s">
        <v>267</v>
      </c>
      <c r="N7" s="1075" t="s">
        <v>268</v>
      </c>
    </row>
    <row r="8" spans="1:14" ht="18" customHeight="1">
      <c r="A8" s="1075"/>
      <c r="B8" s="1075"/>
      <c r="C8" s="1075"/>
      <c r="D8" s="1075"/>
      <c r="E8" s="1075"/>
      <c r="F8" s="1075"/>
      <c r="G8" s="1075"/>
      <c r="H8" s="1075"/>
      <c r="I8" s="1075"/>
      <c r="J8" s="1075"/>
      <c r="K8" s="1075"/>
      <c r="L8" s="1075"/>
      <c r="M8" s="1075"/>
      <c r="N8" s="1075"/>
    </row>
    <row r="9" spans="1:14" ht="18" customHeight="1">
      <c r="A9" s="96" t="s">
        <v>269</v>
      </c>
      <c r="B9" s="97"/>
      <c r="C9" s="54"/>
      <c r="D9" s="98" t="s">
        <v>270</v>
      </c>
      <c r="E9" s="86" t="s">
        <v>271</v>
      </c>
      <c r="F9" s="5">
        <f ca="1">ID!N93</f>
        <v>7.4897780662969626E-15</v>
      </c>
      <c r="G9" s="86">
        <f>SQRT(10)</f>
        <v>3.1622776601683795</v>
      </c>
      <c r="H9" s="86">
        <f ca="1">F9/G9</f>
        <v>2.3684757858670005E-15</v>
      </c>
      <c r="I9" s="86">
        <v>1</v>
      </c>
      <c r="J9" s="86"/>
      <c r="K9" s="86">
        <f ca="1">H9*I9</f>
        <v>2.3684757858670005E-15</v>
      </c>
      <c r="L9" s="86">
        <f>10-1</f>
        <v>9</v>
      </c>
      <c r="M9" s="86">
        <f ca="1">K9^2</f>
        <v>5.6096775482383059E-30</v>
      </c>
      <c r="N9" s="99">
        <f t="shared" ref="N9:N15" ca="1" si="0">(K9)^4/L9</f>
        <v>3.4964980216898813E-60</v>
      </c>
    </row>
    <row r="10" spans="1:14" ht="18" customHeight="1">
      <c r="A10" s="1101" t="s">
        <v>272</v>
      </c>
      <c r="B10" s="1102"/>
      <c r="C10" s="1103"/>
      <c r="D10" s="98" t="s">
        <v>270</v>
      </c>
      <c r="E10" s="86" t="s">
        <v>271</v>
      </c>
      <c r="F10" s="100">
        <f>'Data Standar'!C292</f>
        <v>0.56000000000000005</v>
      </c>
      <c r="G10" s="100">
        <v>2</v>
      </c>
      <c r="H10" s="100">
        <f t="shared" ref="H10:H15" si="1">F10/G10</f>
        <v>0.28000000000000003</v>
      </c>
      <c r="I10" s="86">
        <v>1</v>
      </c>
      <c r="J10" s="86"/>
      <c r="K10" s="100">
        <f t="shared" ref="K10:K15" si="2">H10*I10</f>
        <v>0.28000000000000003</v>
      </c>
      <c r="L10" s="101">
        <v>50</v>
      </c>
      <c r="M10" s="102">
        <f t="shared" ref="M10:M15" si="3">(H10*I10)^2</f>
        <v>7.8400000000000011E-2</v>
      </c>
      <c r="N10" s="99">
        <f t="shared" si="0"/>
        <v>1.2293120000000002E-4</v>
      </c>
    </row>
    <row r="11" spans="1:14" ht="18" customHeight="1">
      <c r="A11" s="1101" t="s">
        <v>273</v>
      </c>
      <c r="B11" s="1102"/>
      <c r="C11" s="1103"/>
      <c r="D11" s="98" t="s">
        <v>270</v>
      </c>
      <c r="E11" s="86" t="s">
        <v>274</v>
      </c>
      <c r="F11" s="102">
        <f ca="1">'Data Standar'!C291</f>
        <v>0.17135714285714282</v>
      </c>
      <c r="G11" s="102">
        <f>SQRT(3)</f>
        <v>1.7320508075688772</v>
      </c>
      <c r="H11" s="100">
        <f ca="1">F11/G11</f>
        <v>9.8933092556136568E-2</v>
      </c>
      <c r="I11" s="101">
        <v>1</v>
      </c>
      <c r="J11" s="86"/>
      <c r="K11" s="100">
        <f t="shared" ca="1" si="2"/>
        <v>9.8933092556136568E-2</v>
      </c>
      <c r="L11" s="101">
        <v>50</v>
      </c>
      <c r="M11" s="102">
        <f t="shared" ca="1" si="3"/>
        <v>9.7877568027210839E-3</v>
      </c>
      <c r="N11" s="99">
        <f t="shared" ca="1" si="0"/>
        <v>1.9160036645842572E-6</v>
      </c>
    </row>
    <row r="12" spans="1:14" ht="18" customHeight="1">
      <c r="A12" s="1091" t="s">
        <v>275</v>
      </c>
      <c r="B12" s="1091"/>
      <c r="C12" s="1091"/>
      <c r="D12" s="98" t="s">
        <v>270</v>
      </c>
      <c r="E12" s="86" t="s">
        <v>274</v>
      </c>
      <c r="F12" s="100">
        <f>B5/2</f>
        <v>0.05</v>
      </c>
      <c r="G12" s="100">
        <f>SQRT(3)</f>
        <v>1.7320508075688772</v>
      </c>
      <c r="H12" s="100">
        <f t="shared" si="1"/>
        <v>2.8867513459481291E-2</v>
      </c>
      <c r="I12" s="86">
        <v>1</v>
      </c>
      <c r="J12" s="98"/>
      <c r="K12" s="100">
        <f t="shared" si="2"/>
        <v>2.8867513459481291E-2</v>
      </c>
      <c r="L12" s="101">
        <v>50</v>
      </c>
      <c r="M12" s="102">
        <f t="shared" si="3"/>
        <v>8.333333333333335E-4</v>
      </c>
      <c r="N12" s="99">
        <f t="shared" si="0"/>
        <v>1.3888888888888894E-8</v>
      </c>
    </row>
    <row r="13" spans="1:14" ht="18" customHeight="1">
      <c r="A13" s="1091" t="s">
        <v>276</v>
      </c>
      <c r="B13" s="1091"/>
      <c r="C13" s="1091"/>
      <c r="D13" s="98" t="s">
        <v>270</v>
      </c>
      <c r="E13" s="86" t="s">
        <v>274</v>
      </c>
      <c r="F13" s="100">
        <f ca="1">ID!L97/2</f>
        <v>1.9999999999992468E-2</v>
      </c>
      <c r="G13" s="100">
        <f>SQRT(3)</f>
        <v>1.7320508075688772</v>
      </c>
      <c r="H13" s="100">
        <f t="shared" ca="1" si="1"/>
        <v>1.1547005383788167E-2</v>
      </c>
      <c r="I13" s="86">
        <v>1</v>
      </c>
      <c r="J13" s="98"/>
      <c r="K13" s="100">
        <f t="shared" ca="1" si="2"/>
        <v>1.1547005383788167E-2</v>
      </c>
      <c r="L13" s="101">
        <v>50</v>
      </c>
      <c r="M13" s="102">
        <f t="shared" ca="1" si="3"/>
        <v>1.3333333333323292E-4</v>
      </c>
      <c r="N13" s="99">
        <f t="shared" ca="1" si="0"/>
        <v>3.5555555555502E-10</v>
      </c>
    </row>
    <row r="14" spans="1:14" ht="18" customHeight="1">
      <c r="A14" s="1101" t="s">
        <v>277</v>
      </c>
      <c r="B14" s="1102"/>
      <c r="C14" s="1103"/>
      <c r="D14" s="98" t="s">
        <v>270</v>
      </c>
      <c r="E14" s="86" t="s">
        <v>274</v>
      </c>
      <c r="F14" s="100">
        <f ca="1">ID!L98/2</f>
        <v>0</v>
      </c>
      <c r="G14" s="100">
        <f>SQRT(3)</f>
        <v>1.7320508075688772</v>
      </c>
      <c r="H14" s="100">
        <f t="shared" ca="1" si="1"/>
        <v>0</v>
      </c>
      <c r="I14" s="86">
        <v>1</v>
      </c>
      <c r="J14" s="98"/>
      <c r="K14" s="100">
        <f t="shared" ca="1" si="2"/>
        <v>0</v>
      </c>
      <c r="L14" s="101">
        <v>50</v>
      </c>
      <c r="M14" s="102">
        <f t="shared" ca="1" si="3"/>
        <v>0</v>
      </c>
      <c r="N14" s="99">
        <f t="shared" ca="1" si="0"/>
        <v>0</v>
      </c>
    </row>
    <row r="15" spans="1:14" ht="18" customHeight="1">
      <c r="A15" s="1091" t="s">
        <v>278</v>
      </c>
      <c r="B15" s="1091"/>
      <c r="C15" s="1091"/>
      <c r="D15" s="98" t="s">
        <v>270</v>
      </c>
      <c r="E15" s="86" t="s">
        <v>274</v>
      </c>
      <c r="F15" s="100">
        <f>ID!O93/2</f>
        <v>0</v>
      </c>
      <c r="G15" s="100">
        <f>SQRT(3)</f>
        <v>1.7320508075688772</v>
      </c>
      <c r="H15" s="100">
        <f t="shared" si="1"/>
        <v>0</v>
      </c>
      <c r="I15" s="86">
        <v>1</v>
      </c>
      <c r="J15" s="98"/>
      <c r="K15" s="100">
        <f t="shared" si="2"/>
        <v>0</v>
      </c>
      <c r="L15" s="101">
        <v>50</v>
      </c>
      <c r="M15" s="102">
        <f t="shared" si="3"/>
        <v>0</v>
      </c>
      <c r="N15" s="99">
        <f t="shared" si="0"/>
        <v>0</v>
      </c>
    </row>
    <row r="16" spans="1:14" ht="18" customHeight="1">
      <c r="A16" s="1091"/>
      <c r="B16" s="1091"/>
      <c r="C16" s="1091"/>
      <c r="D16" s="98"/>
      <c r="E16" s="86"/>
      <c r="F16" s="5"/>
      <c r="G16" s="5"/>
      <c r="H16" s="5"/>
      <c r="I16" s="86"/>
      <c r="J16" s="98"/>
      <c r="K16" s="5"/>
      <c r="L16" s="101"/>
      <c r="M16" s="102"/>
      <c r="N16" s="102"/>
    </row>
    <row r="17" spans="1:22" ht="18" customHeight="1">
      <c r="E17" s="87"/>
      <c r="H17" s="1091" t="s">
        <v>279</v>
      </c>
      <c r="I17" s="1091"/>
      <c r="J17" s="1091"/>
      <c r="K17" s="1091"/>
      <c r="L17" s="1091"/>
      <c r="M17" s="103">
        <f ca="1">SQRT(SUM(M9:M16))</f>
        <v>0.29858737995666806</v>
      </c>
      <c r="N17" s="104">
        <f ca="1">SUM(N9:N16)</f>
        <v>1.2486144810902873E-4</v>
      </c>
    </row>
    <row r="18" spans="1:22" ht="18" customHeight="1">
      <c r="H18" s="1091" t="s">
        <v>280</v>
      </c>
      <c r="I18" s="1091"/>
      <c r="J18" s="1091"/>
      <c r="K18" s="1091"/>
      <c r="L18" s="1091"/>
      <c r="M18" s="105"/>
      <c r="N18" s="103">
        <f ca="1">M17^4/N17</f>
        <v>63.658650003949013</v>
      </c>
      <c r="Q18" s="90"/>
      <c r="R18" s="90"/>
      <c r="S18" s="90"/>
      <c r="T18" s="90"/>
      <c r="U18" s="90"/>
      <c r="V18" s="90"/>
    </row>
    <row r="19" spans="1:22" ht="18" customHeight="1">
      <c r="H19" s="1091" t="s">
        <v>281</v>
      </c>
      <c r="I19" s="1091"/>
      <c r="J19" s="1091"/>
      <c r="K19" s="1091"/>
      <c r="L19" s="1091"/>
      <c r="M19" s="106"/>
      <c r="N19" s="107">
        <f ca="1">1.95996+(2.37356/N18)+(2.818745/N18^2)+(2.546662/N18^3)+(1.761829/N18^4)+(0.245458/N18^5)+(1.000764/N18^6)</f>
        <v>1.9979512915490349</v>
      </c>
      <c r="O19" s="719" t="s">
        <v>282</v>
      </c>
      <c r="P19" s="719" t="s">
        <v>283</v>
      </c>
      <c r="Q19" s="189" t="s">
        <v>284</v>
      </c>
      <c r="R19" s="189"/>
      <c r="S19" s="90"/>
      <c r="T19" s="90"/>
      <c r="U19" s="90"/>
      <c r="V19" s="90"/>
    </row>
    <row r="20" spans="1:22" ht="18" customHeight="1">
      <c r="H20" s="1092" t="s">
        <v>285</v>
      </c>
      <c r="I20" s="1092"/>
      <c r="J20" s="1092"/>
      <c r="K20" s="1092"/>
      <c r="L20" s="1092"/>
      <c r="M20" s="108"/>
      <c r="N20" s="190">
        <f ca="1">M17*N19</f>
        <v>0.59656304142466743</v>
      </c>
      <c r="O20" s="762">
        <f ca="1">N20</f>
        <v>0.59656304142466743</v>
      </c>
      <c r="P20" s="719" t="str">
        <f ca="1">IF(O20&gt;=10,"0",IF(O20&lt;1,"0.00","0.0"))</f>
        <v>0.00</v>
      </c>
      <c r="Q20" s="189" t="str">
        <f ca="1">TEXT(O20,$P$20)</f>
        <v>0.60</v>
      </c>
      <c r="R20" s="189"/>
      <c r="S20" s="90"/>
      <c r="T20" s="90"/>
      <c r="U20" s="90"/>
      <c r="V20" s="90"/>
    </row>
    <row r="21" spans="1:22" ht="18" customHeight="1">
      <c r="E21" s="139"/>
      <c r="Q21" s="90"/>
      <c r="R21" s="90"/>
      <c r="S21" s="90"/>
      <c r="T21" s="90"/>
      <c r="U21" s="90"/>
      <c r="V21" s="90"/>
    </row>
    <row r="22" spans="1:22" s="90" customFormat="1" ht="18" customHeight="1">
      <c r="N22" s="189">
        <f ca="1">IF(N20&lt;0.55,0.55,M17*N19)</f>
        <v>0.59656304142466743</v>
      </c>
    </row>
    <row r="23" spans="1:22" s="140" customFormat="1" ht="18" customHeight="1">
      <c r="A23" s="1093" t="s">
        <v>286</v>
      </c>
      <c r="B23" s="1093"/>
      <c r="C23" s="1093"/>
      <c r="D23" s="1093"/>
      <c r="E23" s="1093"/>
      <c r="F23" s="1093"/>
      <c r="G23" s="1093"/>
      <c r="H23" s="1093"/>
      <c r="I23" s="1093"/>
      <c r="J23" s="1093"/>
      <c r="K23" s="1093"/>
      <c r="L23" s="1093"/>
      <c r="M23" s="1093"/>
      <c r="N23" s="1093"/>
    </row>
    <row r="24" spans="1:22" s="90" customFormat="1" ht="18" customHeight="1">
      <c r="A24" s="109" t="s">
        <v>255</v>
      </c>
      <c r="B24" s="110">
        <f>ID!$D$8</f>
        <v>0.1</v>
      </c>
      <c r="C24" s="109" t="s">
        <v>256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</row>
    <row r="25" spans="1:22" s="90" customFormat="1" ht="16" customHeight="1">
      <c r="A25" s="109" t="s">
        <v>257</v>
      </c>
      <c r="B25" s="110">
        <f>ID!B72</f>
        <v>37</v>
      </c>
      <c r="C25" s="109" t="s">
        <v>256</v>
      </c>
      <c r="D25" s="109"/>
      <c r="E25" s="109"/>
      <c r="F25" s="109"/>
      <c r="G25" s="109"/>
      <c r="H25" s="109"/>
      <c r="I25" s="111"/>
      <c r="J25" s="109"/>
      <c r="K25" s="109"/>
      <c r="L25" s="109"/>
      <c r="M25" s="109"/>
      <c r="N25" s="109"/>
    </row>
    <row r="26" spans="1:22" s="90" customFormat="1" ht="16" customHeight="1">
      <c r="A26" s="1096" t="s">
        <v>258</v>
      </c>
      <c r="B26" s="1078"/>
      <c r="C26" s="1097"/>
      <c r="D26" s="1076" t="s">
        <v>259</v>
      </c>
      <c r="E26" s="1078" t="s">
        <v>260</v>
      </c>
      <c r="F26" s="1078" t="s">
        <v>261</v>
      </c>
      <c r="G26" s="1078" t="s">
        <v>262</v>
      </c>
      <c r="H26" s="1078" t="s">
        <v>287</v>
      </c>
      <c r="I26" s="1078" t="s">
        <v>288</v>
      </c>
      <c r="J26" s="1078"/>
      <c r="K26" s="1078" t="s">
        <v>289</v>
      </c>
      <c r="L26" s="1078" t="s">
        <v>290</v>
      </c>
      <c r="M26" s="1078" t="s">
        <v>291</v>
      </c>
      <c r="N26" s="1094" t="s">
        <v>292</v>
      </c>
      <c r="Q26" s="1073"/>
      <c r="R26" s="1073"/>
      <c r="S26" s="1073"/>
      <c r="T26" s="1073"/>
    </row>
    <row r="27" spans="1:22" s="90" customFormat="1" ht="16" customHeight="1">
      <c r="A27" s="1098"/>
      <c r="B27" s="1099"/>
      <c r="C27" s="1100"/>
      <c r="D27" s="1077"/>
      <c r="E27" s="1079"/>
      <c r="F27" s="1079"/>
      <c r="G27" s="1079"/>
      <c r="H27" s="1079"/>
      <c r="I27" s="1079"/>
      <c r="J27" s="1079"/>
      <c r="K27" s="1079"/>
      <c r="L27" s="1079"/>
      <c r="M27" s="1079"/>
      <c r="N27" s="1095"/>
      <c r="Q27" s="89"/>
      <c r="R27" s="89"/>
      <c r="S27" s="89"/>
      <c r="T27" s="89"/>
    </row>
    <row r="28" spans="1:22" s="90" customFormat="1" ht="16" customHeight="1">
      <c r="A28" s="112" t="s">
        <v>293</v>
      </c>
      <c r="B28" s="113"/>
      <c r="C28" s="114"/>
      <c r="D28" s="115" t="s">
        <v>294</v>
      </c>
      <c r="E28" s="116" t="s">
        <v>271</v>
      </c>
      <c r="F28" s="117">
        <v>0.28999999999999998</v>
      </c>
      <c r="G28" s="117">
        <v>2</v>
      </c>
      <c r="H28" s="118">
        <f>0.29/2</f>
        <v>0.14499999999999999</v>
      </c>
      <c r="I28" s="116">
        <v>1</v>
      </c>
      <c r="J28" s="116"/>
      <c r="K28" s="118">
        <f>0.145*1</f>
        <v>0.14499999999999999</v>
      </c>
      <c r="L28" s="119">
        <f t="shared" ref="L28:L33" si="4">((100/10)^2)*0.5</f>
        <v>50</v>
      </c>
      <c r="M28" s="120">
        <f>(0.145*1)^2</f>
        <v>2.1024999999999999E-2</v>
      </c>
      <c r="N28" s="121">
        <f t="shared" ref="N28:N33" si="5">(K28)^4/L28</f>
        <v>8.8410124999999981E-6</v>
      </c>
    </row>
    <row r="29" spans="1:22" s="90" customFormat="1" ht="16" customHeight="1">
      <c r="A29" s="112" t="s">
        <v>295</v>
      </c>
      <c r="B29" s="113"/>
      <c r="C29" s="114"/>
      <c r="D29" s="115" t="s">
        <v>294</v>
      </c>
      <c r="E29" s="116" t="s">
        <v>274</v>
      </c>
      <c r="F29" s="117">
        <f>0.0943/2</f>
        <v>4.7149999999999997E-2</v>
      </c>
      <c r="G29" s="117">
        <v>1.7321</v>
      </c>
      <c r="H29" s="118">
        <f>0.04716/1.73205</f>
        <v>2.7227851389971421E-2</v>
      </c>
      <c r="I29" s="119">
        <v>1</v>
      </c>
      <c r="J29" s="116"/>
      <c r="K29" s="118">
        <f>0.0272*1</f>
        <v>2.7199999999999998E-2</v>
      </c>
      <c r="L29" s="119">
        <f t="shared" si="4"/>
        <v>50</v>
      </c>
      <c r="M29" s="120">
        <f>(0.0272*1)^2</f>
        <v>7.3983999999999996E-4</v>
      </c>
      <c r="N29" s="121">
        <f t="shared" si="5"/>
        <v>1.0947264511999999E-8</v>
      </c>
    </row>
    <row r="30" spans="1:22" s="90" customFormat="1" ht="16" customHeight="1">
      <c r="A30" s="1083" t="s">
        <v>296</v>
      </c>
      <c r="B30" s="1084"/>
      <c r="C30" s="1085"/>
      <c r="D30" s="115" t="s">
        <v>294</v>
      </c>
      <c r="E30" s="116" t="s">
        <v>274</v>
      </c>
      <c r="F30" s="117">
        <f>0.5/2</f>
        <v>0.25</v>
      </c>
      <c r="G30" s="117">
        <v>1.7321</v>
      </c>
      <c r="H30" s="118">
        <f>0.25/1.7321</f>
        <v>0.14433346804457017</v>
      </c>
      <c r="I30" s="116">
        <v>1</v>
      </c>
      <c r="J30" s="122"/>
      <c r="K30" s="118">
        <f>0.1443*1</f>
        <v>0.14430000000000001</v>
      </c>
      <c r="L30" s="119">
        <f t="shared" si="4"/>
        <v>50</v>
      </c>
      <c r="M30" s="120">
        <f>(0.1443*1)^2</f>
        <v>2.0822490000000003E-2</v>
      </c>
      <c r="N30" s="121">
        <f t="shared" si="5"/>
        <v>8.6715217960020013E-6</v>
      </c>
    </row>
    <row r="31" spans="1:22" s="90" customFormat="1" ht="16" customHeight="1">
      <c r="A31" s="1083" t="s">
        <v>297</v>
      </c>
      <c r="B31" s="1084"/>
      <c r="C31" s="1085"/>
      <c r="D31" s="115" t="s">
        <v>294</v>
      </c>
      <c r="E31" s="116" t="s">
        <v>271</v>
      </c>
      <c r="F31" s="752">
        <f>(0.2006)/2</f>
        <v>0.1003</v>
      </c>
      <c r="G31" s="117">
        <v>1.7321</v>
      </c>
      <c r="H31" s="118">
        <f>0.1003/1.7321</f>
        <v>5.7906587379481553E-2</v>
      </c>
      <c r="I31" s="116">
        <v>1</v>
      </c>
      <c r="J31" s="122"/>
      <c r="K31" s="118">
        <f>0.0579*1</f>
        <v>5.79E-2</v>
      </c>
      <c r="L31" s="119">
        <f t="shared" si="4"/>
        <v>50</v>
      </c>
      <c r="M31" s="120">
        <f>(0.0579*1)^2</f>
        <v>3.3524100000000001E-3</v>
      </c>
      <c r="N31" s="121">
        <f t="shared" si="5"/>
        <v>2.2477305616200002E-7</v>
      </c>
    </row>
    <row r="32" spans="1:22" s="90" customFormat="1" ht="16" customHeight="1">
      <c r="A32" s="123" t="s">
        <v>298</v>
      </c>
      <c r="B32" s="124"/>
      <c r="C32" s="125"/>
      <c r="D32" s="115" t="s">
        <v>294</v>
      </c>
      <c r="E32" s="116" t="s">
        <v>271</v>
      </c>
      <c r="F32" s="126">
        <f>0.15/2</f>
        <v>7.4999999999999997E-2</v>
      </c>
      <c r="G32" s="117">
        <v>1.7321</v>
      </c>
      <c r="H32" s="118">
        <f>0.075/1.7321</f>
        <v>4.3300040413371051E-2</v>
      </c>
      <c r="I32" s="116">
        <v>1</v>
      </c>
      <c r="J32" s="122"/>
      <c r="K32" s="118">
        <f>0.0433*1</f>
        <v>4.3299999999999998E-2</v>
      </c>
      <c r="L32" s="119">
        <f t="shared" si="4"/>
        <v>50</v>
      </c>
      <c r="M32" s="120">
        <f>(0.0433*1)^2</f>
        <v>1.8748899999999999E-3</v>
      </c>
      <c r="N32" s="121">
        <f t="shared" si="5"/>
        <v>7.0304250241999999E-8</v>
      </c>
    </row>
    <row r="33" spans="1:22" s="90" customFormat="1" ht="16" customHeight="1">
      <c r="A33" s="1086" t="s">
        <v>299</v>
      </c>
      <c r="B33" s="1087"/>
      <c r="C33" s="1088"/>
      <c r="D33" s="127" t="s">
        <v>294</v>
      </c>
      <c r="E33" s="128" t="s">
        <v>274</v>
      </c>
      <c r="F33" s="129">
        <f>0/2</f>
        <v>0</v>
      </c>
      <c r="G33" s="117">
        <v>1.7321</v>
      </c>
      <c r="H33" s="118">
        <f>0/1.7321</f>
        <v>0</v>
      </c>
      <c r="I33" s="128">
        <v>1</v>
      </c>
      <c r="J33" s="130"/>
      <c r="K33" s="118">
        <f>0*1</f>
        <v>0</v>
      </c>
      <c r="L33" s="119">
        <f t="shared" si="4"/>
        <v>50</v>
      </c>
      <c r="M33" s="120">
        <f>(0*1)^2</f>
        <v>0</v>
      </c>
      <c r="N33" s="121">
        <f t="shared" si="5"/>
        <v>0</v>
      </c>
      <c r="V33" s="141"/>
    </row>
    <row r="34" spans="1:22" s="90" customFormat="1" ht="16" customHeight="1">
      <c r="A34" s="109"/>
      <c r="B34" s="109"/>
      <c r="C34" s="109"/>
      <c r="D34" s="109"/>
      <c r="E34" s="110"/>
      <c r="F34" s="109"/>
      <c r="G34" s="109"/>
      <c r="H34" s="1089" t="s">
        <v>279</v>
      </c>
      <c r="I34" s="1090"/>
      <c r="J34" s="1090"/>
      <c r="K34" s="1090"/>
      <c r="L34" s="1090"/>
      <c r="M34" s="131">
        <f>SQRT(SUM(M28:M33))</f>
        <v>0.21866556656227334</v>
      </c>
      <c r="N34" s="132">
        <f>SUM(N28:N33)</f>
        <v>1.7818558866917999E-5</v>
      </c>
    </row>
    <row r="35" spans="1:22" s="90" customFormat="1" ht="16" customHeight="1">
      <c r="A35" s="109"/>
      <c r="B35" s="109"/>
      <c r="C35" s="109"/>
      <c r="D35" s="109"/>
      <c r="E35" s="109"/>
      <c r="F35" s="109"/>
      <c r="G35" s="109"/>
      <c r="H35" s="1083" t="s">
        <v>280</v>
      </c>
      <c r="I35" s="1084"/>
      <c r="J35" s="1084"/>
      <c r="K35" s="1084"/>
      <c r="L35" s="1084"/>
      <c r="M35" s="133"/>
      <c r="N35" s="134">
        <f>M34^4/N34</f>
        <v>128.30660768428018</v>
      </c>
    </row>
    <row r="36" spans="1:22" s="90" customFormat="1" ht="16" customHeight="1">
      <c r="A36" s="109"/>
      <c r="B36" s="109"/>
      <c r="C36" s="109"/>
      <c r="D36" s="109"/>
      <c r="E36" s="109"/>
      <c r="F36" s="109"/>
      <c r="G36" s="109"/>
      <c r="H36" s="1083" t="s">
        <v>281</v>
      </c>
      <c r="I36" s="1084"/>
      <c r="J36" s="1084"/>
      <c r="K36" s="1084"/>
      <c r="L36" s="1084"/>
      <c r="M36" s="135"/>
      <c r="N36" s="136">
        <f>1.95996+(2.37356/N35)+(2.818745/N35^2)+(2.546662/N35^3)+(1.761829/N35^4)+(0.245458/N35^5)+(1.000764/N35^6)</f>
        <v>1.9786315586515477</v>
      </c>
    </row>
    <row r="37" spans="1:22" s="90" customFormat="1" ht="16" customHeight="1">
      <c r="A37" s="109"/>
      <c r="B37" s="109"/>
      <c r="C37" s="109"/>
      <c r="D37" s="109"/>
      <c r="E37" s="109"/>
      <c r="F37" s="109"/>
      <c r="G37" s="109"/>
      <c r="H37" s="1081" t="s">
        <v>285</v>
      </c>
      <c r="I37" s="1082"/>
      <c r="J37" s="1082"/>
      <c r="K37" s="1082"/>
      <c r="L37" s="1082"/>
      <c r="M37" s="137"/>
      <c r="N37" s="138">
        <f>M34*N36</f>
        <v>0.43265859079053465</v>
      </c>
    </row>
    <row r="38" spans="1:22" s="90" customFormat="1" ht="16" customHeight="1">
      <c r="A38" s="142"/>
      <c r="B38" s="142"/>
      <c r="C38" s="142"/>
      <c r="D38" s="142"/>
      <c r="E38" s="143"/>
      <c r="F38" s="142"/>
      <c r="G38" s="142"/>
      <c r="H38" s="142"/>
      <c r="I38" s="142"/>
      <c r="J38" s="142"/>
      <c r="K38" s="142"/>
      <c r="L38" s="142"/>
      <c r="M38" s="142"/>
      <c r="N38" s="142"/>
    </row>
    <row r="39" spans="1:22" s="90" customFormat="1" ht="16" customHeight="1"/>
    <row r="40" spans="1:22" s="90" customFormat="1" ht="16" customHeight="1"/>
    <row r="41" spans="1:22" s="90" customFormat="1" ht="16" customHeight="1"/>
    <row r="42" spans="1:22" s="90" customFormat="1" ht="16" customHeight="1">
      <c r="A42" s="1073"/>
      <c r="B42" s="1073"/>
    </row>
    <row r="43" spans="1:22" s="90" customFormat="1" ht="16" customHeight="1">
      <c r="A43" s="1073"/>
      <c r="B43" s="1073"/>
      <c r="C43" s="89"/>
      <c r="D43" s="89"/>
      <c r="E43" s="89"/>
      <c r="F43" s="89"/>
      <c r="G43" s="89"/>
      <c r="H43" s="89"/>
      <c r="I43" s="89"/>
      <c r="J43" s="89"/>
      <c r="K43" s="89"/>
      <c r="M43" s="89"/>
      <c r="N43" s="89"/>
      <c r="O43" s="89"/>
    </row>
    <row r="44" spans="1:22" s="90" customFormat="1" ht="16" customHeight="1">
      <c r="A44" s="1072"/>
      <c r="B44" s="1072"/>
      <c r="C44" s="79"/>
      <c r="D44" s="79"/>
      <c r="E44" s="79"/>
      <c r="F44" s="79"/>
      <c r="G44" s="79"/>
      <c r="H44" s="79"/>
      <c r="I44" s="79"/>
      <c r="J44" s="144"/>
      <c r="K44" s="79"/>
      <c r="M44" s="145"/>
      <c r="N44" s="89"/>
      <c r="O44" s="145"/>
    </row>
    <row r="45" spans="1:22" s="90" customFormat="1" ht="16" customHeight="1">
      <c r="A45" s="1072"/>
      <c r="B45" s="1072"/>
      <c r="C45" s="79"/>
      <c r="D45" s="79"/>
      <c r="E45" s="79"/>
      <c r="F45" s="79"/>
      <c r="G45" s="79"/>
      <c r="H45" s="79"/>
      <c r="I45" s="146"/>
      <c r="J45" s="147"/>
      <c r="K45" s="146"/>
      <c r="L45" s="91"/>
      <c r="M45" s="148"/>
      <c r="N45" s="148"/>
      <c r="O45" s="148"/>
    </row>
    <row r="46" spans="1:22" s="90" customFormat="1" ht="16" customHeight="1">
      <c r="A46" s="1072"/>
      <c r="B46" s="1072"/>
      <c r="C46" s="79"/>
      <c r="D46" s="79"/>
      <c r="E46" s="79"/>
      <c r="F46" s="79"/>
      <c r="G46" s="79"/>
      <c r="H46" s="79"/>
      <c r="I46" s="146"/>
      <c r="J46" s="147"/>
      <c r="K46" s="146"/>
      <c r="L46" s="91"/>
      <c r="M46" s="91"/>
      <c r="N46" s="91"/>
      <c r="O46" s="91"/>
    </row>
    <row r="47" spans="1:22" s="90" customFormat="1" ht="16" customHeight="1">
      <c r="A47" s="1072"/>
      <c r="B47" s="1072"/>
      <c r="C47" s="79"/>
      <c r="D47" s="79"/>
      <c r="E47" s="79"/>
      <c r="F47" s="79"/>
      <c r="G47" s="79"/>
      <c r="H47" s="79"/>
      <c r="I47" s="146"/>
      <c r="J47" s="147"/>
      <c r="K47" s="146"/>
      <c r="L47" s="91"/>
      <c r="M47" s="91"/>
      <c r="N47" s="91"/>
      <c r="O47" s="91"/>
    </row>
    <row r="48" spans="1:22" s="90" customFormat="1" ht="16" customHeight="1">
      <c r="A48" s="1072"/>
      <c r="B48" s="1072"/>
      <c r="C48" s="146"/>
      <c r="D48" s="146"/>
      <c r="E48" s="146"/>
      <c r="F48" s="146"/>
      <c r="G48" s="146"/>
      <c r="H48" s="146"/>
      <c r="I48" s="146"/>
      <c r="J48" s="147"/>
      <c r="K48" s="146"/>
      <c r="L48" s="91"/>
      <c r="M48" s="91"/>
      <c r="N48" s="91"/>
      <c r="O48" s="91"/>
      <c r="P48" s="91"/>
      <c r="Q48" s="91"/>
    </row>
    <row r="49" spans="1:17" s="90" customFormat="1" ht="16" customHeight="1">
      <c r="A49" s="1072"/>
      <c r="B49" s="1072"/>
      <c r="C49" s="72"/>
      <c r="D49" s="72"/>
      <c r="E49" s="146"/>
      <c r="F49" s="146"/>
      <c r="G49" s="146"/>
      <c r="H49" s="146"/>
      <c r="I49" s="146"/>
      <c r="J49" s="147"/>
      <c r="K49" s="146"/>
      <c r="L49" s="91"/>
      <c r="M49" s="91"/>
      <c r="N49" s="91"/>
      <c r="O49" s="91"/>
      <c r="P49" s="91"/>
      <c r="Q49" s="91"/>
    </row>
    <row r="50" spans="1:17" s="91" customFormat="1" ht="16" customHeight="1">
      <c r="A50" s="1080"/>
      <c r="B50" s="1080"/>
      <c r="C50" s="72"/>
      <c r="D50" s="72"/>
      <c r="E50" s="146"/>
      <c r="F50" s="146"/>
      <c r="G50" s="146"/>
      <c r="H50" s="146"/>
      <c r="I50" s="146"/>
      <c r="J50" s="147"/>
      <c r="K50" s="146"/>
    </row>
    <row r="51" spans="1:17" s="91" customFormat="1" ht="16" customHeight="1">
      <c r="A51" s="1080"/>
      <c r="B51" s="1080"/>
      <c r="C51" s="72"/>
      <c r="D51" s="72"/>
      <c r="E51" s="146"/>
      <c r="F51" s="146"/>
      <c r="G51" s="146"/>
      <c r="H51" s="146"/>
      <c r="I51" s="146"/>
      <c r="J51" s="147"/>
      <c r="K51" s="146"/>
    </row>
    <row r="52" spans="1:17" s="91" customFormat="1" ht="16" customHeight="1">
      <c r="A52" s="1080"/>
      <c r="B52" s="1080"/>
      <c r="C52" s="72"/>
      <c r="D52" s="72"/>
      <c r="E52" s="146"/>
      <c r="F52" s="146"/>
      <c r="G52" s="146"/>
      <c r="H52" s="146"/>
      <c r="I52" s="146"/>
      <c r="J52" s="147"/>
      <c r="K52" s="146"/>
    </row>
    <row r="53" spans="1:17" s="90" customFormat="1" ht="16" customHeight="1">
      <c r="A53" s="1072"/>
      <c r="B53" s="1072"/>
      <c r="C53" s="72"/>
      <c r="D53" s="72"/>
      <c r="E53" s="146"/>
      <c r="F53" s="146"/>
      <c r="G53" s="146"/>
      <c r="H53" s="146"/>
      <c r="I53" s="146"/>
      <c r="J53" s="147"/>
      <c r="K53" s="146"/>
      <c r="L53" s="91"/>
      <c r="M53" s="91"/>
      <c r="N53" s="91"/>
      <c r="O53" s="91"/>
      <c r="P53" s="91"/>
      <c r="Q53" s="91"/>
    </row>
    <row r="54" spans="1:17" s="90" customFormat="1" ht="16" customHeight="1">
      <c r="A54" s="1073"/>
      <c r="B54" s="1073"/>
      <c r="C54" s="89"/>
      <c r="D54" s="89"/>
      <c r="E54" s="89"/>
      <c r="F54" s="89"/>
      <c r="G54" s="89"/>
      <c r="H54" s="89"/>
      <c r="I54" s="148"/>
      <c r="J54" s="91"/>
      <c r="K54" s="148"/>
      <c r="L54" s="91"/>
      <c r="M54" s="91"/>
      <c r="N54" s="91"/>
      <c r="O54" s="91"/>
      <c r="P54" s="91"/>
      <c r="Q54" s="91"/>
    </row>
    <row r="55" spans="1:17" s="90" customFormat="1" ht="16" customHeight="1">
      <c r="I55" s="91"/>
      <c r="J55" s="91"/>
      <c r="K55" s="91"/>
      <c r="L55" s="91"/>
      <c r="M55" s="91"/>
      <c r="N55" s="91"/>
      <c r="O55" s="91"/>
      <c r="P55" s="91"/>
      <c r="Q55" s="91"/>
    </row>
    <row r="56" spans="1:17" s="90" customFormat="1" ht="16" customHeight="1">
      <c r="I56" s="91"/>
      <c r="J56" s="91"/>
      <c r="K56" s="91"/>
      <c r="L56" s="91"/>
      <c r="M56" s="91"/>
      <c r="N56" s="91"/>
      <c r="O56" s="91"/>
      <c r="P56" s="91"/>
      <c r="Q56" s="91"/>
    </row>
    <row r="57" spans="1:17" s="90" customFormat="1" ht="16" customHeight="1">
      <c r="I57" s="91"/>
      <c r="J57" s="91"/>
      <c r="K57" s="91"/>
      <c r="L57" s="91"/>
      <c r="M57" s="91"/>
      <c r="N57" s="91"/>
      <c r="O57" s="91"/>
      <c r="P57" s="91"/>
      <c r="Q57" s="91"/>
    </row>
    <row r="58" spans="1:17" s="90" customFormat="1" ht="16" customHeight="1">
      <c r="I58" s="91"/>
      <c r="J58" s="91"/>
      <c r="K58" s="91"/>
      <c r="L58" s="91"/>
      <c r="M58" s="91"/>
      <c r="N58" s="91"/>
      <c r="O58" s="91"/>
      <c r="P58" s="91"/>
      <c r="Q58" s="91"/>
    </row>
    <row r="59" spans="1:17" s="90" customFormat="1" ht="16" customHeight="1">
      <c r="I59" s="91"/>
      <c r="J59" s="91"/>
      <c r="K59" s="91"/>
      <c r="L59" s="91"/>
      <c r="M59" s="91"/>
      <c r="N59" s="91"/>
      <c r="O59" s="91"/>
      <c r="P59" s="91"/>
      <c r="Q59" s="91"/>
    </row>
    <row r="60" spans="1:17" ht="16" customHeight="1">
      <c r="I60" s="70"/>
      <c r="J60" s="70"/>
      <c r="K60" s="70"/>
      <c r="L60" s="70"/>
      <c r="M60" s="91"/>
      <c r="N60" s="91"/>
      <c r="O60" s="91"/>
      <c r="P60" s="91"/>
      <c r="Q60" s="91"/>
    </row>
    <row r="61" spans="1:17" ht="16" customHeight="1">
      <c r="I61" s="70"/>
      <c r="J61" s="70"/>
      <c r="K61" s="70"/>
      <c r="L61" s="70"/>
      <c r="M61" s="91"/>
      <c r="N61" s="91"/>
      <c r="O61" s="91"/>
      <c r="P61" s="91"/>
      <c r="Q61" s="91"/>
    </row>
    <row r="62" spans="1:17" ht="16" customHeight="1">
      <c r="I62" s="70"/>
      <c r="J62" s="70"/>
      <c r="K62" s="70"/>
      <c r="L62" s="70"/>
      <c r="M62" s="91"/>
      <c r="N62" s="91"/>
      <c r="O62" s="91"/>
      <c r="P62" s="91"/>
      <c r="Q62" s="91"/>
    </row>
    <row r="63" spans="1:17" ht="16" customHeight="1">
      <c r="I63" s="70"/>
      <c r="J63" s="70"/>
      <c r="K63" s="70"/>
      <c r="L63" s="70"/>
      <c r="M63" s="91"/>
      <c r="N63" s="91"/>
      <c r="O63" s="91"/>
      <c r="P63" s="91"/>
      <c r="Q63" s="91"/>
    </row>
    <row r="64" spans="1:17" ht="16" customHeight="1">
      <c r="I64" s="70"/>
      <c r="J64" s="70"/>
      <c r="K64" s="70"/>
      <c r="L64" s="70"/>
      <c r="M64" s="91"/>
      <c r="N64" s="91"/>
      <c r="O64" s="91"/>
      <c r="P64" s="91"/>
      <c r="Q64" s="91"/>
    </row>
    <row r="65" spans="9:17" ht="16" customHeight="1">
      <c r="I65" s="70"/>
      <c r="J65" s="70"/>
      <c r="K65" s="70"/>
      <c r="L65" s="70"/>
      <c r="M65" s="91"/>
      <c r="N65" s="91"/>
      <c r="O65" s="91"/>
      <c r="P65" s="91"/>
      <c r="Q65" s="91"/>
    </row>
    <row r="66" spans="9:17" ht="16" customHeight="1">
      <c r="I66" s="70"/>
      <c r="J66" s="70"/>
      <c r="K66" s="70"/>
      <c r="L66" s="70"/>
      <c r="M66" s="148"/>
      <c r="N66" s="148"/>
      <c r="O66" s="148"/>
    </row>
    <row r="67" spans="9:17" ht="16" customHeight="1">
      <c r="I67" s="70"/>
      <c r="J67" s="70"/>
      <c r="K67" s="70"/>
      <c r="L67" s="70"/>
      <c r="M67" s="149"/>
      <c r="N67" s="148"/>
      <c r="O67" s="149"/>
    </row>
    <row r="68" spans="9:17" ht="16" customHeight="1">
      <c r="I68" s="70"/>
      <c r="J68" s="70"/>
      <c r="K68" s="70"/>
      <c r="L68" s="70"/>
      <c r="M68" s="148"/>
      <c r="N68" s="148"/>
      <c r="O68" s="148"/>
    </row>
    <row r="69" spans="9:17" ht="16" customHeight="1">
      <c r="I69" s="70"/>
      <c r="J69" s="70"/>
      <c r="K69" s="70"/>
      <c r="L69" s="70"/>
      <c r="M69" s="70"/>
      <c r="N69" s="70"/>
      <c r="O69" s="70"/>
    </row>
    <row r="70" spans="9:17">
      <c r="I70" s="70"/>
      <c r="J70" s="70"/>
      <c r="K70" s="70"/>
      <c r="L70" s="70"/>
      <c r="M70" s="1074"/>
      <c r="N70" s="1074"/>
      <c r="O70" s="1074"/>
    </row>
    <row r="71" spans="9:17">
      <c r="I71" s="70"/>
      <c r="J71" s="70"/>
      <c r="K71" s="70"/>
      <c r="L71" s="70"/>
      <c r="M71" s="148"/>
      <c r="N71" s="148"/>
      <c r="O71" s="148"/>
    </row>
    <row r="72" spans="9:17">
      <c r="I72" s="70"/>
      <c r="J72" s="70"/>
      <c r="K72" s="70"/>
      <c r="L72" s="70"/>
      <c r="M72" s="149"/>
      <c r="N72" s="148"/>
      <c r="O72" s="149"/>
    </row>
    <row r="73" spans="9:17">
      <c r="I73" s="70"/>
      <c r="J73" s="70"/>
      <c r="K73" s="70"/>
      <c r="L73" s="70"/>
      <c r="M73" s="148"/>
      <c r="N73" s="148"/>
      <c r="O73" s="148"/>
    </row>
    <row r="74" spans="9:17">
      <c r="I74" s="70"/>
      <c r="J74" s="70"/>
      <c r="K74" s="70"/>
      <c r="L74" s="70"/>
      <c r="M74" s="70"/>
      <c r="N74" s="70"/>
      <c r="O74" s="70"/>
    </row>
    <row r="75" spans="9:17">
      <c r="I75" s="70"/>
      <c r="J75" s="70"/>
      <c r="K75" s="70"/>
      <c r="L75" s="70"/>
      <c r="M75" s="1074"/>
      <c r="N75" s="1074"/>
      <c r="O75" s="1074"/>
    </row>
    <row r="76" spans="9:17">
      <c r="I76" s="70"/>
      <c r="J76" s="70"/>
      <c r="K76" s="70"/>
      <c r="L76" s="70"/>
      <c r="M76" s="148"/>
      <c r="N76" s="148"/>
      <c r="O76" s="148"/>
    </row>
    <row r="77" spans="9:17">
      <c r="I77" s="70"/>
      <c r="J77" s="70"/>
      <c r="K77" s="70"/>
      <c r="L77" s="70"/>
      <c r="M77" s="149"/>
      <c r="N77" s="148"/>
      <c r="O77" s="149"/>
    </row>
    <row r="78" spans="9:17">
      <c r="I78" s="70"/>
      <c r="J78" s="70"/>
      <c r="K78" s="70"/>
      <c r="L78" s="70"/>
      <c r="M78" s="148"/>
      <c r="N78" s="148"/>
      <c r="O78" s="148"/>
    </row>
    <row r="79" spans="9:17">
      <c r="I79" s="70"/>
      <c r="J79" s="70"/>
      <c r="K79" s="70"/>
      <c r="L79" s="70"/>
      <c r="M79" s="70"/>
      <c r="N79" s="70"/>
      <c r="O79" s="70"/>
    </row>
    <row r="80" spans="9:17">
      <c r="I80" s="70"/>
      <c r="J80" s="70"/>
      <c r="K80" s="70"/>
      <c r="L80" s="70"/>
      <c r="M80" s="70"/>
      <c r="N80" s="70"/>
      <c r="O80" s="70"/>
    </row>
    <row r="88" spans="1:8">
      <c r="A88" s="150"/>
      <c r="H88" s="150"/>
    </row>
  </sheetData>
  <sheetProtection algorithmName="SHA-512" hashValue="zvi0eX3+ia4VaAxBWXJpsZ6jt6VuhW0zfxM1ySCYMtzjQwcrN/q1W4W3XLbVw2+2p0B3yWjpIM1jG4wE8Np4cg==" saltValue="wS6IwthZe6VuWbW+omHZlg==" spinCount="100000" sheet="1" objects="1" scenarios="1"/>
  <mergeCells count="57">
    <mergeCell ref="A2:N2"/>
    <mergeCell ref="A10:C10"/>
    <mergeCell ref="A11:C11"/>
    <mergeCell ref="A12:C12"/>
    <mergeCell ref="A13:C13"/>
    <mergeCell ref="L7:L8"/>
    <mergeCell ref="M7:M8"/>
    <mergeCell ref="N7:N8"/>
    <mergeCell ref="I7:J8"/>
    <mergeCell ref="A7:C8"/>
    <mergeCell ref="A14:C14"/>
    <mergeCell ref="A15:C15"/>
    <mergeCell ref="A16:C16"/>
    <mergeCell ref="H17:L17"/>
    <mergeCell ref="H18:L18"/>
    <mergeCell ref="H19:L19"/>
    <mergeCell ref="H20:L20"/>
    <mergeCell ref="A23:N23"/>
    <mergeCell ref="Q26:T26"/>
    <mergeCell ref="A30:C30"/>
    <mergeCell ref="L26:L27"/>
    <mergeCell ref="M26:M27"/>
    <mergeCell ref="N26:N27"/>
    <mergeCell ref="A26:C27"/>
    <mergeCell ref="I26:J27"/>
    <mergeCell ref="A31:C31"/>
    <mergeCell ref="A33:C33"/>
    <mergeCell ref="H34:L34"/>
    <mergeCell ref="H35:L35"/>
    <mergeCell ref="H36:L36"/>
    <mergeCell ref="H37:L37"/>
    <mergeCell ref="A44:B44"/>
    <mergeCell ref="A45:B45"/>
    <mergeCell ref="A46:B46"/>
    <mergeCell ref="A47:B47"/>
    <mergeCell ref="A42:B43"/>
    <mergeCell ref="A48:B48"/>
    <mergeCell ref="A49:B49"/>
    <mergeCell ref="A50:B50"/>
    <mergeCell ref="A51:B51"/>
    <mergeCell ref="A52:B52"/>
    <mergeCell ref="A53:B53"/>
    <mergeCell ref="A54:B54"/>
    <mergeCell ref="M70:O70"/>
    <mergeCell ref="M75:O75"/>
    <mergeCell ref="D7:D8"/>
    <mergeCell ref="D26:D27"/>
    <mergeCell ref="E7:E8"/>
    <mergeCell ref="E26:E27"/>
    <mergeCell ref="F7:F8"/>
    <mergeCell ref="F26:F27"/>
    <mergeCell ref="G7:G8"/>
    <mergeCell ref="G26:G27"/>
    <mergeCell ref="H7:H8"/>
    <mergeCell ref="H26:H27"/>
    <mergeCell ref="K7:K8"/>
    <mergeCell ref="K26:K27"/>
  </mergeCells>
  <printOptions horizontalCentered="1"/>
  <pageMargins left="0.499305555555556" right="0.249305555555556" top="0.499305555555556" bottom="0.249305555555556" header="0.249305555555556" footer="0.249305555555556"/>
  <pageSetup paperSize="9" scale="65" orientation="portrait" r:id="rId1"/>
  <headerFooter>
    <oddHeader>&amp;R&amp;"-,Regular"&amp;8SH.UB - 028-18 / Rev  : 0</oddHeader>
    <oddFooter>&amp;C&amp;"-,Regular"&amp;8&amp;K00-022Software Laboratorium Incubator 2017&amp;R&amp;K00-03422/9/2017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A1:AH72"/>
  <sheetViews>
    <sheetView showGridLines="0" view="pageBreakPreview" topLeftCell="A43" zoomScale="91" zoomScaleNormal="100" zoomScaleSheetLayoutView="91" workbookViewId="0">
      <selection activeCell="G62" sqref="G62"/>
    </sheetView>
  </sheetViews>
  <sheetFormatPr defaultColWidth="9" defaultRowHeight="14.5"/>
  <cols>
    <col min="1" max="1" width="4.7265625" style="44" customWidth="1"/>
    <col min="2" max="2" width="12.26953125" style="44" customWidth="1"/>
    <col min="3" max="3" width="12.7265625" style="44" customWidth="1"/>
    <col min="4" max="4" width="14.7265625" style="44" customWidth="1"/>
    <col min="5" max="6" width="12.1796875" style="44" customWidth="1"/>
    <col min="7" max="7" width="11.453125" style="44" customWidth="1"/>
    <col min="8" max="8" width="8.7265625" style="44" customWidth="1"/>
    <col min="9" max="9" width="7.81640625" style="44" customWidth="1"/>
    <col min="10" max="10" width="8.54296875" style="44" customWidth="1"/>
    <col min="11" max="11" width="7.1796875" style="44" customWidth="1"/>
    <col min="12" max="12" width="10" style="44" customWidth="1"/>
    <col min="13" max="13" width="24.453125" style="44" customWidth="1"/>
    <col min="14" max="14" width="13.81640625" style="44" customWidth="1"/>
    <col min="15" max="15" width="11.81640625" style="44" customWidth="1"/>
    <col min="16" max="16" width="9.26953125" style="44" customWidth="1"/>
    <col min="17" max="17" width="15.453125" style="44" customWidth="1"/>
    <col min="18" max="18" width="16.1796875" style="44" customWidth="1"/>
    <col min="19" max="258" width="9.1796875" style="44" customWidth="1"/>
    <col min="259" max="16384" width="9" style="44"/>
  </cols>
  <sheetData>
    <row r="1" spans="1:34" s="3" customFormat="1" ht="19.5" customHeight="1">
      <c r="A1" s="962" t="s">
        <v>300</v>
      </c>
      <c r="B1" s="962"/>
      <c r="C1" s="962"/>
      <c r="D1" s="962"/>
      <c r="E1" s="962"/>
      <c r="F1" s="962"/>
      <c r="G1" s="962"/>
      <c r="H1" s="962"/>
      <c r="I1" s="962"/>
      <c r="J1" s="962"/>
      <c r="K1" s="962"/>
      <c r="L1" s="962"/>
      <c r="M1" s="151"/>
    </row>
    <row r="2" spans="1:34" s="3" customFormat="1" ht="18.75" customHeight="1">
      <c r="A2" s="1129" t="str">
        <f ca="1">ID!A2&amp;" "&amp;ID!I2</f>
        <v>Nomor Sertifikat : 30 / 1 / I - 23 / E - 123 DL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  <c r="L2" s="1129"/>
      <c r="M2" s="70"/>
    </row>
    <row r="3" spans="1:34" ht="15.75" customHeight="1">
      <c r="C3" s="63"/>
      <c r="D3" s="63"/>
      <c r="E3" s="63"/>
      <c r="F3" s="63"/>
      <c r="G3" s="63"/>
      <c r="H3" s="63"/>
      <c r="I3" s="63"/>
      <c r="J3" s="63"/>
      <c r="K3" s="6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4" s="3" customFormat="1" ht="15.75" customHeight="1">
      <c r="A4" s="70" t="s">
        <v>301</v>
      </c>
      <c r="D4" s="71" t="s">
        <v>3</v>
      </c>
      <c r="E4" s="69" t="str">
        <f>ID!D5</f>
        <v>memmert</v>
      </c>
      <c r="J4" s="71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pans="1:34" s="3" customFormat="1" ht="15.75" customHeight="1">
      <c r="A5" s="70" t="s">
        <v>302</v>
      </c>
      <c r="D5" s="71" t="s">
        <v>3</v>
      </c>
      <c r="E5" s="69" t="str">
        <f>ID!D6</f>
        <v>INB 400</v>
      </c>
      <c r="J5" s="71"/>
      <c r="R5" s="1114" t="str">
        <f>IF(H27="-",U13,ID!Q19)</f>
        <v>NG</v>
      </c>
      <c r="S5" s="1114"/>
      <c r="T5" s="1075" t="s">
        <v>43</v>
      </c>
      <c r="U5" s="1075" t="s">
        <v>303</v>
      </c>
      <c r="V5" s="1075" t="s">
        <v>304</v>
      </c>
      <c r="X5" s="1115" t="str">
        <f>IF(H25="-",X8,IF(OR(H27="-",R5=U13),X6,IF(OR(U7&gt;V7,C27=X14),"",IF(H27&gt;J27,X7,""))))</f>
        <v>Tidak terdapat grounding di ruangan</v>
      </c>
      <c r="Y5" s="1115"/>
      <c r="Z5" s="1115"/>
      <c r="AA5" s="1115"/>
      <c r="AB5" s="1115"/>
      <c r="AC5" s="1115"/>
      <c r="AD5" s="1115"/>
      <c r="AE5" s="1115"/>
      <c r="AF5" s="1115"/>
      <c r="AG5" s="18"/>
      <c r="AH5" s="18"/>
    </row>
    <row r="6" spans="1:34" s="3" customFormat="1" ht="15.75" customHeight="1">
      <c r="A6" s="70" t="s">
        <v>305</v>
      </c>
      <c r="D6" s="71" t="s">
        <v>3</v>
      </c>
      <c r="E6" s="69" t="str">
        <f>ID!D7</f>
        <v>E406.0655</v>
      </c>
      <c r="J6" s="71"/>
      <c r="R6" s="1114"/>
      <c r="S6" s="1114"/>
      <c r="T6" s="1075"/>
      <c r="U6" s="1075"/>
      <c r="V6" s="1075"/>
      <c r="X6" s="1104" t="s">
        <v>306</v>
      </c>
      <c r="Y6" s="1104"/>
      <c r="Z6" s="1104"/>
      <c r="AA6" s="1104"/>
      <c r="AB6" s="1104"/>
      <c r="AC6" s="1104"/>
      <c r="AD6" s="1104"/>
      <c r="AE6" s="1104"/>
      <c r="AF6" s="1104"/>
      <c r="AG6" s="18"/>
      <c r="AH6" s="18"/>
    </row>
    <row r="7" spans="1:34" s="3" customFormat="1" ht="15.75" customHeight="1">
      <c r="A7" s="70" t="s">
        <v>6</v>
      </c>
      <c r="D7" s="71" t="s">
        <v>3</v>
      </c>
      <c r="E7" s="69" t="str">
        <f>ID!I8</f>
        <v>0.1</v>
      </c>
      <c r="F7" s="70" t="str">
        <f>ID!E8</f>
        <v>°C</v>
      </c>
      <c r="G7" s="70"/>
      <c r="H7" s="70"/>
      <c r="I7" s="71"/>
      <c r="R7" s="86" t="s">
        <v>307</v>
      </c>
      <c r="S7" s="697" t="s">
        <v>308</v>
      </c>
      <c r="T7" s="698">
        <f>ID!S20</f>
        <v>105</v>
      </c>
      <c r="U7" s="699">
        <f>'DB Kelistrikan'!O272</f>
        <v>109.99848128259494</v>
      </c>
      <c r="V7" s="700">
        <v>100</v>
      </c>
      <c r="X7" s="1104" t="s">
        <v>113</v>
      </c>
      <c r="Y7" s="1104"/>
      <c r="Z7" s="1104"/>
      <c r="AA7" s="1104"/>
      <c r="AB7" s="1104"/>
      <c r="AC7" s="1104"/>
      <c r="AD7" s="1104"/>
      <c r="AE7" s="1104"/>
      <c r="AF7" s="1104"/>
      <c r="AG7" s="18"/>
      <c r="AH7" s="18"/>
    </row>
    <row r="8" spans="1:34" s="3" customFormat="1" ht="15.75" customHeight="1">
      <c r="A8" s="70" t="s">
        <v>309</v>
      </c>
      <c r="D8" s="71" t="s">
        <v>3</v>
      </c>
      <c r="E8" s="21" t="str">
        <f>ID!D9</f>
        <v>20 Mei 2019</v>
      </c>
      <c r="G8" s="70"/>
      <c r="H8" s="70"/>
      <c r="I8" s="71"/>
      <c r="X8" s="3" t="s">
        <v>310</v>
      </c>
      <c r="AG8" s="18"/>
      <c r="AH8" s="18"/>
    </row>
    <row r="9" spans="1:34" s="3" customFormat="1" ht="15.75" customHeight="1">
      <c r="A9" s="70" t="s">
        <v>8</v>
      </c>
      <c r="D9" s="71" t="s">
        <v>3</v>
      </c>
      <c r="E9" s="21" t="str">
        <f>ID!D10</f>
        <v>20 Mei 2021</v>
      </c>
      <c r="G9" s="70"/>
      <c r="H9" s="70"/>
      <c r="I9" s="71"/>
      <c r="AG9" s="18"/>
      <c r="AH9" s="18"/>
    </row>
    <row r="10" spans="1:34" s="3" customFormat="1" ht="15.75" customHeight="1">
      <c r="A10" s="70" t="s">
        <v>311</v>
      </c>
      <c r="D10" s="71" t="s">
        <v>3</v>
      </c>
      <c r="E10" s="21" t="str">
        <f>ID!D11</f>
        <v>Laboratorium</v>
      </c>
      <c r="G10" s="70"/>
      <c r="H10" s="70"/>
      <c r="I10" s="71"/>
      <c r="X10" s="1105" t="s">
        <v>312</v>
      </c>
      <c r="Y10" s="1106"/>
      <c r="Z10" s="1106"/>
      <c r="AA10" s="1106"/>
      <c r="AB10" s="1106"/>
      <c r="AC10" s="1106"/>
      <c r="AD10" s="1107"/>
      <c r="AG10" s="18"/>
      <c r="AH10" s="18"/>
    </row>
    <row r="11" spans="1:34" s="3" customFormat="1" ht="15.75" customHeight="1">
      <c r="A11" s="70" t="s">
        <v>313</v>
      </c>
      <c r="D11" s="71" t="s">
        <v>3</v>
      </c>
      <c r="E11" s="21" t="str">
        <f>ID!D12</f>
        <v>Laboratorium</v>
      </c>
      <c r="G11" s="70"/>
      <c r="H11" s="70"/>
      <c r="I11" s="71"/>
      <c r="R11" s="1075" t="s">
        <v>314</v>
      </c>
      <c r="S11" s="1108" t="s">
        <v>304</v>
      </c>
      <c r="U11" s="86" t="s">
        <v>315</v>
      </c>
      <c r="X11" s="701" t="s">
        <v>316</v>
      </c>
      <c r="Y11" s="702"/>
      <c r="Z11" s="702"/>
      <c r="AA11" s="702"/>
      <c r="AB11" s="702"/>
      <c r="AC11" s="703"/>
      <c r="AD11" s="850">
        <v>0.2</v>
      </c>
      <c r="AE11" s="3" t="s">
        <v>317</v>
      </c>
      <c r="AF11" s="704"/>
      <c r="AG11" s="18"/>
      <c r="AH11" s="18"/>
    </row>
    <row r="12" spans="1:34" s="3" customFormat="1" ht="15.75" customHeight="1">
      <c r="A12" s="70" t="s">
        <v>201</v>
      </c>
      <c r="D12" s="71" t="s">
        <v>3</v>
      </c>
      <c r="E12" s="69" t="str">
        <f>ID!D13</f>
        <v xml:space="preserve">MK 028-18 </v>
      </c>
      <c r="G12" s="70"/>
      <c r="H12" s="70"/>
      <c r="I12" s="71"/>
      <c r="R12" s="1075"/>
      <c r="S12" s="1109"/>
      <c r="U12" s="86" t="s">
        <v>205</v>
      </c>
      <c r="X12" s="705" t="s">
        <v>318</v>
      </c>
      <c r="Y12" s="706"/>
      <c r="Z12" s="706"/>
      <c r="AA12" s="706"/>
      <c r="AB12" s="706"/>
      <c r="AC12" s="707"/>
      <c r="AD12" s="850">
        <v>0.3</v>
      </c>
      <c r="AE12" s="3" t="s">
        <v>319</v>
      </c>
      <c r="AF12" s="704"/>
      <c r="AG12" s="18"/>
      <c r="AH12" s="18"/>
    </row>
    <row r="13" spans="1:34" s="3" customFormat="1" ht="17.149999999999999" customHeight="1">
      <c r="C13" s="70"/>
      <c r="D13" s="70"/>
      <c r="E13" s="1136"/>
      <c r="F13" s="1136"/>
      <c r="G13" s="1136"/>
      <c r="H13" s="1136"/>
      <c r="I13" s="1136"/>
      <c r="J13" s="1136"/>
      <c r="K13" s="1136"/>
      <c r="L13" s="1136"/>
      <c r="R13" s="699" t="str">
        <f>IF(OR(T7="",C27=X14,R5=U13),H27,IF(H27&gt;J27,U7,H27))</f>
        <v>-</v>
      </c>
      <c r="S13" s="710">
        <f>IF(OR(T7="",C27=X14,R5=U13),J27,IF(H27&gt;J27,V7,J27))</f>
        <v>500</v>
      </c>
      <c r="U13" s="86" t="s">
        <v>215</v>
      </c>
      <c r="X13" s="708" t="s">
        <v>42</v>
      </c>
      <c r="Y13" s="709"/>
      <c r="Z13" s="709"/>
      <c r="AA13" s="709"/>
      <c r="AB13" s="709"/>
      <c r="AC13" s="707"/>
      <c r="AD13" s="850">
        <v>500</v>
      </c>
      <c r="AE13" s="704"/>
      <c r="AF13" s="704"/>
      <c r="AG13" s="18"/>
      <c r="AH13" s="18"/>
    </row>
    <row r="14" spans="1:34" s="3" customFormat="1" ht="15.75" customHeight="1">
      <c r="A14" s="90" t="s">
        <v>11</v>
      </c>
      <c r="B14" s="91" t="s">
        <v>12</v>
      </c>
      <c r="D14" s="91"/>
      <c r="F14" s="87"/>
      <c r="G14" s="72"/>
      <c r="H14" s="70"/>
      <c r="I14" s="70"/>
      <c r="J14" s="70"/>
      <c r="K14" s="70"/>
      <c r="X14" s="708" t="s">
        <v>211</v>
      </c>
      <c r="Y14" s="709"/>
      <c r="Z14" s="709"/>
      <c r="AA14" s="709"/>
      <c r="AB14" s="709"/>
      <c r="AC14" s="707"/>
      <c r="AD14" s="850">
        <v>100</v>
      </c>
      <c r="AE14" s="704"/>
      <c r="AF14" s="704"/>
      <c r="AG14" s="18"/>
      <c r="AH14" s="18"/>
    </row>
    <row r="15" spans="1:34" s="3" customFormat="1" ht="15.75" customHeight="1">
      <c r="B15" s="94" t="s">
        <v>320</v>
      </c>
      <c r="D15" s="71" t="s">
        <v>3</v>
      </c>
      <c r="E15" s="733" t="str">
        <f>'DB Thermo'!T381</f>
        <v>( 25.4 ± 0.6 ) °C</v>
      </c>
      <c r="F15" s="734"/>
      <c r="G15" s="735"/>
      <c r="H15" s="736"/>
      <c r="I15" s="737"/>
      <c r="J15" s="737"/>
      <c r="K15" s="737"/>
      <c r="L15" s="737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s="3" customFormat="1" ht="15.75" customHeight="1">
      <c r="B16" s="94" t="s">
        <v>129</v>
      </c>
      <c r="D16" s="71" t="s">
        <v>3</v>
      </c>
      <c r="E16" s="733" t="str">
        <f>'DB Thermo'!T382</f>
        <v>( 61.3 ± 2.3 ) %RH</v>
      </c>
      <c r="F16" s="738"/>
      <c r="G16" s="737"/>
      <c r="H16" s="736"/>
      <c r="I16" s="737"/>
      <c r="J16" s="737"/>
      <c r="K16" s="737"/>
      <c r="L16" s="737"/>
    </row>
    <row r="17" spans="1:24" s="3" customFormat="1" ht="15.75" customHeight="1">
      <c r="B17" s="94" t="s">
        <v>19</v>
      </c>
      <c r="D17" s="71" t="s">
        <v>3</v>
      </c>
      <c r="E17" s="1137" t="str">
        <f>'DB Kelistrikan'!H274</f>
        <v>( 204.6 ± 2.0 ) Volt</v>
      </c>
      <c r="F17" s="1137"/>
      <c r="G17" s="70"/>
      <c r="H17" s="87"/>
    </row>
    <row r="18" spans="1:24" s="3" customFormat="1" ht="9" customHeight="1">
      <c r="C18" s="90"/>
      <c r="D18" s="90"/>
      <c r="E18" s="90"/>
      <c r="F18" s="70"/>
      <c r="K18" s="73"/>
    </row>
    <row r="19" spans="1:24" s="3" customFormat="1" ht="15.75" customHeight="1">
      <c r="A19" s="90" t="s">
        <v>21</v>
      </c>
      <c r="B19" s="90" t="s">
        <v>22</v>
      </c>
      <c r="H19" s="73"/>
      <c r="J19" s="69"/>
    </row>
    <row r="20" spans="1:24" s="3" customFormat="1" ht="15.75" customHeight="1">
      <c r="B20" s="69" t="s">
        <v>321</v>
      </c>
      <c r="D20" s="152" t="s">
        <v>3</v>
      </c>
      <c r="E20" s="3" t="str">
        <f>ID!D22</f>
        <v>Baik</v>
      </c>
      <c r="G20" s="74"/>
      <c r="H20" s="74"/>
      <c r="I20" s="74"/>
      <c r="J20" s="74"/>
      <c r="K20" s="74"/>
      <c r="L20" s="74"/>
    </row>
    <row r="21" spans="1:24" s="3" customFormat="1" ht="15.75" customHeight="1">
      <c r="B21" s="69" t="s">
        <v>322</v>
      </c>
      <c r="D21" s="152" t="s">
        <v>3</v>
      </c>
      <c r="E21" s="3" t="str">
        <f>ID!D23</f>
        <v>Baik</v>
      </c>
      <c r="G21" s="74"/>
      <c r="H21" s="74"/>
      <c r="I21" s="74"/>
      <c r="J21" s="74"/>
      <c r="K21" s="74"/>
      <c r="L21" s="74"/>
      <c r="N21" s="1108" t="s">
        <v>323</v>
      </c>
      <c r="O21" s="1075"/>
    </row>
    <row r="22" spans="1:24" s="3" customFormat="1" ht="9" customHeight="1">
      <c r="C22" s="69"/>
      <c r="D22" s="152"/>
      <c r="G22" s="75"/>
      <c r="H22" s="75"/>
      <c r="I22" s="75"/>
      <c r="J22" s="75"/>
      <c r="K22" s="75"/>
      <c r="L22" s="75"/>
      <c r="N22" s="1109"/>
      <c r="O22" s="1075"/>
    </row>
    <row r="23" spans="1:24" s="3" customFormat="1" ht="15.75" customHeight="1">
      <c r="A23" s="90" t="s">
        <v>28</v>
      </c>
      <c r="B23" s="90" t="s">
        <v>29</v>
      </c>
      <c r="F23" s="70"/>
      <c r="K23" s="73"/>
      <c r="N23" s="153" t="s">
        <v>324</v>
      </c>
      <c r="O23" s="154">
        <f>IF(E20="Tidak Baik",0,5%)</f>
        <v>0.05</v>
      </c>
      <c r="T23" s="65" t="s">
        <v>35</v>
      </c>
    </row>
    <row r="24" spans="1:24" s="3" customFormat="1" ht="32.25" customHeight="1">
      <c r="B24" s="287" t="s">
        <v>30</v>
      </c>
      <c r="C24" s="1138" t="s">
        <v>31</v>
      </c>
      <c r="D24" s="1138"/>
      <c r="E24" s="1138"/>
      <c r="F24" s="1138"/>
      <c r="G24" s="1138"/>
      <c r="H24" s="1139" t="s">
        <v>32</v>
      </c>
      <c r="I24" s="1139"/>
      <c r="J24" s="1139" t="s">
        <v>33</v>
      </c>
      <c r="K24" s="1140"/>
      <c r="N24" s="153" t="s">
        <v>325</v>
      </c>
      <c r="O24" s="154">
        <f>IF(E21="Tidak Baik",0,5%)</f>
        <v>0.05</v>
      </c>
      <c r="T24" s="65" t="s">
        <v>38</v>
      </c>
    </row>
    <row r="25" spans="1:24" s="3" customFormat="1" ht="15.75" customHeight="1">
      <c r="B25" s="86">
        <v>1</v>
      </c>
      <c r="C25" s="732" t="str">
        <f>ID!C27</f>
        <v>Resistansi Isolasi</v>
      </c>
      <c r="D25" s="76"/>
      <c r="E25" s="76"/>
      <c r="F25" s="76"/>
      <c r="G25" s="77"/>
      <c r="H25" s="1130" t="str">
        <f>'DB Kelistrikan'!O269</f>
        <v>OL</v>
      </c>
      <c r="I25" s="1131"/>
      <c r="J25" s="1053">
        <f>ID!L27</f>
        <v>2</v>
      </c>
      <c r="K25" s="1053"/>
      <c r="O25" s="726">
        <f>SUM(O23:O24)</f>
        <v>0.1</v>
      </c>
      <c r="T25" s="67" t="s">
        <v>326</v>
      </c>
    </row>
    <row r="26" spans="1:24" s="3" customFormat="1" ht="15.75" customHeight="1">
      <c r="B26" s="86">
        <v>2</v>
      </c>
      <c r="C26" s="66" t="str">
        <f>ID!C28</f>
        <v>Resistansi pembumian protektif (kabel dapat dilepas)</v>
      </c>
      <c r="D26" s="155"/>
      <c r="E26" s="155"/>
      <c r="F26" s="155"/>
      <c r="G26" s="156"/>
      <c r="H26" s="1132">
        <f>'DB Kelistrikan'!O270</f>
        <v>9.9319271332694151E-2</v>
      </c>
      <c r="I26" s="1133"/>
      <c r="J26" s="1054">
        <f>ID!L28</f>
        <v>0.2</v>
      </c>
      <c r="K26" s="1054"/>
    </row>
    <row r="27" spans="1:24" s="3" customFormat="1" ht="15.75" customHeight="1">
      <c r="B27" s="86">
        <v>3</v>
      </c>
      <c r="C27" s="1141" t="str">
        <f>ID!C29</f>
        <v>Arus bocor peralatan untuk peralatan elektromedik kelas I</v>
      </c>
      <c r="D27" s="1142"/>
      <c r="E27" s="1142"/>
      <c r="F27" s="1142"/>
      <c r="G27" s="1143"/>
      <c r="H27" s="1134" t="str">
        <f>'DB Kelistrikan'!O271</f>
        <v>-</v>
      </c>
      <c r="I27" s="1135"/>
      <c r="J27" s="1116">
        <f>ID!L29</f>
        <v>500</v>
      </c>
      <c r="K27" s="1116"/>
      <c r="M27" s="1113"/>
      <c r="N27" s="1113"/>
      <c r="T27" s="719"/>
      <c r="U27" s="719"/>
      <c r="V27" s="719"/>
      <c r="W27" s="719"/>
      <c r="X27" s="719"/>
    </row>
    <row r="28" spans="1:24" s="3" customFormat="1" ht="9" customHeight="1">
      <c r="H28" s="87"/>
      <c r="I28" s="87"/>
      <c r="J28" s="1123"/>
      <c r="K28" s="1123"/>
      <c r="L28" s="285"/>
      <c r="M28" s="285"/>
      <c r="N28" s="157"/>
      <c r="T28" s="719"/>
      <c r="U28" s="719"/>
      <c r="V28" s="719"/>
      <c r="W28" s="719"/>
      <c r="X28" s="719"/>
    </row>
    <row r="29" spans="1:24" s="3" customFormat="1" ht="15.75" customHeight="1">
      <c r="A29" s="90" t="s">
        <v>45</v>
      </c>
      <c r="B29" s="90" t="s">
        <v>46</v>
      </c>
      <c r="L29" s="68"/>
      <c r="M29" s="1113"/>
      <c r="N29" s="1113"/>
      <c r="P29" s="88"/>
      <c r="Q29" s="88"/>
      <c r="R29" s="158"/>
      <c r="T29" s="719"/>
      <c r="U29" s="720" t="s">
        <v>323</v>
      </c>
      <c r="V29" s="721"/>
      <c r="W29" s="719"/>
      <c r="X29" s="719"/>
    </row>
    <row r="30" spans="1:24" s="3" customFormat="1" ht="15.75" customHeight="1">
      <c r="K30" s="1113"/>
      <c r="L30" s="1113"/>
      <c r="M30" s="1113"/>
      <c r="N30" s="163" t="s">
        <v>323</v>
      </c>
      <c r="O30" s="159"/>
      <c r="T30" s="719"/>
      <c r="U30" s="720">
        <v>1</v>
      </c>
      <c r="V30" s="722">
        <f>IF(OR(H25="-",H25="OL",H25&gt;J25),10%,0)</f>
        <v>0.1</v>
      </c>
      <c r="W30" s="719"/>
      <c r="X30" s="719"/>
    </row>
    <row r="31" spans="1:24" s="3" customFormat="1" ht="15.75" customHeight="1">
      <c r="G31" s="160" t="s">
        <v>327</v>
      </c>
      <c r="H31" s="161">
        <f>ID!B36</f>
        <v>0.4</v>
      </c>
      <c r="I31" s="162" t="s">
        <v>328</v>
      </c>
      <c r="K31" s="1113"/>
      <c r="L31" s="78"/>
      <c r="M31" s="78"/>
      <c r="N31" s="163">
        <v>1</v>
      </c>
      <c r="O31" s="154">
        <f>IF(H25&gt;2,10%,0)</f>
        <v>0.1</v>
      </c>
      <c r="T31" s="719"/>
      <c r="U31" s="720">
        <v>2</v>
      </c>
      <c r="V31" s="722">
        <f>IF(OR(J26="-",J26="OL",J26&lt;=X14,H26=AF28),10%,0)</f>
        <v>0.1</v>
      </c>
      <c r="W31" s="719"/>
      <c r="X31" s="719"/>
    </row>
    <row r="32" spans="1:24" s="3" customFormat="1" ht="15.75" customHeight="1">
      <c r="G32" s="164" t="s">
        <v>329</v>
      </c>
      <c r="H32" s="165">
        <f>ID!C36</f>
        <v>0.33</v>
      </c>
      <c r="I32" s="166" t="s">
        <v>328</v>
      </c>
      <c r="K32" s="87"/>
      <c r="L32" s="79"/>
      <c r="M32" s="79"/>
      <c r="N32" s="163">
        <v>2</v>
      </c>
      <c r="O32" s="170">
        <f>IF(OR(H26&lt;=J26,H26="-",H26="OL"),10%,0)</f>
        <v>0.1</v>
      </c>
      <c r="T32" s="719"/>
      <c r="U32" s="721">
        <v>3</v>
      </c>
      <c r="V32" s="722">
        <f>IF(R13&lt;=S13,20%,0)</f>
        <v>0</v>
      </c>
      <c r="W32" s="719"/>
      <c r="X32" s="719"/>
    </row>
    <row r="33" spans="1:24" s="3" customFormat="1" ht="15.75" customHeight="1">
      <c r="G33" s="164" t="s">
        <v>330</v>
      </c>
      <c r="H33" s="165">
        <f>ID!D36</f>
        <v>0.4</v>
      </c>
      <c r="I33" s="166" t="s">
        <v>328</v>
      </c>
      <c r="J33" s="69"/>
      <c r="K33" s="87"/>
      <c r="L33" s="79"/>
      <c r="M33" s="79"/>
      <c r="N33" s="159">
        <v>3</v>
      </c>
      <c r="O33" s="154">
        <f>IF(R13&lt;=S13,20%,0)</f>
        <v>0</v>
      </c>
      <c r="T33" s="719"/>
      <c r="U33" s="723"/>
      <c r="V33" s="724">
        <f>IF(OR(H27="-",V32=20%),SUM(V30:V32),0)</f>
        <v>0.2</v>
      </c>
      <c r="W33" s="719"/>
      <c r="X33" s="719"/>
    </row>
    <row r="34" spans="1:24" s="3" customFormat="1" ht="15.75" customHeight="1">
      <c r="G34" s="167" t="s">
        <v>331</v>
      </c>
      <c r="H34" s="168">
        <f>ID!E36</f>
        <v>5.2800000000000007E-2</v>
      </c>
      <c r="I34" s="169" t="s">
        <v>332</v>
      </c>
      <c r="K34" s="87"/>
      <c r="L34" s="79"/>
      <c r="M34" s="79"/>
      <c r="O34" s="725">
        <f>IF(OR(H27="-",O33=20%),SUM(O31:O33),0)</f>
        <v>0.2</v>
      </c>
      <c r="Q34" s="170">
        <f>IF(OR(H27="-",H27&lt;500),O34,0)</f>
        <v>0.2</v>
      </c>
      <c r="T34" s="719"/>
      <c r="U34" s="719"/>
      <c r="V34" s="719"/>
      <c r="W34" s="719"/>
      <c r="X34" s="719"/>
    </row>
    <row r="35" spans="1:24" s="3" customFormat="1" ht="15.75" customHeight="1">
      <c r="F35" s="711"/>
      <c r="K35" s="87"/>
      <c r="L35" s="79"/>
      <c r="M35" s="79"/>
    </row>
    <row r="36" spans="1:24" s="3" customFormat="1" ht="15.75" customHeight="1">
      <c r="G36" s="160" t="s">
        <v>333</v>
      </c>
      <c r="H36" s="171">
        <f>ID!B39</f>
        <v>1.5</v>
      </c>
      <c r="I36" s="172" t="s">
        <v>16</v>
      </c>
      <c r="K36" s="87"/>
      <c r="L36" s="79"/>
      <c r="M36" s="79"/>
    </row>
    <row r="37" spans="1:24" s="3" customFormat="1" ht="15.75" customHeight="1">
      <c r="G37" s="167" t="s">
        <v>334</v>
      </c>
      <c r="H37" s="173">
        <f>ID!C39</f>
        <v>3</v>
      </c>
      <c r="I37" s="169" t="s">
        <v>16</v>
      </c>
      <c r="K37" s="87"/>
      <c r="L37" s="79"/>
      <c r="M37" s="79"/>
      <c r="N37" s="89"/>
      <c r="O37" s="87"/>
      <c r="P37" s="90"/>
      <c r="Q37" s="90"/>
    </row>
    <row r="38" spans="1:24" s="3" customFormat="1" ht="15" customHeight="1">
      <c r="K38" s="87"/>
      <c r="L38" s="79"/>
      <c r="M38" s="79"/>
      <c r="N38" s="94"/>
      <c r="P38" s="87"/>
      <c r="Q38" s="87"/>
    </row>
    <row r="39" spans="1:24" s="3" customFormat="1" ht="18" customHeight="1">
      <c r="B39" s="1112" t="s">
        <v>335</v>
      </c>
      <c r="C39" s="1112" t="s">
        <v>336</v>
      </c>
      <c r="D39" s="1128" t="s">
        <v>337</v>
      </c>
      <c r="E39" s="1128"/>
      <c r="F39" s="1128"/>
      <c r="G39" s="1128"/>
      <c r="H39" s="1128"/>
      <c r="I39" s="1075" t="s">
        <v>63</v>
      </c>
      <c r="J39" s="1075"/>
      <c r="K39" s="1122" t="s">
        <v>338</v>
      </c>
      <c r="L39" s="1112"/>
      <c r="N39" s="86" t="s">
        <v>323</v>
      </c>
      <c r="O39" s="159"/>
    </row>
    <row r="40" spans="1:24" s="3" customFormat="1" ht="15.75" customHeight="1">
      <c r="B40" s="1112"/>
      <c r="C40" s="1112"/>
      <c r="D40" s="1127" t="s">
        <v>339</v>
      </c>
      <c r="E40" s="1127" t="s">
        <v>340</v>
      </c>
      <c r="F40" s="1127" t="s">
        <v>341</v>
      </c>
      <c r="G40" s="1127" t="s">
        <v>241</v>
      </c>
      <c r="H40" s="1075" t="s">
        <v>236</v>
      </c>
      <c r="I40" s="1112" t="s">
        <v>635</v>
      </c>
      <c r="J40" s="1112"/>
      <c r="K40" s="1122"/>
      <c r="L40" s="1112"/>
      <c r="N40" s="1112" t="s">
        <v>342</v>
      </c>
      <c r="O40" s="1110">
        <f ca="1">IF(ABS(H42)+ABS(L42)&lt;=ABS(1.5),50%,0)</f>
        <v>0.5</v>
      </c>
    </row>
    <row r="41" spans="1:24" s="3" customFormat="1" ht="21" customHeight="1">
      <c r="B41" s="1112"/>
      <c r="C41" s="1112"/>
      <c r="D41" s="1127"/>
      <c r="E41" s="1127"/>
      <c r="F41" s="1127"/>
      <c r="G41" s="1127"/>
      <c r="H41" s="1075"/>
      <c r="I41" s="1112"/>
      <c r="J41" s="1112"/>
      <c r="K41" s="1122"/>
      <c r="L41" s="1112"/>
      <c r="N41" s="1112"/>
      <c r="O41" s="1111"/>
      <c r="R41" s="3" t="s">
        <v>343</v>
      </c>
    </row>
    <row r="42" spans="1:24" s="3" customFormat="1" ht="33" customHeight="1">
      <c r="B42" s="101" t="str">
        <f>ID!I10</f>
        <v>37.0</v>
      </c>
      <c r="C42" s="286" t="str">
        <f>ID!I9</f>
        <v>37.0</v>
      </c>
      <c r="D42" s="5">
        <f ca="1">ID!L96</f>
        <v>37.19</v>
      </c>
      <c r="E42" s="5">
        <f ca="1">ID!L97</f>
        <v>3.9999999999984936E-2</v>
      </c>
      <c r="F42" s="5">
        <f ca="1">ID!L98</f>
        <v>0</v>
      </c>
      <c r="G42" s="5">
        <f ca="1">ID!L99</f>
        <v>3.9999999999999147E-2</v>
      </c>
      <c r="H42" s="80" t="str">
        <f ca="1">S42</f>
        <v>0.19</v>
      </c>
      <c r="I42" s="1112"/>
      <c r="J42" s="1112"/>
      <c r="K42" s="754" t="s">
        <v>344</v>
      </c>
      <c r="L42" s="756" t="str">
        <f ca="1">IF('Uncertainty Budget'!Q20&lt;"0.55",0.55,'Uncertainty Budget'!Q20)</f>
        <v>0.60</v>
      </c>
      <c r="N42" s="1108" t="s">
        <v>241</v>
      </c>
      <c r="O42" s="1110">
        <f ca="1">IF(ABS(G42)+ABS(L42)&lt;=3,50%,0)</f>
        <v>0.5</v>
      </c>
      <c r="R42" s="757">
        <f ca="1">D42-C42</f>
        <v>0.18999999999999773</v>
      </c>
      <c r="S42" s="3" t="str">
        <f ca="1">TEXT(R42,'Uncertainty Budget'!$P$20)</f>
        <v>0.19</v>
      </c>
    </row>
    <row r="43" spans="1:24" s="3" customFormat="1" ht="9" customHeight="1">
      <c r="N43" s="1109"/>
      <c r="O43" s="1111"/>
      <c r="P43" s="70"/>
      <c r="Q43" s="94"/>
    </row>
    <row r="44" spans="1:24" s="3" customFormat="1" ht="14">
      <c r="A44" s="174" t="s">
        <v>85</v>
      </c>
      <c r="B44" s="81" t="s">
        <v>86</v>
      </c>
      <c r="C44" s="175"/>
      <c r="D44" s="7"/>
      <c r="E44" s="174"/>
      <c r="F44" s="8"/>
      <c r="G44" s="175"/>
      <c r="H44" s="175"/>
      <c r="I44" s="175"/>
      <c r="J44" s="175"/>
      <c r="K44" s="175"/>
      <c r="L44" s="175"/>
      <c r="N44" s="87"/>
      <c r="O44" s="95"/>
      <c r="P44" s="68"/>
      <c r="Q44" s="68"/>
    </row>
    <row r="45" spans="1:24" s="3" customFormat="1" ht="18">
      <c r="A45" s="175"/>
      <c r="B45" s="6" t="str">
        <f>ID!B105</f>
        <v>Ketidakpastian pengukuran dilaporkan pada tingkat kepercayaan 95% dengan faktor cakupan k=2</v>
      </c>
      <c r="C45" s="175"/>
      <c r="D45" s="175"/>
      <c r="E45" s="7"/>
      <c r="F45" s="8"/>
      <c r="G45" s="175"/>
      <c r="H45" s="175"/>
      <c r="I45" s="175"/>
      <c r="J45" s="175"/>
      <c r="K45" s="175"/>
      <c r="L45" s="175"/>
      <c r="N45" s="176" t="s">
        <v>345</v>
      </c>
      <c r="O45" s="727">
        <f ca="1">IF(AND(O40=50%,O42=50%),50%,0)</f>
        <v>0.5</v>
      </c>
      <c r="P45" s="68"/>
      <c r="Q45" s="68"/>
    </row>
    <row r="46" spans="1:24" s="3" customFormat="1" ht="14">
      <c r="A46" s="175"/>
      <c r="B46" s="6" t="str">
        <f>ID!B106</f>
        <v>Hasil pengukuran keselamatan listrik tertelusur ke Satuan SI melalui PT. Kaliman ( LK-032-IDN )</v>
      </c>
      <c r="C46" s="175"/>
      <c r="D46" s="175"/>
      <c r="E46" s="7"/>
      <c r="F46" s="8"/>
      <c r="G46" s="175"/>
      <c r="H46" s="175"/>
      <c r="I46" s="175"/>
      <c r="J46" s="175"/>
      <c r="K46" s="175"/>
      <c r="L46" s="175"/>
      <c r="N46" s="176"/>
      <c r="O46" s="87"/>
      <c r="P46" s="68"/>
      <c r="Q46" s="68"/>
    </row>
    <row r="47" spans="1:24" s="3" customFormat="1" ht="14">
      <c r="A47" s="175"/>
      <c r="B47" s="6" t="str">
        <f>ID!B107</f>
        <v>Hasil pengujian kinerja suhu tertelusur ke Satuan SI melalui PT. Kaliman ( LK-032-IDN )</v>
      </c>
      <c r="C47" s="175"/>
      <c r="D47" s="175"/>
      <c r="E47" s="7"/>
      <c r="F47" s="8"/>
      <c r="G47" s="175"/>
      <c r="H47" s="175"/>
      <c r="I47" s="175"/>
      <c r="J47" s="175"/>
      <c r="K47" s="175"/>
      <c r="L47" s="175"/>
      <c r="N47" s="176"/>
      <c r="O47" s="87"/>
      <c r="P47" s="68"/>
      <c r="Q47" s="68"/>
      <c r="R47" s="170"/>
    </row>
    <row r="48" spans="1:24" s="3" customFormat="1" ht="14">
      <c r="A48" s="175"/>
      <c r="B48" s="6" t="str">
        <f>ID!B108</f>
        <v>Tidak terdapat grounding di ruangan</v>
      </c>
      <c r="C48" s="175"/>
      <c r="D48" s="175"/>
      <c r="E48" s="7"/>
      <c r="F48" s="8"/>
      <c r="G48" s="175"/>
      <c r="H48" s="175"/>
      <c r="I48" s="175"/>
      <c r="J48" s="175"/>
      <c r="K48" s="175"/>
      <c r="L48" s="175"/>
      <c r="N48" s="176"/>
      <c r="O48" s="87"/>
      <c r="P48" s="68"/>
      <c r="Q48" s="68"/>
    </row>
    <row r="49" spans="1:18" s="3" customFormat="1" ht="9" customHeight="1">
      <c r="A49" s="175"/>
      <c r="B49" s="175"/>
      <c r="C49" s="6"/>
      <c r="D49" s="175"/>
      <c r="E49" s="7"/>
      <c r="F49" s="8"/>
      <c r="G49" s="175"/>
      <c r="H49" s="175"/>
      <c r="I49" s="175"/>
      <c r="J49" s="175"/>
      <c r="K49" s="175"/>
      <c r="L49" s="175"/>
      <c r="N49" s="176"/>
      <c r="O49" s="87"/>
      <c r="P49" s="68"/>
      <c r="Q49" s="68"/>
    </row>
    <row r="50" spans="1:18" s="3" customFormat="1">
      <c r="A50" s="174" t="s">
        <v>88</v>
      </c>
      <c r="B50" s="177" t="s">
        <v>89</v>
      </c>
      <c r="C50" s="175"/>
      <c r="D50" s="175"/>
      <c r="E50" s="178"/>
      <c r="F50" s="175"/>
      <c r="G50" s="175"/>
      <c r="H50" s="175"/>
      <c r="I50" s="175"/>
      <c r="J50" s="175"/>
      <c r="K50" s="175"/>
      <c r="L50" s="175"/>
      <c r="M50" s="288"/>
      <c r="N50" s="92"/>
      <c r="O50" s="92"/>
      <c r="P50" s="176"/>
      <c r="Q50" s="93"/>
    </row>
    <row r="51" spans="1:18" s="3" customFormat="1" ht="14">
      <c r="A51" s="175"/>
      <c r="B51" s="179" t="str">
        <f>ID!B111</f>
        <v>Thermocouple Data Logger, Merek : MADGETECH, Model : OctTemp 2000, SN : P41878</v>
      </c>
      <c r="C51" s="175"/>
      <c r="D51" s="7"/>
      <c r="E51" s="8"/>
      <c r="F51" s="175"/>
      <c r="G51" s="175"/>
      <c r="H51" s="175"/>
      <c r="I51" s="175"/>
      <c r="J51" s="175"/>
      <c r="K51" s="82"/>
      <c r="L51" s="175"/>
    </row>
    <row r="52" spans="1:18" s="3" customFormat="1" ht="14">
      <c r="A52" s="175"/>
      <c r="B52" s="1119" t="str">
        <f>IF('Data Alat'!A67="OK",ID!B112,"")</f>
        <v/>
      </c>
      <c r="C52" s="1119"/>
      <c r="D52" s="1119"/>
      <c r="E52" s="1119"/>
      <c r="F52" s="1119"/>
      <c r="G52" s="1119"/>
      <c r="H52" s="1119"/>
      <c r="I52" s="1119"/>
      <c r="J52" s="175"/>
      <c r="K52" s="82"/>
      <c r="L52" s="175"/>
    </row>
    <row r="53" spans="1:18" s="3" customFormat="1" ht="15.75" customHeight="1">
      <c r="A53" s="175"/>
      <c r="B53" s="179" t="str">
        <f>ID!B113</f>
        <v>Electrical Safety Analyzer, Merek : Fluke, Model : ESA 615, SN : 3148908</v>
      </c>
      <c r="C53" s="175"/>
      <c r="D53" s="7"/>
      <c r="E53" s="8"/>
      <c r="F53" s="175"/>
      <c r="G53" s="175"/>
      <c r="H53" s="175"/>
      <c r="I53" s="175"/>
      <c r="J53" s="175"/>
      <c r="K53" s="82"/>
      <c r="L53" s="175"/>
    </row>
    <row r="54" spans="1:18" s="3" customFormat="1" ht="14">
      <c r="A54" s="175"/>
      <c r="B54" s="179" t="str">
        <f>ID!B114</f>
        <v>Thermohygrolight, Merek : EXTECH, Model : SD700, SN : A.100618</v>
      </c>
      <c r="C54" s="175"/>
      <c r="D54" s="7"/>
      <c r="E54" s="8"/>
      <c r="F54" s="175"/>
      <c r="G54" s="175"/>
      <c r="H54" s="175"/>
      <c r="I54" s="175"/>
      <c r="J54" s="175"/>
      <c r="K54" s="82"/>
      <c r="L54" s="175"/>
    </row>
    <row r="55" spans="1:18" s="3" customFormat="1" ht="9" customHeight="1">
      <c r="A55" s="175"/>
      <c r="B55" s="175"/>
      <c r="C55" s="179"/>
      <c r="D55" s="7"/>
      <c r="E55" s="8"/>
      <c r="F55" s="175"/>
      <c r="G55" s="175"/>
      <c r="H55" s="175"/>
      <c r="I55" s="175"/>
      <c r="J55" s="175"/>
      <c r="K55" s="82"/>
      <c r="L55" s="175"/>
      <c r="Q55" s="3" t="s">
        <v>41</v>
      </c>
      <c r="R55" s="170">
        <f>Q34</f>
        <v>0.2</v>
      </c>
    </row>
    <row r="56" spans="1:18" s="3" customFormat="1" ht="14">
      <c r="A56" s="174" t="s">
        <v>102</v>
      </c>
      <c r="B56" s="180" t="s">
        <v>103</v>
      </c>
      <c r="C56" s="175"/>
      <c r="D56" s="7"/>
      <c r="E56" s="8"/>
      <c r="F56" s="175"/>
      <c r="G56" s="175"/>
      <c r="H56" s="175"/>
      <c r="I56" s="175"/>
      <c r="J56" s="175"/>
      <c r="K56" s="82"/>
      <c r="L56" s="175"/>
      <c r="O56" s="95"/>
      <c r="Q56" s="3" t="s">
        <v>346</v>
      </c>
      <c r="R56" s="170">
        <v>0.4</v>
      </c>
    </row>
    <row r="57" spans="1:18" s="3" customFormat="1" ht="15" customHeight="1">
      <c r="A57" s="175"/>
      <c r="B57" s="1024" t="str">
        <f ca="1">ID!B117</f>
        <v>Alat yang dikalibrasi dalam batas toleransi dan dinyatakan LAIK PAKAI, dimana hasil atau skor akhir sama dengan atau melampaui 70% berdasarkan Keputusan Direktur Jenderal Pelayanan Kesehatan No : HK.02.02/V/0412/2020</v>
      </c>
      <c r="C57" s="1024"/>
      <c r="D57" s="1024"/>
      <c r="E57" s="1024"/>
      <c r="F57" s="1024"/>
      <c r="G57" s="1024"/>
      <c r="H57" s="1024"/>
      <c r="I57" s="1024"/>
      <c r="J57" s="1024"/>
      <c r="K57" s="1024"/>
      <c r="L57" s="1024"/>
      <c r="O57" s="95"/>
      <c r="Q57" s="3" t="s">
        <v>347</v>
      </c>
      <c r="R57" s="170">
        <f>Q34</f>
        <v>0.2</v>
      </c>
    </row>
    <row r="58" spans="1:18" s="3" customFormat="1" ht="9" customHeight="1">
      <c r="A58" s="175"/>
      <c r="B58" s="1024"/>
      <c r="C58" s="1024"/>
      <c r="D58" s="1024"/>
      <c r="E58" s="1024"/>
      <c r="F58" s="1024"/>
      <c r="G58" s="1024"/>
      <c r="H58" s="1024"/>
      <c r="I58" s="1024"/>
      <c r="J58" s="1024"/>
      <c r="K58" s="1024"/>
      <c r="L58" s="1024"/>
      <c r="O58" s="95"/>
      <c r="Q58" s="3" t="s">
        <v>348</v>
      </c>
      <c r="R58" s="170">
        <f>O34</f>
        <v>0.2</v>
      </c>
    </row>
    <row r="59" spans="1:18" s="3" customFormat="1" ht="20.25" customHeight="1">
      <c r="A59" s="175"/>
      <c r="B59" s="1024"/>
      <c r="C59" s="1024"/>
      <c r="D59" s="1024"/>
      <c r="E59" s="1024"/>
      <c r="F59" s="1024"/>
      <c r="G59" s="1024"/>
      <c r="H59" s="1024"/>
      <c r="I59" s="1024"/>
      <c r="J59" s="1024"/>
      <c r="K59" s="1024"/>
      <c r="L59" s="1024"/>
    </row>
    <row r="60" spans="1:18" s="3" customFormat="1" ht="20.25" hidden="1" customHeight="1">
      <c r="A60" s="175"/>
      <c r="B60" s="84"/>
      <c r="C60" s="84"/>
      <c r="D60" s="84"/>
      <c r="E60" s="84"/>
      <c r="F60" s="84"/>
      <c r="G60" s="84"/>
      <c r="H60" s="84"/>
      <c r="I60" s="84"/>
      <c r="J60" s="84"/>
      <c r="K60" s="82"/>
      <c r="L60" s="175"/>
    </row>
    <row r="61" spans="1:18" s="3" customFormat="1" ht="14">
      <c r="A61" s="174" t="s">
        <v>105</v>
      </c>
      <c r="B61" s="85" t="s">
        <v>106</v>
      </c>
      <c r="C61" s="175"/>
      <c r="D61" s="83"/>
      <c r="E61" s="9"/>
      <c r="F61" s="1118"/>
      <c r="G61" s="1118"/>
      <c r="H61" s="1118"/>
      <c r="I61" s="175"/>
      <c r="J61" s="175"/>
      <c r="K61" s="175"/>
      <c r="L61" s="175"/>
    </row>
    <row r="62" spans="1:18" s="3" customFormat="1" ht="18" customHeight="1">
      <c r="A62" s="175"/>
      <c r="B62" s="83" t="str">
        <f>ID!B120</f>
        <v>Choirul Huda</v>
      </c>
      <c r="C62" s="175"/>
      <c r="D62" s="7"/>
      <c r="E62" s="8"/>
      <c r="F62" s="181"/>
      <c r="G62" s="182"/>
      <c r="H62" s="181"/>
      <c r="I62" s="175"/>
      <c r="J62" s="175"/>
      <c r="K62" s="175"/>
      <c r="L62" s="175"/>
      <c r="N62" s="170"/>
      <c r="Q62" s="170"/>
    </row>
    <row r="63" spans="1:18" hidden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8" hidden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289"/>
    </row>
    <row r="65" spans="1:1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2">
      <c r="A66" s="40"/>
      <c r="B66" s="1124" t="s">
        <v>349</v>
      </c>
      <c r="C66" s="1124"/>
      <c r="D66" s="1124"/>
      <c r="E66" s="1125" t="s">
        <v>109</v>
      </c>
      <c r="F66" s="1125"/>
      <c r="G66" s="728" t="s">
        <v>350</v>
      </c>
      <c r="H66" s="1125" t="s">
        <v>351</v>
      </c>
      <c r="I66" s="1125"/>
      <c r="J66" s="40"/>
      <c r="K66" s="40"/>
      <c r="L66" s="40"/>
    </row>
    <row r="67" spans="1:12" ht="15.5">
      <c r="A67" s="40"/>
      <c r="B67" s="729" t="s">
        <v>352</v>
      </c>
      <c r="C67" s="730" t="str">
        <f>ID!B120</f>
        <v>Choirul Huda</v>
      </c>
      <c r="D67" s="731"/>
      <c r="E67" s="21" t="str">
        <f>ID!B123</f>
        <v>23 September 2023</v>
      </c>
      <c r="F67" s="21"/>
      <c r="G67" s="728"/>
      <c r="H67" s="1117">
        <f ca="1">SUM(O23,O24,O34,O45)*100</f>
        <v>80</v>
      </c>
      <c r="I67" s="1117"/>
      <c r="J67" s="1120"/>
      <c r="K67" s="40"/>
      <c r="L67" s="40"/>
    </row>
    <row r="68" spans="1:12">
      <c r="A68" s="40"/>
      <c r="B68" s="1126" t="s">
        <v>353</v>
      </c>
      <c r="C68" s="1126"/>
      <c r="D68" s="1126"/>
      <c r="E68" s="1125"/>
      <c r="F68" s="1125"/>
      <c r="G68" s="728"/>
      <c r="H68" s="1117"/>
      <c r="I68" s="1117"/>
      <c r="J68" s="1121"/>
      <c r="K68" s="40"/>
      <c r="L68" s="40"/>
    </row>
    <row r="69" spans="1:12">
      <c r="A69" s="40"/>
      <c r="B69" s="40"/>
      <c r="C69" s="183"/>
      <c r="D69" s="183"/>
      <c r="E69" s="183"/>
      <c r="F69" s="183"/>
      <c r="G69" s="183"/>
      <c r="H69" s="183"/>
      <c r="I69" s="183"/>
      <c r="J69" s="40"/>
      <c r="K69" s="40"/>
    </row>
    <row r="70" spans="1:12">
      <c r="A70" s="40"/>
      <c r="B70" s="40"/>
      <c r="C70" s="183"/>
      <c r="D70" s="183"/>
      <c r="E70" s="183"/>
      <c r="F70" s="183"/>
      <c r="G70" s="183"/>
      <c r="H70" s="183"/>
      <c r="I70" s="183"/>
      <c r="J70" s="40"/>
      <c r="K70" s="40"/>
    </row>
    <row r="71" spans="1:12">
      <c r="A71" s="40"/>
      <c r="B71" s="40"/>
      <c r="C71" s="184"/>
      <c r="D71" s="184"/>
      <c r="E71" s="183"/>
      <c r="F71" s="183"/>
      <c r="G71" s="183"/>
      <c r="H71" s="183"/>
      <c r="I71" s="183"/>
      <c r="J71" s="40"/>
      <c r="K71" s="185"/>
    </row>
    <row r="72" spans="1:12">
      <c r="C72" s="186"/>
      <c r="D72" s="186"/>
      <c r="E72" s="186"/>
      <c r="F72" s="186"/>
      <c r="G72" s="186"/>
      <c r="H72" s="186"/>
      <c r="I72" s="186"/>
    </row>
  </sheetData>
  <sheetProtection formatCells="0" formatColumns="0" formatRows="0" insertColumns="0" insertRows="0" deleteColumns="0" deleteRows="0"/>
  <mergeCells count="58">
    <mergeCell ref="B39:B41"/>
    <mergeCell ref="C39:C41"/>
    <mergeCell ref="B57:L57"/>
    <mergeCell ref="B58:L58"/>
    <mergeCell ref="B59:L59"/>
    <mergeCell ref="A2:L2"/>
    <mergeCell ref="A1:L1"/>
    <mergeCell ref="H25:I25"/>
    <mergeCell ref="H26:I26"/>
    <mergeCell ref="H27:I27"/>
    <mergeCell ref="E13:L13"/>
    <mergeCell ref="E17:F17"/>
    <mergeCell ref="C24:G24"/>
    <mergeCell ref="H24:I24"/>
    <mergeCell ref="J24:K24"/>
    <mergeCell ref="I39:J39"/>
    <mergeCell ref="K30:K31"/>
    <mergeCell ref="C27:G27"/>
    <mergeCell ref="D40:D41"/>
    <mergeCell ref="E40:E41"/>
    <mergeCell ref="F40:F41"/>
    <mergeCell ref="D39:H39"/>
    <mergeCell ref="G40:G41"/>
    <mergeCell ref="H40:H41"/>
    <mergeCell ref="J25:K25"/>
    <mergeCell ref="J26:K26"/>
    <mergeCell ref="J27:K27"/>
    <mergeCell ref="M27:N27"/>
    <mergeCell ref="H67:I68"/>
    <mergeCell ref="F61:H61"/>
    <mergeCell ref="B52:I52"/>
    <mergeCell ref="J67:J68"/>
    <mergeCell ref="I40:J42"/>
    <mergeCell ref="K39:L41"/>
    <mergeCell ref="J28:K28"/>
    <mergeCell ref="B66:D66"/>
    <mergeCell ref="E66:F66"/>
    <mergeCell ref="H66:I66"/>
    <mergeCell ref="B68:D68"/>
    <mergeCell ref="E68:F68"/>
    <mergeCell ref="R5:S6"/>
    <mergeCell ref="T5:T6"/>
    <mergeCell ref="U5:U6"/>
    <mergeCell ref="V5:V6"/>
    <mergeCell ref="X5:AF5"/>
    <mergeCell ref="X6:AF6"/>
    <mergeCell ref="X7:AF7"/>
    <mergeCell ref="X10:AD10"/>
    <mergeCell ref="R11:R12"/>
    <mergeCell ref="S11:S12"/>
    <mergeCell ref="N42:N43"/>
    <mergeCell ref="O21:O22"/>
    <mergeCell ref="O40:O41"/>
    <mergeCell ref="O42:O43"/>
    <mergeCell ref="N21:N22"/>
    <mergeCell ref="N40:N41"/>
    <mergeCell ref="M29:N29"/>
    <mergeCell ref="L30:M30"/>
  </mergeCells>
  <printOptions horizontalCentered="1"/>
  <pageMargins left="0.5" right="0.25" top="0.5" bottom="0.25" header="0.25" footer="0.25"/>
  <pageSetup paperSize="9" scale="75" orientation="portrait" r:id="rId1"/>
  <headerFooter>
    <oddHeader>&amp;R&amp;"-,Regular"&amp;8SH.LP - 028-18 / Rev  : 1</oddHeader>
    <oddFooter>&amp;R&amp;K01+049Lab Incu 25.5.2023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0892848-6289-4D98-8EAC-B04046299B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$H$62</xm:f>
              </x14:cfvo>
              <x14:cfIcon iconSet="3Symbols" iconId="2"/>
              <x14:cfIcon iconSet="3Symbols" iconId="2"/>
              <x14:cfIcon iconSet="3Symbols" iconId="0"/>
            </x14:iconSet>
          </x14:cfRule>
          <xm:sqref>F62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7030A0"/>
  </sheetPr>
  <dimension ref="A1:U101"/>
  <sheetViews>
    <sheetView showGridLines="0" view="pageBreakPreview" zoomScaleNormal="100" zoomScaleSheetLayoutView="100" workbookViewId="0">
      <selection activeCell="B60" sqref="B60:N60"/>
    </sheetView>
  </sheetViews>
  <sheetFormatPr defaultColWidth="9" defaultRowHeight="15.5"/>
  <cols>
    <col min="1" max="1" width="4.453125" style="18" customWidth="1"/>
    <col min="2" max="2" width="5.54296875" style="18" customWidth="1"/>
    <col min="3" max="3" width="16" style="18" customWidth="1"/>
    <col min="4" max="4" width="5.26953125" style="18" customWidth="1"/>
    <col min="5" max="5" width="9.54296875" style="18" customWidth="1"/>
    <col min="6" max="6" width="11.26953125" style="18" customWidth="1"/>
    <col min="7" max="7" width="10" style="18" customWidth="1"/>
    <col min="8" max="8" width="11.54296875" style="18" customWidth="1"/>
    <col min="9" max="9" width="10.26953125" style="18" customWidth="1"/>
    <col min="10" max="10" width="9.453125" style="18" customWidth="1"/>
    <col min="11" max="11" width="6.81640625" style="18" customWidth="1"/>
    <col min="12" max="12" width="10" style="18" customWidth="1"/>
    <col min="13" max="13" width="8" style="18" customWidth="1"/>
    <col min="14" max="14" width="9.7265625" style="18" customWidth="1"/>
    <col min="15" max="15" width="7.81640625" style="18" customWidth="1"/>
    <col min="16" max="16" width="9.1796875" style="18" customWidth="1"/>
    <col min="17" max="18" width="9.26953125" style="18" customWidth="1"/>
    <col min="19" max="258" width="9.1796875" style="18" customWidth="1"/>
    <col min="259" max="16384" width="9" style="18"/>
  </cols>
  <sheetData>
    <row r="1" spans="1:14" ht="19.5" customHeight="1">
      <c r="A1" s="962" t="s">
        <v>354</v>
      </c>
      <c r="B1" s="962"/>
      <c r="C1" s="962"/>
      <c r="D1" s="962"/>
      <c r="E1" s="962"/>
      <c r="F1" s="962"/>
      <c r="G1" s="962"/>
      <c r="H1" s="962"/>
      <c r="I1" s="962"/>
      <c r="J1" s="962"/>
      <c r="K1" s="962"/>
      <c r="L1" s="962"/>
      <c r="M1" s="962"/>
      <c r="N1" s="962"/>
    </row>
    <row r="2" spans="1:14" ht="18.75" customHeight="1">
      <c r="A2" s="963" t="str">
        <f ca="1">'Lembar Penyelia'!A2:M2</f>
        <v>Nomor Sertifikat : 30 / 1 / I - 23 / E - 123 DL</v>
      </c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</row>
    <row r="3" spans="1:14" ht="14.15" customHeight="1"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ht="15.75" customHeight="1">
      <c r="A4" s="19" t="s">
        <v>355</v>
      </c>
      <c r="B4" s="19"/>
      <c r="D4" s="20" t="s">
        <v>3</v>
      </c>
      <c r="E4" s="21" t="str">
        <f>'Lembar Penyelia'!E4</f>
        <v>memmert</v>
      </c>
      <c r="F4" s="21"/>
      <c r="L4" s="19"/>
      <c r="M4" s="20"/>
    </row>
    <row r="5" spans="1:14" ht="15.75" customHeight="1">
      <c r="A5" s="19" t="s">
        <v>4</v>
      </c>
      <c r="B5" s="19"/>
      <c r="D5" s="20" t="s">
        <v>3</v>
      </c>
      <c r="E5" s="21" t="str">
        <f>'Lembar Penyelia'!E5</f>
        <v>INB 400</v>
      </c>
      <c r="F5" s="21"/>
      <c r="L5" s="19"/>
      <c r="M5" s="20"/>
    </row>
    <row r="6" spans="1:14" ht="15.75" customHeight="1">
      <c r="A6" s="19" t="s">
        <v>356</v>
      </c>
      <c r="B6" s="19"/>
      <c r="D6" s="20" t="s">
        <v>3</v>
      </c>
      <c r="E6" s="21" t="str">
        <f>'Lembar Penyelia'!E6</f>
        <v>E406.0655</v>
      </c>
      <c r="F6" s="21"/>
      <c r="L6" s="19"/>
      <c r="M6" s="20"/>
    </row>
    <row r="7" spans="1:14" ht="15.75" customHeight="1">
      <c r="A7" s="19" t="s">
        <v>6</v>
      </c>
      <c r="B7" s="19"/>
      <c r="D7" s="20" t="s">
        <v>3</v>
      </c>
      <c r="E7" s="239" t="str">
        <f>'Lembar Penyelia'!E7&amp;'Lembar Penyelia'!F7</f>
        <v>0.1°C</v>
      </c>
      <c r="F7" s="19"/>
      <c r="I7" s="19"/>
      <c r="J7" s="19"/>
      <c r="K7" s="20"/>
    </row>
    <row r="8" spans="1:14" hidden="1">
      <c r="A8" s="19"/>
      <c r="B8" s="19"/>
      <c r="D8" s="20"/>
      <c r="E8" s="237"/>
      <c r="F8" s="19"/>
      <c r="I8" s="19"/>
      <c r="J8" s="19"/>
      <c r="K8" s="20"/>
    </row>
    <row r="9" spans="1:14" ht="15.75" customHeight="1">
      <c r="A9" s="19" t="s">
        <v>357</v>
      </c>
      <c r="B9" s="19"/>
      <c r="D9" s="20" t="s">
        <v>3</v>
      </c>
      <c r="E9" s="21" t="str">
        <f>'Lembar Penyelia'!E8</f>
        <v>20 Mei 2019</v>
      </c>
      <c r="F9" s="21"/>
      <c r="I9" s="19"/>
      <c r="J9" s="19"/>
      <c r="K9" s="20"/>
    </row>
    <row r="10" spans="1:14" ht="15.75" customHeight="1">
      <c r="A10" s="19" t="s">
        <v>8</v>
      </c>
      <c r="B10" s="19"/>
      <c r="D10" s="20" t="s">
        <v>3</v>
      </c>
      <c r="E10" s="21" t="str">
        <f>'Lembar Penyelia'!E9</f>
        <v>20 Mei 2021</v>
      </c>
      <c r="F10" s="21"/>
      <c r="I10" s="19"/>
      <c r="J10" s="19"/>
      <c r="K10" s="20"/>
    </row>
    <row r="11" spans="1:14" ht="15.75" customHeight="1">
      <c r="A11" s="19" t="s">
        <v>358</v>
      </c>
      <c r="B11" s="19"/>
      <c r="D11" s="20" t="s">
        <v>3</v>
      </c>
      <c r="E11" s="21" t="str">
        <f>'Lembar Penyelia'!E10</f>
        <v>Laboratorium</v>
      </c>
      <c r="F11" s="21"/>
      <c r="I11" s="19"/>
      <c r="J11" s="19"/>
      <c r="K11" s="20"/>
    </row>
    <row r="12" spans="1:14" ht="15.75" customHeight="1">
      <c r="A12" s="19" t="s">
        <v>200</v>
      </c>
      <c r="B12" s="19"/>
      <c r="D12" s="20" t="s">
        <v>3</v>
      </c>
      <c r="E12" s="21" t="str">
        <f>'Lembar Penyelia'!E11</f>
        <v>Laboratorium</v>
      </c>
      <c r="F12" s="21"/>
      <c r="I12" s="19"/>
      <c r="J12" s="19"/>
      <c r="K12" s="20"/>
    </row>
    <row r="13" spans="1:14" ht="15.75" customHeight="1">
      <c r="A13" s="19" t="s">
        <v>359</v>
      </c>
      <c r="B13" s="19"/>
      <c r="D13" s="20" t="s">
        <v>3</v>
      </c>
      <c r="E13" s="21" t="str">
        <f>'Lembar Penyelia'!E12</f>
        <v xml:space="preserve">MK 028-18 </v>
      </c>
      <c r="I13" s="19"/>
      <c r="J13" s="19"/>
      <c r="K13" s="20"/>
    </row>
    <row r="14" spans="1:14" ht="14.15" customHeight="1">
      <c r="D14" s="19"/>
      <c r="E14" s="1163"/>
      <c r="F14" s="1163"/>
      <c r="G14" s="1163"/>
      <c r="H14" s="1163"/>
      <c r="I14" s="1163"/>
      <c r="J14" s="1163"/>
      <c r="K14" s="1163"/>
      <c r="L14" s="1163"/>
      <c r="M14" s="21"/>
    </row>
    <row r="15" spans="1:14" ht="15.75" customHeight="1">
      <c r="A15" s="23" t="s">
        <v>360</v>
      </c>
      <c r="B15" s="24" t="s">
        <v>12</v>
      </c>
      <c r="C15" s="234"/>
      <c r="E15" s="24"/>
      <c r="H15" s="15"/>
      <c r="I15" s="4"/>
      <c r="J15" s="22"/>
      <c r="K15" s="19"/>
      <c r="L15" s="19"/>
      <c r="M15" s="19"/>
    </row>
    <row r="16" spans="1:14" ht="15.75" customHeight="1">
      <c r="B16" s="19" t="s">
        <v>15</v>
      </c>
      <c r="D16" s="20" t="s">
        <v>3</v>
      </c>
      <c r="E16" s="238" t="str">
        <f>'Lembar Penyelia'!E15</f>
        <v>( 25.4 ± 0.6 ) °C</v>
      </c>
      <c r="F16" s="239"/>
      <c r="G16" s="239"/>
      <c r="I16" s="240"/>
    </row>
    <row r="17" spans="1:16" ht="15.75" customHeight="1">
      <c r="B17" s="22" t="s">
        <v>129</v>
      </c>
      <c r="D17" s="20" t="s">
        <v>3</v>
      </c>
      <c r="E17" s="241" t="str">
        <f>'Lembar Penyelia'!E16</f>
        <v>( 61.3 ± 2.3 ) %RH</v>
      </c>
      <c r="F17" s="242"/>
      <c r="G17" s="242"/>
      <c r="I17" s="19"/>
    </row>
    <row r="18" spans="1:16" ht="15.75" customHeight="1">
      <c r="B18" s="22" t="s">
        <v>19</v>
      </c>
      <c r="D18" s="20" t="s">
        <v>3</v>
      </c>
      <c r="E18" s="1164" t="str">
        <f>'Lembar Penyelia'!E17</f>
        <v>( 204.6 ± 2.0 ) Volt</v>
      </c>
      <c r="F18" s="1164"/>
      <c r="G18" s="243"/>
      <c r="H18" s="243"/>
      <c r="J18" s="19"/>
    </row>
    <row r="19" spans="1:16" ht="10" customHeight="1">
      <c r="D19" s="23"/>
      <c r="E19" s="23"/>
      <c r="F19" s="23"/>
      <c r="G19" s="23"/>
      <c r="H19" s="19"/>
      <c r="M19" s="25"/>
    </row>
    <row r="20" spans="1:16" ht="15.75" customHeight="1">
      <c r="A20" s="23" t="s">
        <v>21</v>
      </c>
      <c r="B20" s="23" t="str">
        <f>'Lembar Penyelia'!B19</f>
        <v>Pemeriksaan Kondisi Fisik dan Fungsi Alat</v>
      </c>
      <c r="C20" s="234"/>
      <c r="J20" s="25"/>
      <c r="L20" s="21"/>
    </row>
    <row r="21" spans="1:16" ht="15.75" customHeight="1">
      <c r="B21" s="18" t="s">
        <v>361</v>
      </c>
      <c r="D21" s="11" t="s">
        <v>3</v>
      </c>
      <c r="E21" s="18" t="str">
        <f>'Lembar Penyelia'!E20</f>
        <v>Baik</v>
      </c>
      <c r="J21" s="26"/>
      <c r="K21" s="26"/>
      <c r="L21" s="26"/>
      <c r="M21" s="26"/>
      <c r="N21" s="26"/>
      <c r="O21" s="26"/>
    </row>
    <row r="22" spans="1:16" ht="15.75" customHeight="1">
      <c r="B22" s="18" t="s">
        <v>322</v>
      </c>
      <c r="D22" s="11" t="s">
        <v>3</v>
      </c>
      <c r="E22" s="18" t="str">
        <f>'Lembar Penyelia'!E21</f>
        <v>Baik</v>
      </c>
      <c r="I22" s="26"/>
      <c r="J22" s="26"/>
      <c r="K22" s="26"/>
      <c r="L22" s="26"/>
      <c r="M22" s="26"/>
      <c r="N22" s="26"/>
      <c r="O22" s="26"/>
    </row>
    <row r="23" spans="1:16" ht="10" customHeight="1">
      <c r="F23" s="15"/>
      <c r="G23" s="15"/>
      <c r="I23" s="26"/>
      <c r="J23" s="27"/>
      <c r="K23" s="27"/>
      <c r="L23" s="27"/>
      <c r="M23" s="27"/>
      <c r="N23" s="27"/>
      <c r="O23" s="27"/>
    </row>
    <row r="24" spans="1:16" ht="15.75" customHeight="1">
      <c r="A24" s="23" t="s">
        <v>28</v>
      </c>
      <c r="B24" s="23" t="str">
        <f>'Lembar Penyelia'!B23</f>
        <v>Pengujian Keselamatan Listrik</v>
      </c>
      <c r="C24" s="234"/>
      <c r="H24" s="19"/>
      <c r="M24" s="25"/>
    </row>
    <row r="25" spans="1:16" ht="30" customHeight="1">
      <c r="B25" s="28" t="s">
        <v>30</v>
      </c>
      <c r="C25" s="1047" t="s">
        <v>31</v>
      </c>
      <c r="D25" s="1047"/>
      <c r="E25" s="1047"/>
      <c r="F25" s="1047"/>
      <c r="G25" s="1047"/>
      <c r="H25" s="1047"/>
      <c r="I25" s="1047"/>
      <c r="J25" s="1047" t="s">
        <v>32</v>
      </c>
      <c r="K25" s="1047"/>
      <c r="L25" s="1047" t="s">
        <v>33</v>
      </c>
      <c r="M25" s="1047"/>
    </row>
    <row r="26" spans="1:16" ht="15" customHeight="1">
      <c r="B26" s="783">
        <v>1</v>
      </c>
      <c r="C26" s="784" t="s">
        <v>34</v>
      </c>
      <c r="D26" s="785"/>
      <c r="E26" s="785"/>
      <c r="F26" s="785"/>
      <c r="G26" s="785"/>
      <c r="H26" s="785"/>
      <c r="I26" s="786"/>
      <c r="J26" s="1157" t="str">
        <f>'Lembar Penyelia'!H25</f>
        <v>OL</v>
      </c>
      <c r="K26" s="1158"/>
      <c r="L26" s="1165">
        <f>'Lembar Penyelia'!J25</f>
        <v>2</v>
      </c>
      <c r="M26" s="1165"/>
    </row>
    <row r="27" spans="1:16" ht="15" customHeight="1">
      <c r="B27" s="787">
        <v>2</v>
      </c>
      <c r="C27" s="788" t="str">
        <f>'Lembar Penyelia'!C26</f>
        <v>Resistansi pembumian protektif (kabel dapat dilepas)</v>
      </c>
      <c r="D27" s="250"/>
      <c r="E27" s="250"/>
      <c r="F27" s="250"/>
      <c r="G27" s="250"/>
      <c r="H27" s="250"/>
      <c r="I27" s="789"/>
      <c r="J27" s="1159">
        <f>'Lembar Penyelia'!H26</f>
        <v>9.9319271332694151E-2</v>
      </c>
      <c r="K27" s="1160"/>
      <c r="L27" s="1166">
        <f>'Lembar Penyelia'!J26</f>
        <v>0.2</v>
      </c>
      <c r="M27" s="1166"/>
    </row>
    <row r="28" spans="1:16" ht="15" customHeight="1">
      <c r="B28" s="790">
        <v>3</v>
      </c>
      <c r="C28" s="51" t="s">
        <v>42</v>
      </c>
      <c r="D28" s="30"/>
      <c r="E28" s="30"/>
      <c r="F28" s="30"/>
      <c r="G28" s="30"/>
      <c r="H28" s="30"/>
      <c r="I28" s="43"/>
      <c r="J28" s="1161" t="str">
        <f>'Lembar Penyelia'!H27</f>
        <v>-</v>
      </c>
      <c r="K28" s="1162"/>
      <c r="L28" s="1167" t="s">
        <v>44</v>
      </c>
      <c r="M28" s="1167"/>
    </row>
    <row r="29" spans="1:16" ht="15" hidden="1" customHeight="1">
      <c r="B29" s="47"/>
      <c r="C29" s="244"/>
      <c r="D29" s="245"/>
      <c r="E29" s="245"/>
      <c r="F29" s="245"/>
      <c r="G29" s="49"/>
      <c r="H29" s="49"/>
      <c r="I29" s="55"/>
      <c r="J29" s="246"/>
      <c r="K29" s="55"/>
      <c r="L29" s="964"/>
      <c r="M29" s="964"/>
    </row>
    <row r="30" spans="1:16" ht="15" hidden="1" customHeight="1">
      <c r="B30" s="247"/>
      <c r="C30" s="248"/>
      <c r="D30" s="249"/>
      <c r="E30" s="249"/>
      <c r="F30" s="249"/>
      <c r="G30" s="250"/>
      <c r="H30" s="250"/>
      <c r="I30" s="251"/>
      <c r="J30" s="252"/>
      <c r="K30" s="251"/>
      <c r="L30" s="1156"/>
      <c r="M30" s="1156"/>
    </row>
    <row r="31" spans="1:16" ht="15" hidden="1" customHeight="1">
      <c r="B31" s="50"/>
      <c r="C31" s="253"/>
      <c r="D31" s="254"/>
      <c r="E31" s="254"/>
      <c r="F31" s="254"/>
      <c r="G31" s="30"/>
      <c r="H31" s="30"/>
      <c r="I31" s="56"/>
      <c r="J31" s="255"/>
      <c r="K31" s="56"/>
      <c r="L31" s="1003"/>
      <c r="M31" s="1003"/>
    </row>
    <row r="32" spans="1:16" ht="10" customHeight="1">
      <c r="D32" s="52"/>
      <c r="J32" s="15"/>
      <c r="L32" s="11"/>
      <c r="M32" s="21"/>
      <c r="N32" s="256"/>
      <c r="P32" s="10"/>
    </row>
    <row r="33" spans="1:20" ht="15.75" customHeight="1">
      <c r="A33" s="32" t="s">
        <v>45</v>
      </c>
      <c r="B33" s="23" t="str">
        <f>'Lembar Penyelia'!B29</f>
        <v>Pengujian Kinerja</v>
      </c>
      <c r="N33" s="17"/>
      <c r="O33" s="17"/>
      <c r="P33" s="10"/>
      <c r="R33" s="14"/>
      <c r="S33" s="14"/>
      <c r="T33" s="257"/>
    </row>
    <row r="34" spans="1:20" ht="15.75" customHeight="1">
      <c r="G34" s="258"/>
      <c r="H34" s="1025" t="s">
        <v>362</v>
      </c>
      <c r="I34" s="1025"/>
      <c r="J34" s="1025"/>
      <c r="M34" s="1022"/>
      <c r="N34" s="1022"/>
      <c r="O34" s="1022"/>
      <c r="P34" s="11"/>
    </row>
    <row r="35" spans="1:20" ht="15.75" customHeight="1">
      <c r="G35" s="258"/>
      <c r="H35" s="783" t="s">
        <v>363</v>
      </c>
      <c r="I35" s="791">
        <f>'Lembar Penyelia'!H31</f>
        <v>0.4</v>
      </c>
      <c r="J35" s="792" t="s">
        <v>364</v>
      </c>
      <c r="M35" s="1022"/>
      <c r="N35" s="41"/>
      <c r="O35" s="41"/>
      <c r="P35" s="11"/>
    </row>
    <row r="36" spans="1:20" ht="15.75" customHeight="1">
      <c r="G36" s="258"/>
      <c r="H36" s="787" t="s">
        <v>329</v>
      </c>
      <c r="I36" s="793">
        <f>'Lembar Penyelia'!H32</f>
        <v>0.33</v>
      </c>
      <c r="J36" s="789" t="s">
        <v>364</v>
      </c>
      <c r="M36" s="15"/>
      <c r="N36" s="42"/>
      <c r="O36" s="42"/>
      <c r="P36" s="11"/>
    </row>
    <row r="37" spans="1:20" ht="15.75" customHeight="1">
      <c r="G37" s="258"/>
      <c r="H37" s="787" t="s">
        <v>365</v>
      </c>
      <c r="I37" s="793">
        <f>'Lembar Penyelia'!H33</f>
        <v>0.4</v>
      </c>
      <c r="J37" s="789" t="s">
        <v>364</v>
      </c>
      <c r="M37" s="15"/>
      <c r="N37" s="42"/>
      <c r="O37" s="42"/>
    </row>
    <row r="38" spans="1:20" ht="15.75" customHeight="1">
      <c r="G38" s="258"/>
      <c r="H38" s="790" t="s">
        <v>331</v>
      </c>
      <c r="I38" s="794">
        <f>'Lembar Penyelia'!H34</f>
        <v>5.2800000000000007E-2</v>
      </c>
      <c r="J38" s="43" t="s">
        <v>366</v>
      </c>
      <c r="M38" s="15"/>
      <c r="N38" s="42"/>
      <c r="O38" s="42"/>
    </row>
    <row r="39" spans="1:20" ht="12" customHeight="1">
      <c r="M39" s="15"/>
      <c r="N39" s="42"/>
      <c r="O39" s="42"/>
    </row>
    <row r="40" spans="1:20" ht="15.75" customHeight="1">
      <c r="H40" s="29" t="s">
        <v>367</v>
      </c>
      <c r="I40" s="64">
        <f>'Lembar Penyelia'!H36</f>
        <v>1.5</v>
      </c>
      <c r="J40" s="46" t="s">
        <v>16</v>
      </c>
      <c r="M40" s="15"/>
      <c r="N40" s="42"/>
      <c r="O40" s="42"/>
    </row>
    <row r="41" spans="1:20" ht="15.75" customHeight="1">
      <c r="H41" s="29" t="s">
        <v>368</v>
      </c>
      <c r="I41" s="64">
        <f>'Lembar Penyelia'!H37</f>
        <v>3</v>
      </c>
      <c r="J41" s="46" t="s">
        <v>16</v>
      </c>
      <c r="M41" s="15"/>
      <c r="N41" s="42"/>
      <c r="O41" s="42"/>
      <c r="P41" s="234"/>
      <c r="Q41" s="15"/>
      <c r="R41" s="23"/>
      <c r="S41" s="23"/>
    </row>
    <row r="42" spans="1:20" ht="12" customHeight="1">
      <c r="M42" s="15"/>
      <c r="N42" s="42"/>
      <c r="O42" s="42"/>
      <c r="P42" s="22"/>
      <c r="R42" s="15"/>
      <c r="S42" s="15"/>
    </row>
    <row r="43" spans="1:20" ht="25" customHeight="1">
      <c r="B43" s="1047" t="s">
        <v>369</v>
      </c>
      <c r="C43" s="1047"/>
      <c r="D43" s="1047" t="s">
        <v>370</v>
      </c>
      <c r="E43" s="1047"/>
      <c r="F43" s="1153" t="s">
        <v>337</v>
      </c>
      <c r="G43" s="1154"/>
      <c r="H43" s="1154"/>
      <c r="I43" s="1154"/>
      <c r="J43" s="1155"/>
      <c r="K43" s="1151" t="s">
        <v>63</v>
      </c>
      <c r="L43" s="1151"/>
      <c r="M43" s="1047" t="s">
        <v>371</v>
      </c>
      <c r="N43" s="1047"/>
      <c r="O43" s="42"/>
    </row>
    <row r="44" spans="1:20" ht="15.75" customHeight="1">
      <c r="B44" s="1047"/>
      <c r="C44" s="1047"/>
      <c r="D44" s="1047"/>
      <c r="E44" s="1047"/>
      <c r="F44" s="1148" t="s">
        <v>339</v>
      </c>
      <c r="G44" s="1148" t="s">
        <v>340</v>
      </c>
      <c r="H44" s="1148" t="s">
        <v>341</v>
      </c>
      <c r="I44" s="1149" t="s">
        <v>241</v>
      </c>
      <c r="J44" s="1151" t="s">
        <v>236</v>
      </c>
      <c r="K44" s="1144" t="str">
        <f>'Lembar Penyelia'!I40</f>
        <v>Akurasi suhu     37 ±1.5°C         variasi total                 ≤ 3°C</v>
      </c>
      <c r="L44" s="1145"/>
      <c r="M44" s="1047"/>
      <c r="N44" s="1047"/>
      <c r="P44" s="22"/>
      <c r="Q44" s="1021"/>
    </row>
    <row r="45" spans="1:20" ht="30" customHeight="1">
      <c r="B45" s="1047"/>
      <c r="C45" s="1047"/>
      <c r="D45" s="1047"/>
      <c r="E45" s="1047"/>
      <c r="F45" s="1148"/>
      <c r="G45" s="1148"/>
      <c r="H45" s="1148"/>
      <c r="I45" s="1150"/>
      <c r="J45" s="1151"/>
      <c r="K45" s="1144"/>
      <c r="L45" s="1145"/>
      <c r="M45" s="1047"/>
      <c r="N45" s="1047"/>
      <c r="P45" s="22"/>
      <c r="Q45" s="1021"/>
    </row>
    <row r="46" spans="1:20" ht="23.15" customHeight="1">
      <c r="B46" s="1055" t="str">
        <f>'Lembar Penyelia'!B42</f>
        <v>37.0</v>
      </c>
      <c r="C46" s="1025"/>
      <c r="D46" s="1036" t="str">
        <f>'Lembar Penyelia'!C42</f>
        <v>37.0</v>
      </c>
      <c r="E46" s="1036"/>
      <c r="F46" s="31">
        <f ca="1">'Lembar Penyelia'!D42</f>
        <v>37.19</v>
      </c>
      <c r="G46" s="31">
        <f ca="1">'Lembar Penyelia'!E42</f>
        <v>3.9999999999984936E-2</v>
      </c>
      <c r="H46" s="31">
        <f ca="1">'Lembar Penyelia'!F42</f>
        <v>0</v>
      </c>
      <c r="I46" s="31">
        <f ca="1">'Lembar Penyelia'!G42</f>
        <v>3.9999999999999147E-2</v>
      </c>
      <c r="J46" s="259" t="str">
        <f ca="1">'Lembar Penyelia'!H42</f>
        <v>0.19</v>
      </c>
      <c r="K46" s="1146"/>
      <c r="L46" s="1147"/>
      <c r="M46" s="755" t="str">
        <f>'Lembar Penyelia'!K42</f>
        <v>±</v>
      </c>
      <c r="N46" s="782" t="str">
        <f ca="1">'Lembar Penyelia'!L42</f>
        <v>0.60</v>
      </c>
      <c r="P46" s="24"/>
      <c r="Q46" s="1021"/>
    </row>
    <row r="47" spans="1:20" ht="10" customHeight="1">
      <c r="P47" s="19"/>
      <c r="Q47" s="260"/>
    </row>
    <row r="48" spans="1:20" ht="15.75" customHeight="1">
      <c r="A48" s="261" t="s">
        <v>85</v>
      </c>
      <c r="B48" s="261" t="s">
        <v>86</v>
      </c>
      <c r="C48" s="33"/>
      <c r="D48" s="33"/>
      <c r="E48" s="35"/>
      <c r="F48" s="53"/>
      <c r="G48" s="53"/>
      <c r="H48" s="262"/>
      <c r="I48" s="33"/>
      <c r="J48" s="33"/>
      <c r="K48" s="33"/>
      <c r="L48" s="33"/>
      <c r="M48" s="33"/>
      <c r="N48" s="33"/>
      <c r="P48" s="38"/>
      <c r="Q48" s="15"/>
      <c r="R48" s="17"/>
      <c r="S48" s="17"/>
    </row>
    <row r="49" spans="1:19" ht="15.75" customHeight="1">
      <c r="A49" s="263"/>
      <c r="B49" s="34" t="str">
        <f>'Lembar Penyelia'!B45</f>
        <v>Ketidakpastian pengukuran dilaporkan pada tingkat kepercayaan 95% dengan faktor cakupan k=2</v>
      </c>
      <c r="C49" s="33"/>
      <c r="D49" s="33"/>
      <c r="E49" s="33"/>
      <c r="F49" s="35"/>
      <c r="G49" s="35"/>
      <c r="H49" s="262"/>
      <c r="I49" s="33"/>
      <c r="J49" s="33"/>
      <c r="K49" s="33"/>
      <c r="L49" s="33"/>
      <c r="M49" s="33"/>
      <c r="N49" s="33"/>
      <c r="P49" s="38"/>
      <c r="Q49" s="15"/>
      <c r="R49" s="17"/>
      <c r="S49" s="17"/>
    </row>
    <row r="50" spans="1:19" ht="15.75" customHeight="1">
      <c r="A50" s="263"/>
      <c r="B50" s="34" t="str">
        <f>'Lembar Penyelia'!B46</f>
        <v>Hasil pengukuran keselamatan listrik tertelusur ke Satuan SI melalui PT. Kaliman ( LK-032-IDN )</v>
      </c>
      <c r="C50" s="33"/>
      <c r="D50" s="33"/>
      <c r="E50" s="33"/>
      <c r="F50" s="35"/>
      <c r="G50" s="35"/>
      <c r="H50" s="262"/>
      <c r="I50" s="33"/>
      <c r="J50" s="33"/>
      <c r="K50" s="33"/>
      <c r="L50" s="33"/>
      <c r="M50" s="33"/>
      <c r="N50" s="33"/>
      <c r="P50" s="38"/>
      <c r="Q50" s="15"/>
      <c r="R50" s="17"/>
      <c r="S50" s="17"/>
    </row>
    <row r="51" spans="1:19" ht="15.75" customHeight="1">
      <c r="A51" s="263"/>
      <c r="B51" s="34" t="str">
        <f>'Lembar Penyelia'!B47</f>
        <v>Hasil pengujian kinerja suhu tertelusur ke Satuan SI melalui PT. Kaliman ( LK-032-IDN )</v>
      </c>
      <c r="C51" s="33"/>
      <c r="D51" s="33"/>
      <c r="E51" s="33"/>
      <c r="F51" s="35"/>
      <c r="G51" s="35"/>
      <c r="H51" s="262"/>
      <c r="I51" s="33"/>
      <c r="J51" s="33"/>
      <c r="K51" s="33"/>
      <c r="L51" s="33"/>
      <c r="M51" s="33"/>
      <c r="N51" s="33"/>
      <c r="P51" s="38"/>
      <c r="Q51" s="15"/>
      <c r="R51" s="17"/>
      <c r="S51" s="17"/>
    </row>
    <row r="52" spans="1:19" ht="15.75" customHeight="1">
      <c r="A52" s="263"/>
      <c r="B52" s="1152" t="str">
        <f>'Lembar Penyelia'!B48</f>
        <v>Tidak terdapat grounding di ruangan</v>
      </c>
      <c r="C52" s="1152"/>
      <c r="D52" s="1152"/>
      <c r="E52" s="1152"/>
      <c r="F52" s="1152"/>
      <c r="G52" s="1152"/>
      <c r="H52" s="1152"/>
      <c r="I52" s="1152"/>
      <c r="J52" s="1152"/>
      <c r="K52" s="1152"/>
      <c r="L52" s="1152"/>
      <c r="M52" s="1152"/>
      <c r="N52" s="33"/>
      <c r="P52" s="38"/>
      <c r="Q52" s="15"/>
      <c r="R52" s="17"/>
      <c r="S52" s="17"/>
    </row>
    <row r="53" spans="1:19" ht="10" customHeight="1">
      <c r="A53" s="263"/>
      <c r="B53" s="33"/>
      <c r="C53" s="33"/>
      <c r="D53" s="34"/>
      <c r="E53" s="33"/>
      <c r="F53" s="37"/>
      <c r="G53" s="37"/>
      <c r="H53" s="264"/>
      <c r="I53" s="33"/>
      <c r="J53" s="33"/>
      <c r="K53" s="33"/>
      <c r="L53" s="33"/>
      <c r="M53" s="33"/>
      <c r="N53" s="33"/>
      <c r="P53" s="12"/>
      <c r="Q53" s="13"/>
      <c r="R53" s="265"/>
      <c r="S53" s="265"/>
    </row>
    <row r="54" spans="1:19" ht="15.75" customHeight="1">
      <c r="A54" s="261" t="s">
        <v>372</v>
      </c>
      <c r="B54" s="36" t="s">
        <v>89</v>
      </c>
      <c r="C54" s="33"/>
      <c r="D54" s="33"/>
      <c r="E54" s="33"/>
      <c r="F54" s="37"/>
      <c r="G54" s="37"/>
      <c r="H54" s="33"/>
      <c r="I54" s="33"/>
      <c r="J54" s="33"/>
      <c r="K54" s="33"/>
      <c r="L54" s="33"/>
      <c r="M54" s="33"/>
      <c r="N54" s="33"/>
      <c r="P54" s="13"/>
      <c r="Q54" s="13"/>
      <c r="R54" s="38"/>
      <c r="S54" s="265"/>
    </row>
    <row r="55" spans="1:19" ht="15.75" customHeight="1">
      <c r="A55" s="263"/>
      <c r="B55" s="37" t="str">
        <f>'Lembar Penyelia'!B51</f>
        <v>Thermocouple Data Logger, Merek : MADGETECH, Model : OctTemp 2000, SN : P41878</v>
      </c>
      <c r="C55" s="33"/>
      <c r="D55" s="33"/>
      <c r="E55" s="33"/>
      <c r="F55" s="266"/>
      <c r="G55" s="266"/>
      <c r="H55" s="33"/>
      <c r="I55" s="33"/>
      <c r="J55" s="33"/>
      <c r="K55" s="33"/>
      <c r="L55" s="33"/>
      <c r="M55" s="61"/>
      <c r="N55" s="33"/>
    </row>
    <row r="56" spans="1:19" ht="15.75" customHeight="1">
      <c r="A56" s="263"/>
      <c r="B56" s="1152" t="str">
        <f>IF('Lembar Penyelia'!B52="",'Lembar Penyelia'!B53,'Lembar Penyelia'!B52)</f>
        <v>Electrical Safety Analyzer, Merek : Fluke, Model : ESA 615, SN : 3148908</v>
      </c>
      <c r="C56" s="1152"/>
      <c r="D56" s="1152"/>
      <c r="E56" s="1152"/>
      <c r="F56" s="1152"/>
      <c r="G56" s="1152"/>
      <c r="H56" s="1152"/>
      <c r="I56" s="1152"/>
      <c r="J56" s="33"/>
      <c r="K56" s="33"/>
      <c r="L56" s="33"/>
      <c r="M56" s="61"/>
      <c r="N56" s="33"/>
    </row>
    <row r="57" spans="1:19" ht="15.75" customHeight="1">
      <c r="A57" s="263"/>
      <c r="B57" s="59" t="str">
        <f>IF('Lembar Penyelia'!B52="","",'Lembar Penyelia'!B53)</f>
        <v/>
      </c>
      <c r="C57" s="33"/>
      <c r="D57" s="33"/>
      <c r="E57" s="35"/>
      <c r="F57" s="267"/>
      <c r="G57" s="267"/>
      <c r="H57" s="33"/>
      <c r="I57" s="33"/>
      <c r="J57" s="33"/>
      <c r="K57" s="33"/>
      <c r="L57" s="33"/>
      <c r="M57" s="61"/>
      <c r="N57" s="33"/>
    </row>
    <row r="58" spans="1:19" ht="8.15" customHeight="1">
      <c r="A58" s="263"/>
      <c r="B58" s="33"/>
      <c r="C58" s="33"/>
      <c r="D58" s="268"/>
      <c r="E58" s="35"/>
      <c r="F58" s="267"/>
      <c r="G58" s="267"/>
      <c r="H58" s="33"/>
      <c r="I58" s="33"/>
      <c r="J58" s="33"/>
      <c r="K58" s="33"/>
      <c r="L58" s="33"/>
      <c r="M58" s="61"/>
      <c r="N58" s="33"/>
    </row>
    <row r="59" spans="1:19" ht="15.75" customHeight="1">
      <c r="A59" s="261" t="s">
        <v>373</v>
      </c>
      <c r="B59" s="269" t="s">
        <v>103</v>
      </c>
      <c r="C59" s="33"/>
      <c r="D59" s="33"/>
      <c r="E59" s="35"/>
      <c r="F59" s="262"/>
      <c r="G59" s="262"/>
      <c r="H59" s="33"/>
      <c r="I59" s="33"/>
      <c r="J59" s="33"/>
      <c r="K59" s="33"/>
      <c r="L59" s="33"/>
      <c r="M59" s="61"/>
      <c r="N59" s="33"/>
    </row>
    <row r="60" spans="1:19" s="271" customFormat="1" ht="30" customHeight="1">
      <c r="A60" s="270"/>
      <c r="B60" s="1024" t="str">
        <f ca="1">'Lembar Penyelia'!B57</f>
        <v>Alat yang dikalibrasi dalam batas toleransi dan dinyatakan LAIK PAKAI, dimana hasil atau skor akhir sama dengan atau melampaui 70% berdasarkan Keputusan Direktur Jenderal Pelayanan Kesehatan No : HK.02.02/V/0412/2020</v>
      </c>
      <c r="C60" s="1024"/>
      <c r="D60" s="1024"/>
      <c r="E60" s="1024"/>
      <c r="F60" s="1024"/>
      <c r="G60" s="1024"/>
      <c r="H60" s="1024"/>
      <c r="I60" s="1024"/>
      <c r="J60" s="1024"/>
      <c r="K60" s="1024"/>
      <c r="L60" s="1024"/>
      <c r="M60" s="1024"/>
      <c r="N60" s="1024"/>
    </row>
    <row r="61" spans="1:19" ht="10.5" customHeight="1">
      <c r="A61" s="263"/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33"/>
      <c r="M61" s="61"/>
      <c r="N61" s="33"/>
    </row>
    <row r="62" spans="1:19" ht="15.75" customHeight="1">
      <c r="A62" s="261" t="s">
        <v>105</v>
      </c>
      <c r="B62" s="273" t="str">
        <f>'Lembar Penyelia'!B61</f>
        <v>Petugas Kalibrasi</v>
      </c>
      <c r="C62" s="33"/>
      <c r="D62" s="33"/>
      <c r="E62" s="35"/>
      <c r="F62" s="262"/>
      <c r="G62" s="262"/>
      <c r="H62" s="33"/>
      <c r="I62" s="33"/>
      <c r="J62" s="33"/>
      <c r="K62" s="33"/>
      <c r="L62" s="33"/>
      <c r="M62" s="61"/>
      <c r="N62" s="33"/>
    </row>
    <row r="63" spans="1:19" ht="15.75" customHeight="1">
      <c r="A63" s="33"/>
      <c r="B63" s="59" t="str">
        <f>'Lembar Penyelia'!B62</f>
        <v>Choirul Huda</v>
      </c>
      <c r="C63" s="33"/>
      <c r="D63" s="33"/>
      <c r="E63" s="59"/>
      <c r="F63" s="264"/>
      <c r="G63" s="264"/>
      <c r="H63" s="33"/>
      <c r="I63" s="33"/>
      <c r="J63" s="33"/>
      <c r="K63" s="33"/>
      <c r="L63" s="33"/>
      <c r="M63" s="33"/>
      <c r="N63" s="33"/>
    </row>
    <row r="64" spans="1:19" ht="14.15" hidden="1" customHeight="1">
      <c r="A64" s="33"/>
      <c r="B64" s="33"/>
      <c r="C64" s="33"/>
      <c r="D64" s="59"/>
      <c r="E64" s="59"/>
      <c r="F64" s="264"/>
      <c r="G64" s="264"/>
      <c r="H64" s="33"/>
      <c r="I64" s="33"/>
      <c r="J64" s="33"/>
      <c r="K64" s="33"/>
      <c r="L64" s="33"/>
      <c r="M64" s="33"/>
      <c r="N64" s="33"/>
    </row>
    <row r="65" spans="1:21" ht="14.15" customHeight="1">
      <c r="A65" s="33"/>
      <c r="B65" s="33"/>
      <c r="C65" s="33"/>
      <c r="D65" s="59"/>
      <c r="E65" s="59"/>
      <c r="F65" s="264"/>
      <c r="G65" s="264"/>
      <c r="H65" s="33"/>
      <c r="I65" s="33"/>
      <c r="J65" s="33"/>
      <c r="K65" s="33"/>
      <c r="L65" s="33"/>
      <c r="M65" s="33"/>
      <c r="N65" s="33"/>
    </row>
    <row r="66" spans="1:21" ht="14.15" hidden="1" customHeight="1">
      <c r="A66" s="33"/>
      <c r="B66" s="33"/>
      <c r="C66" s="33"/>
      <c r="D66" s="59"/>
      <c r="E66" s="59"/>
      <c r="F66" s="264"/>
      <c r="G66" s="264"/>
      <c r="H66" s="33"/>
      <c r="I66" s="33"/>
      <c r="J66" s="33"/>
      <c r="K66" s="33"/>
      <c r="L66" s="33"/>
      <c r="M66" s="33"/>
      <c r="N66" s="33"/>
    </row>
    <row r="67" spans="1:21" ht="14.15" customHeight="1">
      <c r="A67" s="33"/>
      <c r="B67" s="33"/>
      <c r="C67" s="33"/>
      <c r="D67" s="59"/>
      <c r="E67" s="59"/>
      <c r="F67" s="264"/>
      <c r="G67" s="264"/>
      <c r="H67" s="33"/>
      <c r="I67" s="33"/>
      <c r="J67" s="33"/>
      <c r="K67" s="33"/>
      <c r="L67" s="33"/>
      <c r="M67" s="33"/>
      <c r="N67" s="33"/>
    </row>
    <row r="68" spans="1:21" ht="14.15" customHeight="1">
      <c r="A68" s="33"/>
      <c r="B68" s="33"/>
      <c r="C68" s="33"/>
      <c r="D68" s="59"/>
      <c r="E68" s="59"/>
      <c r="F68" s="264"/>
      <c r="G68" s="264"/>
      <c r="H68" s="33"/>
      <c r="I68" s="33"/>
      <c r="J68" s="33"/>
      <c r="K68" s="33"/>
      <c r="L68" s="33"/>
      <c r="M68" s="33"/>
      <c r="N68" s="33"/>
    </row>
    <row r="69" spans="1:21" ht="14.15" customHeight="1">
      <c r="A69" s="33"/>
      <c r="B69" s="33"/>
      <c r="C69" s="33"/>
      <c r="D69" s="59"/>
      <c r="E69" s="59"/>
      <c r="F69" s="264"/>
      <c r="G69" s="264"/>
      <c r="H69" s="33"/>
      <c r="I69" s="33"/>
      <c r="J69" s="33" t="s">
        <v>374</v>
      </c>
      <c r="K69" s="33"/>
      <c r="L69" s="33"/>
      <c r="M69" s="33"/>
      <c r="N69" s="33"/>
      <c r="R69" s="739" t="s">
        <v>375</v>
      </c>
      <c r="S69" s="744" t="s">
        <v>376</v>
      </c>
      <c r="T69" s="741"/>
      <c r="U69" s="741"/>
    </row>
    <row r="70" spans="1:21" ht="15.75" customHeight="1">
      <c r="A70" s="33"/>
      <c r="B70" s="33"/>
      <c r="C70" s="33"/>
      <c r="D70" s="33"/>
      <c r="E70" s="33"/>
      <c r="F70" s="33"/>
      <c r="G70" s="33"/>
      <c r="H70" s="33"/>
      <c r="I70" s="760" t="str">
        <f>IF(J78=R69,"a.n.","")</f>
        <v/>
      </c>
      <c r="J70" s="33" t="s">
        <v>377</v>
      </c>
      <c r="K70" s="33"/>
      <c r="L70" s="274"/>
      <c r="M70" s="33"/>
      <c r="N70" s="33"/>
      <c r="R70" s="742" t="s">
        <v>378</v>
      </c>
      <c r="S70" s="740" t="s">
        <v>379</v>
      </c>
      <c r="T70" s="741"/>
      <c r="U70" s="741"/>
    </row>
    <row r="71" spans="1:2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 t="s">
        <v>380</v>
      </c>
      <c r="K71" s="33"/>
      <c r="L71" s="274"/>
      <c r="M71" s="33"/>
      <c r="N71" s="33"/>
      <c r="R71" s="175"/>
      <c r="S71" s="741"/>
      <c r="T71" s="741"/>
      <c r="U71" s="741"/>
    </row>
    <row r="72" spans="1:21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274"/>
      <c r="M72" s="33"/>
      <c r="N72" s="33"/>
      <c r="R72" s="743" t="s">
        <v>377</v>
      </c>
      <c r="S72" s="175"/>
      <c r="T72" s="175"/>
      <c r="U72" s="175"/>
    </row>
    <row r="73" spans="1:21" ht="15.75" customHeight="1">
      <c r="A73" s="33"/>
      <c r="B73" s="33"/>
      <c r="C73" s="33"/>
      <c r="D73" s="275"/>
      <c r="E73" s="275"/>
      <c r="F73" s="53"/>
      <c r="G73" s="53"/>
      <c r="H73" s="53"/>
      <c r="I73" s="33"/>
      <c r="J73" s="53"/>
      <c r="K73" s="53"/>
      <c r="L73" s="276"/>
      <c r="M73" s="33"/>
      <c r="N73" s="33"/>
      <c r="R73" s="743" t="s">
        <v>380</v>
      </c>
      <c r="S73" s="175"/>
      <c r="T73" s="175"/>
      <c r="U73" s="175"/>
    </row>
    <row r="74" spans="1:21" ht="15.75" customHeight="1">
      <c r="A74" s="33"/>
      <c r="B74" s="33"/>
      <c r="C74" s="33"/>
      <c r="D74" s="277"/>
      <c r="E74" s="277"/>
      <c r="F74" s="274"/>
      <c r="G74" s="274"/>
      <c r="H74" s="274"/>
      <c r="I74" s="33"/>
      <c r="J74" s="274"/>
      <c r="K74" s="274"/>
      <c r="L74" s="276"/>
      <c r="M74" s="33"/>
      <c r="N74" s="33"/>
      <c r="Q74" s="11"/>
      <c r="R74" s="743" t="s">
        <v>377</v>
      </c>
      <c r="S74" s="175"/>
      <c r="T74" s="175"/>
      <c r="U74" s="175"/>
    </row>
    <row r="75" spans="1:21" ht="15.75" customHeight="1">
      <c r="A75" s="33"/>
      <c r="B75" s="33"/>
      <c r="C75" s="33"/>
      <c r="D75" s="277"/>
      <c r="E75" s="277"/>
      <c r="F75" s="274"/>
      <c r="G75" s="274"/>
      <c r="H75" s="274"/>
      <c r="I75" s="33"/>
      <c r="J75" s="274"/>
      <c r="K75" s="274"/>
      <c r="L75" s="276"/>
      <c r="M75" s="33"/>
      <c r="N75" s="33"/>
      <c r="R75" s="743" t="s">
        <v>380</v>
      </c>
      <c r="S75" s="175"/>
      <c r="T75" s="175"/>
      <c r="U75" s="175"/>
    </row>
    <row r="76" spans="1:21" ht="15.75" hidden="1" customHeight="1">
      <c r="A76" s="33"/>
      <c r="B76" s="33"/>
      <c r="C76" s="33"/>
      <c r="D76" s="275"/>
      <c r="E76" s="275"/>
      <c r="F76" s="275"/>
      <c r="G76" s="275"/>
      <c r="H76" s="275"/>
      <c r="I76" s="33"/>
      <c r="J76" s="278"/>
      <c r="K76" s="278"/>
      <c r="L76" s="33"/>
      <c r="M76" s="33"/>
      <c r="N76" s="33"/>
    </row>
    <row r="77" spans="1:21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21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76" t="s">
        <v>378</v>
      </c>
      <c r="K78" s="33"/>
      <c r="L78" s="33"/>
      <c r="M78" s="33"/>
      <c r="N78" s="33"/>
    </row>
    <row r="79" spans="1:21" ht="15.75" hidden="1" customHeight="1">
      <c r="A79" s="33"/>
      <c r="B79" s="33"/>
      <c r="C79" s="33"/>
      <c r="D79" s="33"/>
      <c r="E79" s="33"/>
      <c r="F79" s="33"/>
      <c r="G79" s="33"/>
      <c r="H79" s="33"/>
      <c r="I79" s="33"/>
      <c r="J79" s="279" t="s">
        <v>379</v>
      </c>
      <c r="K79" s="33"/>
      <c r="L79" s="33"/>
      <c r="M79" s="33"/>
      <c r="N79" s="33"/>
    </row>
    <row r="80" spans="1:21" ht="15.75" hidden="1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</row>
    <row r="81" spans="1:14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761" t="str">
        <f>VLOOKUP(J78,R69:S70,2,0)</f>
        <v>NIP 198008062010121001</v>
      </c>
      <c r="K81" s="33"/>
      <c r="L81" s="33"/>
      <c r="M81" s="33"/>
      <c r="N81" s="33"/>
    </row>
    <row r="82" spans="1:14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279"/>
      <c r="K82" s="33"/>
      <c r="L82" s="33"/>
      <c r="M82" s="33"/>
      <c r="N82" s="33"/>
    </row>
    <row r="83" spans="1:14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279"/>
      <c r="K83" s="33"/>
      <c r="L83" s="33"/>
      <c r="M83" s="33"/>
      <c r="N83" s="33"/>
    </row>
    <row r="84" spans="1:14" ht="15.75" hidden="1" customHeight="1">
      <c r="A84" s="33"/>
      <c r="B84" s="33"/>
      <c r="C84" s="33"/>
      <c r="D84" s="33"/>
      <c r="E84" s="33"/>
      <c r="F84" s="33"/>
      <c r="G84" s="33"/>
      <c r="H84" s="33"/>
      <c r="I84" s="33"/>
      <c r="J84" s="279"/>
      <c r="K84" s="33"/>
      <c r="L84" s="33"/>
      <c r="M84" s="33"/>
      <c r="N84" s="33"/>
    </row>
    <row r="85" spans="1:14" ht="15.75" hidden="1" customHeight="1">
      <c r="A85" s="33"/>
      <c r="B85" s="33"/>
      <c r="C85" s="33"/>
      <c r="D85" s="33"/>
      <c r="E85" s="33"/>
      <c r="F85" s="33"/>
      <c r="G85" s="33"/>
      <c r="H85" s="33"/>
      <c r="I85" s="33"/>
      <c r="J85" s="279"/>
      <c r="K85" s="33"/>
      <c r="L85" s="33"/>
      <c r="M85" s="33"/>
      <c r="N85" s="33"/>
    </row>
    <row r="86" spans="1:14" ht="15.75" hidden="1" customHeight="1">
      <c r="A86" s="33"/>
      <c r="B86" s="33"/>
      <c r="C86" s="33"/>
      <c r="D86" s="33"/>
      <c r="E86" s="33"/>
      <c r="F86" s="33"/>
      <c r="G86" s="33"/>
      <c r="H86" s="33"/>
      <c r="I86" s="33"/>
      <c r="J86" s="279"/>
      <c r="K86" s="33"/>
      <c r="L86" s="33"/>
      <c r="M86" s="33"/>
      <c r="N86" s="33"/>
    </row>
    <row r="87" spans="1:14" ht="15.75" hidden="1" customHeight="1">
      <c r="A87" s="33"/>
      <c r="B87" s="33"/>
      <c r="C87" s="33"/>
      <c r="D87" s="33"/>
      <c r="E87" s="33"/>
      <c r="F87" s="33"/>
      <c r="G87" s="33"/>
      <c r="H87" s="33"/>
      <c r="I87" s="33"/>
      <c r="J87" s="279"/>
      <c r="K87" s="33"/>
      <c r="L87" s="33"/>
      <c r="M87" s="33"/>
      <c r="N87" s="33"/>
    </row>
    <row r="88" spans="1:14" ht="15.75" hidden="1" customHeight="1">
      <c r="A88" s="33"/>
      <c r="B88" s="33"/>
      <c r="C88" s="33"/>
      <c r="D88" s="33"/>
      <c r="E88" s="33"/>
      <c r="F88" s="33"/>
      <c r="G88" s="33"/>
      <c r="H88" s="33"/>
      <c r="I88" s="33"/>
      <c r="J88" s="279"/>
      <c r="K88" s="33"/>
      <c r="L88" s="33"/>
      <c r="M88" s="33"/>
      <c r="N88" s="33"/>
    </row>
    <row r="89" spans="1:14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279"/>
      <c r="K89" s="33"/>
      <c r="L89" s="33"/>
      <c r="M89" s="33"/>
      <c r="N89" s="33"/>
    </row>
    <row r="90" spans="1:14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279"/>
      <c r="K90" s="33"/>
      <c r="L90" s="33"/>
      <c r="M90" s="33"/>
      <c r="N90" s="33"/>
    </row>
    <row r="91" spans="1:14" ht="15.75" hidden="1" customHeight="1">
      <c r="A91" s="33"/>
      <c r="B91" s="33"/>
      <c r="C91" s="33"/>
      <c r="D91" s="33"/>
      <c r="E91" s="33"/>
      <c r="F91" s="33"/>
      <c r="G91" s="33"/>
      <c r="H91" s="33"/>
      <c r="I91" s="33"/>
      <c r="J91" s="279"/>
      <c r="K91" s="33"/>
      <c r="L91" s="33"/>
      <c r="M91" s="33"/>
      <c r="N91" s="33"/>
    </row>
    <row r="92" spans="1:14" ht="15.75" hidden="1" customHeight="1">
      <c r="A92" s="33"/>
      <c r="B92" s="33"/>
      <c r="C92" s="33"/>
      <c r="D92" s="33"/>
      <c r="E92" s="33"/>
      <c r="F92" s="33"/>
      <c r="G92" s="33"/>
      <c r="H92" s="33"/>
      <c r="I92" s="33"/>
      <c r="J92" s="279"/>
      <c r="K92" s="33"/>
      <c r="L92" s="33"/>
      <c r="M92" s="33"/>
      <c r="N92" s="33"/>
    </row>
    <row r="93" spans="1:14" ht="7.5" hidden="1" customHeight="1">
      <c r="A93" s="33"/>
      <c r="B93" s="33"/>
      <c r="C93" s="33"/>
      <c r="D93" s="33"/>
      <c r="E93" s="33"/>
      <c r="F93" s="33"/>
      <c r="G93" s="33"/>
      <c r="H93" s="33"/>
      <c r="I93" s="33"/>
      <c r="J93" s="279"/>
      <c r="K93" s="33"/>
      <c r="L93" s="33"/>
      <c r="M93" s="33"/>
      <c r="N93" s="33"/>
    </row>
    <row r="94" spans="1:14" ht="7.5" hidden="1" customHeight="1">
      <c r="A94" s="33"/>
      <c r="B94" s="33"/>
      <c r="C94" s="33"/>
      <c r="D94" s="33"/>
      <c r="E94" s="33"/>
      <c r="F94" s="33"/>
      <c r="G94" s="33"/>
      <c r="H94" s="33"/>
      <c r="I94" s="33"/>
      <c r="J94" s="279"/>
      <c r="K94" s="33"/>
      <c r="L94" s="33"/>
      <c r="M94" s="33"/>
      <c r="N94" s="33"/>
    </row>
    <row r="95" spans="1:14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</row>
    <row r="96" spans="1:14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M96" s="369" t="s">
        <v>381</v>
      </c>
      <c r="N96" s="33"/>
    </row>
    <row r="97" spans="1:14" ht="21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</row>
    <row r="98" spans="1:14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</row>
    <row r="99" spans="1:14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</row>
    <row r="100" spans="1:14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</row>
    <row r="101" spans="1:14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</row>
  </sheetData>
  <sheetProtection formatCells="0" formatColumns="0" formatRows="0" insertColumns="0" insertRows="0" deleteColumns="0" deleteRows="0"/>
  <mergeCells count="37">
    <mergeCell ref="J26:K26"/>
    <mergeCell ref="J27:K27"/>
    <mergeCell ref="J28:K28"/>
    <mergeCell ref="A1:N1"/>
    <mergeCell ref="A2:N2"/>
    <mergeCell ref="E14:L14"/>
    <mergeCell ref="E18:F18"/>
    <mergeCell ref="C25:I25"/>
    <mergeCell ref="J25:K25"/>
    <mergeCell ref="L25:M25"/>
    <mergeCell ref="L26:M26"/>
    <mergeCell ref="L27:M27"/>
    <mergeCell ref="L28:M28"/>
    <mergeCell ref="B56:I56"/>
    <mergeCell ref="B60:L60"/>
    <mergeCell ref="M60:N60"/>
    <mergeCell ref="L29:M29"/>
    <mergeCell ref="L30:M30"/>
    <mergeCell ref="L31:M31"/>
    <mergeCell ref="H34:J34"/>
    <mergeCell ref="B43:C45"/>
    <mergeCell ref="D43:E45"/>
    <mergeCell ref="B46:C46"/>
    <mergeCell ref="D46:E46"/>
    <mergeCell ref="B52:M52"/>
    <mergeCell ref="N34:O34"/>
    <mergeCell ref="F43:J43"/>
    <mergeCell ref="K43:L43"/>
    <mergeCell ref="M34:M35"/>
    <mergeCell ref="Q44:Q46"/>
    <mergeCell ref="K44:L46"/>
    <mergeCell ref="M43:N45"/>
    <mergeCell ref="F44:F45"/>
    <mergeCell ref="G44:G45"/>
    <mergeCell ref="H44:H45"/>
    <mergeCell ref="I44:I45"/>
    <mergeCell ref="J44:J45"/>
  </mergeCells>
  <dataValidations count="1">
    <dataValidation type="list" allowBlank="1" showInputMessage="1" showErrorMessage="1" sqref="J78" xr:uid="{F4E66E05-65B3-4C40-89BE-DA975E188981}">
      <formula1>$R$69:$R$70</formula1>
    </dataValidation>
  </dataValidations>
  <printOptions horizontalCentered="1"/>
  <pageMargins left="0.499305555555556" right="0.249305555555556" top="0.39930555555555602" bottom="0.39930555555555602" header="0.249305555555556" footer="0.249305555555556"/>
  <pageSetup paperSize="9" scale="63" orientation="portrait" r:id="rId1"/>
  <headerFooter>
    <oddHeader>&amp;R&amp;"-,Regular"&amp;8SH.LHK - 028-18 / Rev  : 1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'E:\SOFTWARE 2019\SOFTWARE TEKANAN\[TENSIMETER 8-1-2019 KAN.xlsx]DB ESA'!#REF!</xm:f>
          </x14:formula1>
          <xm:sqref>J90:J94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5E75-F508-487A-AFDA-7EA1B7957C7F}">
  <sheetPr>
    <tabColor rgb="FF7030A0"/>
  </sheetPr>
  <dimension ref="A1:U101"/>
  <sheetViews>
    <sheetView showGridLines="0" view="pageBreakPreview" topLeftCell="A53" zoomScale="65" zoomScaleNormal="100" zoomScaleSheetLayoutView="65" workbookViewId="0">
      <selection activeCell="G68" sqref="G68"/>
    </sheetView>
  </sheetViews>
  <sheetFormatPr defaultColWidth="9" defaultRowHeight="15.5"/>
  <cols>
    <col min="1" max="1" width="4.453125" style="18" customWidth="1"/>
    <col min="2" max="2" width="5.54296875" style="18" customWidth="1"/>
    <col min="3" max="3" width="16" style="18" customWidth="1"/>
    <col min="4" max="4" width="5.26953125" style="18" customWidth="1"/>
    <col min="5" max="5" width="9.54296875" style="18" customWidth="1"/>
    <col min="6" max="6" width="11.26953125" style="18" customWidth="1"/>
    <col min="7" max="7" width="10" style="18" customWidth="1"/>
    <col min="8" max="8" width="11.54296875" style="18" customWidth="1"/>
    <col min="9" max="9" width="10.26953125" style="18" customWidth="1"/>
    <col min="10" max="10" width="9.453125" style="18" customWidth="1"/>
    <col min="11" max="11" width="6.81640625" style="18" customWidth="1"/>
    <col min="12" max="12" width="10" style="18" customWidth="1"/>
    <col min="13" max="13" width="8" style="18" customWidth="1"/>
    <col min="14" max="14" width="9.7265625" style="18" customWidth="1"/>
    <col min="15" max="15" width="7.81640625" style="18" customWidth="1"/>
    <col min="16" max="16" width="9.1796875" style="18" customWidth="1"/>
    <col min="17" max="18" width="9.26953125" style="18" customWidth="1"/>
    <col min="19" max="258" width="9.1796875" style="18" customWidth="1"/>
    <col min="259" max="16384" width="9" style="18"/>
  </cols>
  <sheetData>
    <row r="1" spans="1:14" ht="19.5" customHeight="1">
      <c r="A1" s="962" t="s">
        <v>354</v>
      </c>
      <c r="B1" s="962"/>
      <c r="C1" s="962"/>
      <c r="D1" s="962"/>
      <c r="E1" s="962"/>
      <c r="F1" s="962"/>
      <c r="G1" s="962"/>
      <c r="H1" s="962"/>
      <c r="I1" s="962"/>
      <c r="J1" s="962"/>
      <c r="K1" s="962"/>
      <c r="L1" s="962"/>
      <c r="M1" s="962"/>
      <c r="N1" s="962"/>
    </row>
    <row r="2" spans="1:14" ht="18.75" customHeight="1">
      <c r="A2" s="1172" t="str">
        <f ca="1">'Lembar Penyelia'!A2</f>
        <v>Nomor Sertifikat : 30 / 1 / I - 23 / E - 123 DL</v>
      </c>
      <c r="B2" s="1172"/>
      <c r="C2" s="1172"/>
      <c r="D2" s="1172"/>
      <c r="E2" s="1172"/>
      <c r="F2" s="1172"/>
      <c r="G2" s="1172"/>
      <c r="H2" s="1172"/>
      <c r="I2" s="1172"/>
      <c r="J2" s="1172"/>
      <c r="K2" s="1172"/>
      <c r="L2" s="1172"/>
      <c r="M2" s="1172"/>
      <c r="N2" s="1172"/>
    </row>
    <row r="3" spans="1:14" ht="14.15" customHeight="1"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ht="15.75" customHeight="1">
      <c r="A4" s="19" t="s">
        <v>355</v>
      </c>
      <c r="B4" s="19"/>
      <c r="D4" s="20" t="s">
        <v>3</v>
      </c>
      <c r="E4" s="21" t="str">
        <f>'Lembar Penyelia'!E4</f>
        <v>memmert</v>
      </c>
      <c r="F4" s="21"/>
      <c r="L4" s="19"/>
      <c r="M4" s="20"/>
    </row>
    <row r="5" spans="1:14" ht="15.75" customHeight="1">
      <c r="A5" s="19" t="s">
        <v>4</v>
      </c>
      <c r="B5" s="19"/>
      <c r="D5" s="20" t="s">
        <v>3</v>
      </c>
      <c r="E5" s="21" t="str">
        <f>'Lembar Penyelia'!E5</f>
        <v>INB 400</v>
      </c>
      <c r="F5" s="21"/>
      <c r="L5" s="19"/>
      <c r="M5" s="20"/>
    </row>
    <row r="6" spans="1:14" ht="15.75" customHeight="1">
      <c r="A6" s="19" t="s">
        <v>356</v>
      </c>
      <c r="B6" s="19"/>
      <c r="D6" s="20" t="s">
        <v>3</v>
      </c>
      <c r="E6" s="21" t="str">
        <f>'Lembar Penyelia'!E6</f>
        <v>E406.0655</v>
      </c>
      <c r="F6" s="21"/>
      <c r="L6" s="19"/>
      <c r="M6" s="20"/>
    </row>
    <row r="7" spans="1:14" ht="15.75" customHeight="1">
      <c r="A7" s="19" t="s">
        <v>6</v>
      </c>
      <c r="B7" s="19"/>
      <c r="D7" s="20" t="s">
        <v>3</v>
      </c>
      <c r="E7" s="908" t="str">
        <f>'Lembar Penyelia'!E7</f>
        <v>0.1</v>
      </c>
      <c r="F7" s="19" t="str">
        <f>'Lembar Penyelia'!F7</f>
        <v>°C</v>
      </c>
      <c r="I7" s="19"/>
      <c r="J7" s="19"/>
      <c r="K7" s="20"/>
    </row>
    <row r="8" spans="1:14" hidden="1">
      <c r="A8" s="19"/>
      <c r="B8" s="19"/>
      <c r="D8" s="20"/>
      <c r="E8" s="237"/>
      <c r="F8" s="19"/>
      <c r="I8" s="19"/>
      <c r="J8" s="19"/>
      <c r="K8" s="20"/>
    </row>
    <row r="9" spans="1:14" ht="15.75" customHeight="1">
      <c r="A9" s="19" t="s">
        <v>357</v>
      </c>
      <c r="B9" s="19"/>
      <c r="D9" s="20" t="s">
        <v>3</v>
      </c>
      <c r="E9" s="21" t="str">
        <f>'Lembar Penyelia'!E8</f>
        <v>20 Mei 2019</v>
      </c>
      <c r="F9" s="21"/>
      <c r="I9" s="19"/>
      <c r="J9" s="19"/>
      <c r="K9" s="20"/>
    </row>
    <row r="10" spans="1:14" ht="15.75" customHeight="1">
      <c r="A10" s="19" t="s">
        <v>8</v>
      </c>
      <c r="B10" s="19"/>
      <c r="D10" s="20" t="s">
        <v>3</v>
      </c>
      <c r="E10" s="21" t="str">
        <f>'Lembar Penyelia'!E9</f>
        <v>20 Mei 2021</v>
      </c>
      <c r="F10" s="21"/>
      <c r="I10" s="19"/>
      <c r="J10" s="19"/>
      <c r="K10" s="20"/>
    </row>
    <row r="11" spans="1:14" ht="15.75" customHeight="1">
      <c r="A11" s="19" t="s">
        <v>358</v>
      </c>
      <c r="B11" s="19"/>
      <c r="D11" s="20" t="s">
        <v>3</v>
      </c>
      <c r="E11" s="21" t="str">
        <f>'Lembar Penyelia'!E10</f>
        <v>Laboratorium</v>
      </c>
      <c r="F11" s="21"/>
      <c r="I11" s="19"/>
      <c r="J11" s="19"/>
      <c r="K11" s="20"/>
    </row>
    <row r="12" spans="1:14" ht="15.75" customHeight="1">
      <c r="A12" s="19" t="s">
        <v>200</v>
      </c>
      <c r="B12" s="19"/>
      <c r="D12" s="20" t="s">
        <v>3</v>
      </c>
      <c r="E12" s="21" t="str">
        <f>'Lembar Penyelia'!E11</f>
        <v>Laboratorium</v>
      </c>
      <c r="F12" s="21"/>
      <c r="I12" s="19"/>
      <c r="J12" s="19"/>
      <c r="K12" s="20"/>
    </row>
    <row r="13" spans="1:14" ht="15.75" customHeight="1">
      <c r="A13" s="19" t="s">
        <v>359</v>
      </c>
      <c r="B13" s="19"/>
      <c r="D13" s="20" t="s">
        <v>3</v>
      </c>
      <c r="E13" s="18" t="str">
        <f>'Lembar Penyelia'!E12</f>
        <v xml:space="preserve">MK 028-18 </v>
      </c>
      <c r="I13" s="19"/>
      <c r="J13" s="19"/>
      <c r="K13" s="20"/>
    </row>
    <row r="14" spans="1:14" ht="14.15" customHeight="1">
      <c r="D14" s="19"/>
      <c r="E14" s="1163"/>
      <c r="F14" s="1163"/>
      <c r="G14" s="1163"/>
      <c r="H14" s="1163"/>
      <c r="I14" s="1163"/>
      <c r="J14" s="1163"/>
      <c r="K14" s="1163"/>
      <c r="L14" s="1163"/>
      <c r="M14" s="21"/>
    </row>
    <row r="15" spans="1:14" ht="15.75" customHeight="1">
      <c r="A15" s="23" t="s">
        <v>360</v>
      </c>
      <c r="B15" s="24" t="s">
        <v>12</v>
      </c>
      <c r="C15" s="234"/>
      <c r="E15" s="24"/>
      <c r="H15" s="15"/>
      <c r="I15" s="4"/>
      <c r="J15" s="22"/>
      <c r="K15" s="19"/>
      <c r="L15" s="19"/>
      <c r="M15" s="19"/>
    </row>
    <row r="16" spans="1:14" ht="15.75" customHeight="1">
      <c r="B16" s="19" t="s">
        <v>15</v>
      </c>
      <c r="D16" s="20" t="s">
        <v>3</v>
      </c>
      <c r="E16" s="907">
        <f>'DB Thermo'!U377</f>
        <v>25.392605438401777</v>
      </c>
      <c r="F16" s="845" t="s">
        <v>344</v>
      </c>
      <c r="G16" s="908">
        <f>'DB Thermo'!W377</f>
        <v>0.6</v>
      </c>
      <c r="H16" s="846" t="s">
        <v>16</v>
      </c>
      <c r="I16" s="240"/>
    </row>
    <row r="17" spans="1:16" ht="15.75" customHeight="1">
      <c r="B17" s="22" t="s">
        <v>129</v>
      </c>
      <c r="D17" s="20" t="s">
        <v>3</v>
      </c>
      <c r="E17" s="907">
        <f>'DB Thermo'!U378</f>
        <v>61.268654390934842</v>
      </c>
      <c r="F17" s="845" t="s">
        <v>344</v>
      </c>
      <c r="G17" s="908">
        <f>'DB Thermo'!W378</f>
        <v>2.2999999999999998</v>
      </c>
      <c r="H17" s="846" t="s">
        <v>18</v>
      </c>
      <c r="I17" s="19"/>
    </row>
    <row r="18" spans="1:16" ht="15.75" customHeight="1">
      <c r="B18" s="22" t="s">
        <v>19</v>
      </c>
      <c r="D18" s="20" t="s">
        <v>3</v>
      </c>
      <c r="E18" s="907">
        <f>'DB Kelistrikan'!O268</f>
        <v>204.58246453982187</v>
      </c>
      <c r="F18" s="845" t="str">
        <f>'DB Kelistrikan'!P268</f>
        <v xml:space="preserve"> ± </v>
      </c>
      <c r="G18" s="907" t="str">
        <f>'DB Kelistrikan'!R268</f>
        <v>2.0</v>
      </c>
      <c r="H18" s="243" t="str">
        <f>'DB Kelistrikan'!Q268</f>
        <v xml:space="preserve"> Volt</v>
      </c>
      <c r="J18" s="19"/>
    </row>
    <row r="19" spans="1:16" ht="10" customHeight="1">
      <c r="D19" s="23"/>
      <c r="E19" s="23"/>
      <c r="F19" s="23"/>
      <c r="G19" s="23"/>
      <c r="H19" s="19"/>
      <c r="M19" s="25"/>
    </row>
    <row r="20" spans="1:16" ht="15.75" customHeight="1">
      <c r="A20" s="23" t="s">
        <v>21</v>
      </c>
      <c r="B20" s="23" t="str">
        <f>'Lembar Penyelia'!B19</f>
        <v>Pemeriksaan Kondisi Fisik dan Fungsi Alat</v>
      </c>
      <c r="C20" s="234"/>
      <c r="J20" s="25"/>
      <c r="L20" s="21"/>
    </row>
    <row r="21" spans="1:16" ht="15.75" customHeight="1">
      <c r="B21" s="18" t="s">
        <v>361</v>
      </c>
      <c r="D21" s="11" t="s">
        <v>3</v>
      </c>
      <c r="E21" s="909" t="str">
        <f>'Lembar Penyelia'!E20</f>
        <v>Baik</v>
      </c>
      <c r="J21" s="26"/>
      <c r="K21" s="26"/>
      <c r="L21" s="26"/>
      <c r="M21" s="26"/>
      <c r="N21" s="26"/>
      <c r="O21" s="26"/>
    </row>
    <row r="22" spans="1:16" ht="15.75" customHeight="1">
      <c r="B22" s="18" t="s">
        <v>322</v>
      </c>
      <c r="D22" s="11" t="s">
        <v>3</v>
      </c>
      <c r="E22" s="909" t="str">
        <f>'Lembar Penyelia'!E21</f>
        <v>Baik</v>
      </c>
      <c r="I22" s="26"/>
      <c r="J22" s="26"/>
      <c r="K22" s="26"/>
      <c r="L22" s="26"/>
      <c r="M22" s="26"/>
      <c r="N22" s="26"/>
      <c r="O22" s="26"/>
    </row>
    <row r="23" spans="1:16" ht="10" customHeight="1">
      <c r="F23" s="15"/>
      <c r="G23" s="15"/>
      <c r="I23" s="26"/>
      <c r="J23" s="27"/>
      <c r="K23" s="27"/>
      <c r="L23" s="27"/>
      <c r="M23" s="27"/>
      <c r="N23" s="27"/>
      <c r="O23" s="27"/>
    </row>
    <row r="24" spans="1:16" ht="15.75" customHeight="1">
      <c r="A24" s="23" t="s">
        <v>28</v>
      </c>
      <c r="B24" s="23" t="str">
        <f>'Lembar Penyelia'!B23</f>
        <v>Pengujian Keselamatan Listrik</v>
      </c>
      <c r="C24" s="234"/>
      <c r="H24" s="19"/>
      <c r="M24" s="25"/>
    </row>
    <row r="25" spans="1:16" ht="30" customHeight="1">
      <c r="B25" s="28" t="s">
        <v>30</v>
      </c>
      <c r="C25" s="1047" t="s">
        <v>31</v>
      </c>
      <c r="D25" s="1047"/>
      <c r="E25" s="1047"/>
      <c r="F25" s="1047"/>
      <c r="G25" s="1047"/>
      <c r="H25" s="1047"/>
      <c r="I25" s="1047"/>
      <c r="J25" s="1047" t="s">
        <v>32</v>
      </c>
      <c r="K25" s="1047"/>
      <c r="L25" s="1047" t="s">
        <v>33</v>
      </c>
      <c r="M25" s="1047"/>
    </row>
    <row r="26" spans="1:16" ht="15" customHeight="1">
      <c r="B26" s="783">
        <v>1</v>
      </c>
      <c r="C26" s="784" t="s">
        <v>34</v>
      </c>
      <c r="D26" s="785"/>
      <c r="E26" s="785"/>
      <c r="F26" s="785"/>
      <c r="G26" s="785"/>
      <c r="H26" s="785"/>
      <c r="I26" s="786"/>
      <c r="J26" s="912" t="str">
        <f>'Lembar Penyelia'!H25</f>
        <v>OL</v>
      </c>
      <c r="K26" s="847" t="str">
        <f>IF(J26="OL","","MΩ")</f>
        <v/>
      </c>
      <c r="L26" s="851" t="s">
        <v>634</v>
      </c>
      <c r="M26" s="852" t="s">
        <v>35</v>
      </c>
    </row>
    <row r="27" spans="1:16" ht="15" customHeight="1">
      <c r="B27" s="787">
        <v>2</v>
      </c>
      <c r="C27" s="910" t="str">
        <f>'Lembar Penyelia'!C26</f>
        <v>Resistansi pembumian protektif (kabel dapat dilepas)</v>
      </c>
      <c r="D27" s="250"/>
      <c r="E27" s="250"/>
      <c r="F27" s="250"/>
      <c r="G27" s="250"/>
      <c r="H27" s="250"/>
      <c r="I27" s="789"/>
      <c r="J27" s="913">
        <f>'Lembar Penyelia'!H26</f>
        <v>9.9319271332694151E-2</v>
      </c>
      <c r="K27" s="848" t="str">
        <f>IF(J27="-","","Ω")</f>
        <v>Ω</v>
      </c>
      <c r="L27" s="919">
        <f>IF(C27='Lembar Penyelia'!X11,'Lembar Penyelia'!AD11,'Lembar Penyelia'!AD12)</f>
        <v>0.2</v>
      </c>
      <c r="M27" s="853" t="s">
        <v>38</v>
      </c>
    </row>
    <row r="28" spans="1:16" ht="15" customHeight="1">
      <c r="B28" s="790">
        <v>3</v>
      </c>
      <c r="C28" s="911" t="str">
        <f>ID!C29</f>
        <v>Arus bocor peralatan untuk peralatan elektromedik kelas I</v>
      </c>
      <c r="D28" s="30"/>
      <c r="E28" s="30"/>
      <c r="F28" s="30"/>
      <c r="G28" s="30"/>
      <c r="H28" s="30"/>
      <c r="I28" s="43"/>
      <c r="J28" s="914" t="str">
        <f>'Lembar Penyelia'!H27</f>
        <v>-</v>
      </c>
      <c r="K28" s="849" t="str">
        <f>IF(J28="-","","µA")</f>
        <v/>
      </c>
      <c r="L28" s="920">
        <f>IF(C28='Lembar Penyelia'!X13,'Lembar Penyelia'!AD13,'Lembar Penyelia'!AD14)</f>
        <v>500</v>
      </c>
      <c r="M28" s="854" t="s">
        <v>43</v>
      </c>
    </row>
    <row r="29" spans="1:16" ht="15" hidden="1" customHeight="1">
      <c r="B29" s="47"/>
      <c r="C29" s="244"/>
      <c r="D29" s="245"/>
      <c r="E29" s="245"/>
      <c r="F29" s="245"/>
      <c r="G29" s="49"/>
      <c r="H29" s="49"/>
      <c r="I29" s="55"/>
      <c r="J29" s="246"/>
      <c r="K29" s="55"/>
      <c r="L29" s="964"/>
      <c r="M29" s="964"/>
    </row>
    <row r="30" spans="1:16" ht="15" hidden="1" customHeight="1">
      <c r="B30" s="247"/>
      <c r="C30" s="248"/>
      <c r="D30" s="249"/>
      <c r="E30" s="249"/>
      <c r="F30" s="249"/>
      <c r="G30" s="250"/>
      <c r="H30" s="250"/>
      <c r="I30" s="251"/>
      <c r="J30" s="252"/>
      <c r="K30" s="251"/>
      <c r="L30" s="1156"/>
      <c r="M30" s="1156"/>
    </row>
    <row r="31" spans="1:16" ht="15" hidden="1" customHeight="1">
      <c r="B31" s="50"/>
      <c r="C31" s="253"/>
      <c r="D31" s="254"/>
      <c r="E31" s="254"/>
      <c r="F31" s="254"/>
      <c r="G31" s="30"/>
      <c r="H31" s="30"/>
      <c r="I31" s="56"/>
      <c r="J31" s="255"/>
      <c r="K31" s="56"/>
      <c r="L31" s="1003"/>
      <c r="M31" s="1003"/>
    </row>
    <row r="32" spans="1:16" ht="10" customHeight="1">
      <c r="D32" s="52"/>
      <c r="J32" s="15"/>
      <c r="L32" s="11"/>
      <c r="M32" s="21"/>
      <c r="N32" s="256"/>
      <c r="P32" s="10"/>
    </row>
    <row r="33" spans="1:20" ht="15.75" customHeight="1">
      <c r="A33" s="32" t="s">
        <v>45</v>
      </c>
      <c r="B33" s="23" t="str">
        <f>'Lembar Penyelia'!B29</f>
        <v>Pengujian Kinerja</v>
      </c>
      <c r="N33" s="17"/>
      <c r="O33" s="17"/>
      <c r="P33" s="10"/>
      <c r="R33" s="14"/>
      <c r="S33" s="14"/>
      <c r="T33" s="257"/>
    </row>
    <row r="34" spans="1:20" ht="15.75" customHeight="1">
      <c r="G34" s="258"/>
      <c r="H34" s="1025" t="s">
        <v>362</v>
      </c>
      <c r="I34" s="1025"/>
      <c r="J34" s="1025"/>
      <c r="M34" s="1022"/>
      <c r="N34" s="1022"/>
      <c r="O34" s="1022"/>
      <c r="P34" s="11"/>
    </row>
    <row r="35" spans="1:20" ht="15.75" customHeight="1">
      <c r="G35" s="258"/>
      <c r="H35" s="783" t="s">
        <v>363</v>
      </c>
      <c r="I35" s="791">
        <f>'Lembar Penyelia'!H31</f>
        <v>0.4</v>
      </c>
      <c r="J35" s="792" t="s">
        <v>364</v>
      </c>
      <c r="M35" s="1022"/>
      <c r="N35" s="41"/>
      <c r="O35" s="41"/>
      <c r="P35" s="11"/>
    </row>
    <row r="36" spans="1:20" ht="15.75" customHeight="1">
      <c r="G36" s="258"/>
      <c r="H36" s="787" t="s">
        <v>329</v>
      </c>
      <c r="I36" s="793">
        <f>'Lembar Penyelia'!H32</f>
        <v>0.33</v>
      </c>
      <c r="J36" s="789" t="s">
        <v>364</v>
      </c>
      <c r="M36" s="15"/>
      <c r="N36" s="42"/>
      <c r="O36" s="42"/>
      <c r="P36" s="11"/>
    </row>
    <row r="37" spans="1:20" ht="15.75" customHeight="1">
      <c r="G37" s="258"/>
      <c r="H37" s="787" t="s">
        <v>365</v>
      </c>
      <c r="I37" s="793">
        <f>'Lembar Penyelia'!H33</f>
        <v>0.4</v>
      </c>
      <c r="J37" s="789" t="s">
        <v>364</v>
      </c>
      <c r="M37" s="15"/>
      <c r="N37" s="42"/>
      <c r="O37" s="42"/>
    </row>
    <row r="38" spans="1:20" ht="15.75" customHeight="1">
      <c r="G38" s="258"/>
      <c r="H38" s="790" t="s">
        <v>331</v>
      </c>
      <c r="I38" s="794">
        <f>'Lembar Penyelia'!H34</f>
        <v>5.2800000000000007E-2</v>
      </c>
      <c r="J38" s="43" t="s">
        <v>366</v>
      </c>
      <c r="M38" s="15"/>
      <c r="N38" s="42"/>
      <c r="O38" s="42"/>
    </row>
    <row r="39" spans="1:20" ht="12" customHeight="1">
      <c r="M39" s="15"/>
      <c r="N39" s="42"/>
      <c r="O39" s="42"/>
    </row>
    <row r="40" spans="1:20" ht="15.75" customHeight="1">
      <c r="H40" s="29" t="s">
        <v>367</v>
      </c>
      <c r="I40" s="64">
        <f>'Lembar Penyelia'!H36</f>
        <v>1.5</v>
      </c>
      <c r="J40" s="46" t="s">
        <v>16</v>
      </c>
      <c r="M40" s="15"/>
      <c r="N40" s="42"/>
      <c r="O40" s="42"/>
    </row>
    <row r="41" spans="1:20" ht="15.75" customHeight="1">
      <c r="H41" s="29" t="s">
        <v>368</v>
      </c>
      <c r="I41" s="64">
        <f>'Lembar Penyelia'!H37</f>
        <v>3</v>
      </c>
      <c r="J41" s="46" t="s">
        <v>16</v>
      </c>
      <c r="M41" s="15"/>
      <c r="N41" s="42"/>
      <c r="O41" s="42"/>
      <c r="P41" s="234"/>
      <c r="Q41" s="15"/>
      <c r="R41" s="23"/>
      <c r="S41" s="23"/>
    </row>
    <row r="42" spans="1:20" ht="12" customHeight="1">
      <c r="M42" s="15"/>
      <c r="N42" s="42"/>
      <c r="O42" s="42"/>
      <c r="P42" s="22"/>
      <c r="R42" s="15"/>
      <c r="S42" s="15"/>
    </row>
    <row r="43" spans="1:20" ht="25" customHeight="1">
      <c r="B43" s="1047" t="s">
        <v>369</v>
      </c>
      <c r="C43" s="1047"/>
      <c r="D43" s="1047" t="s">
        <v>370</v>
      </c>
      <c r="E43" s="1047"/>
      <c r="F43" s="1153" t="s">
        <v>337</v>
      </c>
      <c r="G43" s="1154"/>
      <c r="H43" s="1154"/>
      <c r="I43" s="1154"/>
      <c r="J43" s="1155"/>
      <c r="K43" s="1151" t="s">
        <v>63</v>
      </c>
      <c r="L43" s="1151"/>
      <c r="M43" s="1047" t="s">
        <v>371</v>
      </c>
      <c r="N43" s="1047"/>
      <c r="O43" s="42"/>
    </row>
    <row r="44" spans="1:20" ht="15.75" customHeight="1">
      <c r="B44" s="1047"/>
      <c r="C44" s="1047"/>
      <c r="D44" s="1047"/>
      <c r="E44" s="1047"/>
      <c r="F44" s="1148" t="s">
        <v>339</v>
      </c>
      <c r="G44" s="1148" t="s">
        <v>340</v>
      </c>
      <c r="H44" s="1148" t="s">
        <v>341</v>
      </c>
      <c r="I44" s="1149" t="s">
        <v>241</v>
      </c>
      <c r="J44" s="1151" t="s">
        <v>236</v>
      </c>
      <c r="K44" s="1144" t="str">
        <f>'Lembar Penyelia'!I40</f>
        <v>Akurasi suhu     37 ±1.5°C         variasi total                 ≤ 3°C</v>
      </c>
      <c r="L44" s="1145"/>
      <c r="M44" s="1047"/>
      <c r="N44" s="1047"/>
      <c r="P44" s="22"/>
      <c r="Q44" s="1021"/>
    </row>
    <row r="45" spans="1:20" ht="30" customHeight="1">
      <c r="B45" s="1047"/>
      <c r="C45" s="1047"/>
      <c r="D45" s="1047"/>
      <c r="E45" s="1047"/>
      <c r="F45" s="1148"/>
      <c r="G45" s="1148"/>
      <c r="H45" s="1148"/>
      <c r="I45" s="1150"/>
      <c r="J45" s="1151"/>
      <c r="K45" s="1144"/>
      <c r="L45" s="1145"/>
      <c r="M45" s="1047"/>
      <c r="N45" s="1047"/>
      <c r="P45" s="22"/>
      <c r="Q45" s="1021"/>
    </row>
    <row r="46" spans="1:20" ht="23.15" customHeight="1">
      <c r="B46" s="1169" t="str">
        <f>'Lembar Penyelia'!B42</f>
        <v>37.0</v>
      </c>
      <c r="C46" s="1170"/>
      <c r="D46" s="1171" t="str">
        <f>'Lembar Penyelia'!C42</f>
        <v>37.0</v>
      </c>
      <c r="E46" s="1171"/>
      <c r="F46" s="915">
        <f ca="1">'Lembar Penyelia'!D42</f>
        <v>37.19</v>
      </c>
      <c r="G46" s="915">
        <f ca="1">'Lembar Penyelia'!E42</f>
        <v>3.9999999999984936E-2</v>
      </c>
      <c r="H46" s="915">
        <f ca="1">'Lembar Penyelia'!F42</f>
        <v>0</v>
      </c>
      <c r="I46" s="915">
        <f ca="1">'Lembar Penyelia'!G42</f>
        <v>3.9999999999999147E-2</v>
      </c>
      <c r="J46" s="916" t="str">
        <f ca="1">'Lembar Penyelia'!H42</f>
        <v>0.19</v>
      </c>
      <c r="K46" s="1146"/>
      <c r="L46" s="1147"/>
      <c r="M46" s="755" t="str">
        <f>'Lembar Penyelia'!K42</f>
        <v>±</v>
      </c>
      <c r="N46" s="917" t="str">
        <f ca="1">'Lembar Penyelia'!L42</f>
        <v>0.60</v>
      </c>
      <c r="P46" s="24"/>
      <c r="Q46" s="1021"/>
    </row>
    <row r="47" spans="1:20" ht="10" customHeight="1">
      <c r="P47" s="19"/>
      <c r="Q47" s="260"/>
    </row>
    <row r="48" spans="1:20" ht="15.75" customHeight="1">
      <c r="A48" s="261" t="s">
        <v>85</v>
      </c>
      <c r="B48" s="261" t="s">
        <v>86</v>
      </c>
      <c r="C48" s="33"/>
      <c r="D48" s="33"/>
      <c r="E48" s="35"/>
      <c r="F48" s="53"/>
      <c r="G48" s="53"/>
      <c r="H48" s="262"/>
      <c r="I48" s="33"/>
      <c r="J48" s="33"/>
      <c r="K48" s="33"/>
      <c r="L48" s="33"/>
      <c r="M48" s="33"/>
      <c r="N48" s="33"/>
      <c r="P48" s="38"/>
      <c r="Q48" s="15"/>
      <c r="R48" s="17"/>
      <c r="S48" s="17"/>
    </row>
    <row r="49" spans="1:19" ht="15.75" customHeight="1">
      <c r="A49" s="263"/>
      <c r="B49" s="34" t="str">
        <f>'Lembar Penyelia'!B45</f>
        <v>Ketidakpastian pengukuran dilaporkan pada tingkat kepercayaan 95% dengan faktor cakupan k=2</v>
      </c>
      <c r="C49" s="33"/>
      <c r="D49" s="33"/>
      <c r="E49" s="33"/>
      <c r="F49" s="35"/>
      <c r="G49" s="35"/>
      <c r="H49" s="262"/>
      <c r="I49" s="33"/>
      <c r="J49" s="33"/>
      <c r="K49" s="33"/>
      <c r="L49" s="33"/>
      <c r="M49" s="33"/>
      <c r="N49" s="33"/>
      <c r="P49" s="38"/>
      <c r="Q49" s="15"/>
      <c r="R49" s="17"/>
      <c r="S49" s="17"/>
    </row>
    <row r="50" spans="1:19" ht="15.75" customHeight="1">
      <c r="A50" s="263"/>
      <c r="B50" s="34" t="str">
        <f>'Lembar Penyelia'!B46</f>
        <v>Hasil pengukuran keselamatan listrik tertelusur ke Satuan SI melalui PT. Kaliman ( LK-032-IDN )</v>
      </c>
      <c r="C50" s="33"/>
      <c r="D50" s="33"/>
      <c r="E50" s="33"/>
      <c r="F50" s="35"/>
      <c r="G50" s="35"/>
      <c r="H50" s="262"/>
      <c r="I50" s="33"/>
      <c r="J50" s="33"/>
      <c r="K50" s="33"/>
      <c r="L50" s="33"/>
      <c r="M50" s="33"/>
      <c r="N50" s="33"/>
      <c r="P50" s="38"/>
      <c r="Q50" s="15"/>
      <c r="R50" s="17"/>
      <c r="S50" s="17"/>
    </row>
    <row r="51" spans="1:19" ht="15.75" customHeight="1">
      <c r="A51" s="263"/>
      <c r="B51" s="34" t="str">
        <f>'Lembar Penyelia'!B47</f>
        <v>Hasil pengujian kinerja suhu tertelusur ke Satuan SI melalui PT. Kaliman ( LK-032-IDN )</v>
      </c>
      <c r="C51" s="33"/>
      <c r="D51" s="33"/>
      <c r="E51" s="33"/>
      <c r="F51" s="35"/>
      <c r="G51" s="35"/>
      <c r="H51" s="262"/>
      <c r="I51" s="33"/>
      <c r="J51" s="33"/>
      <c r="K51" s="33"/>
      <c r="L51" s="33"/>
      <c r="M51" s="33"/>
      <c r="N51" s="33"/>
      <c r="P51" s="38"/>
      <c r="Q51" s="15"/>
      <c r="R51" s="17"/>
      <c r="S51" s="17"/>
    </row>
    <row r="52" spans="1:19" ht="15.75" customHeight="1">
      <c r="A52" s="263"/>
      <c r="B52" s="1152" t="str">
        <f>'Lembar Penyelia'!B48</f>
        <v>Tidak terdapat grounding di ruangan</v>
      </c>
      <c r="C52" s="1152"/>
      <c r="D52" s="1152"/>
      <c r="E52" s="1152"/>
      <c r="F52" s="1152"/>
      <c r="G52" s="1152"/>
      <c r="H52" s="1152"/>
      <c r="I52" s="1152"/>
      <c r="J52" s="1152"/>
      <c r="K52" s="1152"/>
      <c r="L52" s="1152"/>
      <c r="M52" s="1152"/>
      <c r="N52" s="33"/>
      <c r="P52" s="38"/>
      <c r="Q52" s="15"/>
      <c r="R52" s="17"/>
      <c r="S52" s="17"/>
    </row>
    <row r="53" spans="1:19" ht="10" customHeight="1">
      <c r="A53" s="263"/>
      <c r="B53" s="33"/>
      <c r="C53" s="33"/>
      <c r="D53" s="34"/>
      <c r="E53" s="33"/>
      <c r="F53" s="37"/>
      <c r="G53" s="37"/>
      <c r="H53" s="264"/>
      <c r="I53" s="33"/>
      <c r="J53" s="33"/>
      <c r="K53" s="33"/>
      <c r="L53" s="33"/>
      <c r="M53" s="33"/>
      <c r="N53" s="33"/>
      <c r="P53" s="12"/>
      <c r="Q53" s="13"/>
      <c r="R53" s="265"/>
      <c r="S53" s="265"/>
    </row>
    <row r="54" spans="1:19" ht="15.75" customHeight="1">
      <c r="A54" s="261" t="s">
        <v>372</v>
      </c>
      <c r="B54" s="36" t="s">
        <v>89</v>
      </c>
      <c r="C54" s="33"/>
      <c r="D54" s="33"/>
      <c r="E54" s="33"/>
      <c r="F54" s="37"/>
      <c r="G54" s="37"/>
      <c r="H54" s="33"/>
      <c r="I54" s="33"/>
      <c r="J54" s="33"/>
      <c r="K54" s="33"/>
      <c r="L54" s="33"/>
      <c r="M54" s="33"/>
      <c r="N54" s="33"/>
      <c r="P54" s="13"/>
      <c r="Q54" s="13"/>
      <c r="R54" s="38"/>
      <c r="S54" s="265"/>
    </row>
    <row r="55" spans="1:19" ht="15.75" customHeight="1">
      <c r="A55" s="263"/>
      <c r="B55" s="1023" t="str">
        <f>'Lembar Penyelia'!B51</f>
        <v>Thermocouple Data Logger, Merek : MADGETECH, Model : OctTemp 2000, SN : P41878</v>
      </c>
      <c r="C55" s="1023"/>
      <c r="D55" s="1023"/>
      <c r="E55" s="1023"/>
      <c r="F55" s="1023"/>
      <c r="G55" s="1023"/>
      <c r="H55" s="1023"/>
      <c r="I55" s="1023"/>
      <c r="J55" s="1023"/>
      <c r="K55" s="33"/>
      <c r="L55" s="33"/>
      <c r="M55" s="61"/>
      <c r="N55" s="33"/>
    </row>
    <row r="56" spans="1:19" ht="15.75" customHeight="1">
      <c r="A56" s="263"/>
      <c r="B56" s="1023" t="str">
        <f>IF('Lembar Penyelia'!B52="",'Lembar Penyelia'!B53,'Lembar Penyelia'!B52)</f>
        <v>Electrical Safety Analyzer, Merek : Fluke, Model : ESA 615, SN : 3148908</v>
      </c>
      <c r="C56" s="1023"/>
      <c r="D56" s="1023"/>
      <c r="E56" s="1023"/>
      <c r="F56" s="1023"/>
      <c r="G56" s="1023"/>
      <c r="H56" s="1023"/>
      <c r="I56" s="1023"/>
      <c r="J56" s="33"/>
      <c r="K56" s="33"/>
      <c r="L56" s="33"/>
      <c r="M56" s="61"/>
      <c r="N56" s="33"/>
    </row>
    <row r="57" spans="1:19" ht="15.75" customHeight="1">
      <c r="A57" s="263"/>
      <c r="B57" s="1168" t="str">
        <f>IF('Lembar Penyelia'!B52="","",'Lembar Penyelia'!B53)</f>
        <v/>
      </c>
      <c r="C57" s="1168"/>
      <c r="D57" s="1168"/>
      <c r="E57" s="1168"/>
      <c r="F57" s="1168"/>
      <c r="G57" s="1168"/>
      <c r="H57" s="1168"/>
      <c r="I57" s="1168"/>
      <c r="J57" s="1168"/>
      <c r="K57" s="33"/>
      <c r="L57" s="33"/>
      <c r="M57" s="61"/>
      <c r="N57" s="33"/>
    </row>
    <row r="58" spans="1:19" ht="8.15" customHeight="1">
      <c r="A58" s="263"/>
      <c r="B58" s="33"/>
      <c r="C58" s="33"/>
      <c r="D58" s="268"/>
      <c r="E58" s="35"/>
      <c r="F58" s="267"/>
      <c r="G58" s="267"/>
      <c r="H58" s="33"/>
      <c r="I58" s="33"/>
      <c r="J58" s="33"/>
      <c r="K58" s="33"/>
      <c r="L58" s="33"/>
      <c r="M58" s="61"/>
      <c r="N58" s="33"/>
    </row>
    <row r="59" spans="1:19" ht="15.75" customHeight="1">
      <c r="A59" s="261" t="s">
        <v>373</v>
      </c>
      <c r="B59" s="269" t="s">
        <v>103</v>
      </c>
      <c r="C59" s="33"/>
      <c r="D59" s="33"/>
      <c r="E59" s="35"/>
      <c r="F59" s="262"/>
      <c r="G59" s="262"/>
      <c r="H59" s="33"/>
      <c r="I59" s="33"/>
      <c r="J59" s="33"/>
      <c r="K59" s="33"/>
      <c r="L59" s="33"/>
      <c r="M59" s="61"/>
      <c r="N59" s="33"/>
    </row>
    <row r="60" spans="1:19" s="271" customFormat="1" ht="30" customHeight="1">
      <c r="A60" s="270"/>
      <c r="B60" s="1152" t="str">
        <f ca="1">'Lembar Penyelia'!B57</f>
        <v>Alat yang dikalibrasi dalam batas toleransi dan dinyatakan LAIK PAKAI, dimana hasil atau skor akhir sama dengan atau melampaui 70% berdasarkan Keputusan Direktur Jenderal Pelayanan Kesehatan No : HK.02.02/V/0412/2020</v>
      </c>
      <c r="C60" s="1152"/>
      <c r="D60" s="1152"/>
      <c r="E60" s="1152"/>
      <c r="F60" s="1152"/>
      <c r="G60" s="1152"/>
      <c r="H60" s="1152"/>
      <c r="I60" s="1152"/>
      <c r="J60" s="1152"/>
      <c r="K60" s="1152"/>
      <c r="L60" s="1152"/>
      <c r="M60" s="1152"/>
      <c r="N60" s="1152"/>
    </row>
    <row r="61" spans="1:19" ht="10.5" customHeight="1">
      <c r="A61" s="263"/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33"/>
      <c r="M61" s="61"/>
      <c r="N61" s="33"/>
    </row>
    <row r="62" spans="1:19" ht="15.75" customHeight="1">
      <c r="A62" s="261" t="s">
        <v>105</v>
      </c>
      <c r="B62" s="273" t="str">
        <f>'Lembar Penyelia'!B61</f>
        <v>Petugas Kalibrasi</v>
      </c>
      <c r="C62" s="33"/>
      <c r="D62" s="33"/>
      <c r="E62" s="35"/>
      <c r="F62" s="262"/>
      <c r="G62" s="262"/>
      <c r="H62" s="33"/>
      <c r="I62" s="33"/>
      <c r="J62" s="33"/>
      <c r="K62" s="33"/>
      <c r="L62" s="33"/>
      <c r="M62" s="61"/>
      <c r="N62" s="33"/>
    </row>
    <row r="63" spans="1:19" ht="15.75" customHeight="1">
      <c r="A63" s="33"/>
      <c r="B63" s="918" t="str">
        <f>'Lembar Penyelia'!B62</f>
        <v>Choirul Huda</v>
      </c>
      <c r="C63" s="33"/>
      <c r="D63" s="33"/>
      <c r="E63" s="59"/>
      <c r="F63" s="264"/>
      <c r="G63" s="264"/>
      <c r="H63" s="33"/>
      <c r="I63" s="33"/>
      <c r="J63" s="33"/>
      <c r="K63" s="33"/>
      <c r="L63" s="33"/>
      <c r="M63" s="33"/>
      <c r="N63" s="33"/>
    </row>
    <row r="64" spans="1:19" ht="14.15" hidden="1" customHeight="1">
      <c r="A64" s="33"/>
      <c r="B64" s="33"/>
      <c r="C64" s="33"/>
      <c r="D64" s="59"/>
      <c r="E64" s="59"/>
      <c r="F64" s="264"/>
      <c r="G64" s="264"/>
      <c r="H64" s="33"/>
      <c r="I64" s="33"/>
      <c r="J64" s="33"/>
      <c r="K64" s="33"/>
      <c r="L64" s="33"/>
      <c r="M64" s="33"/>
      <c r="N64" s="33"/>
    </row>
    <row r="65" spans="1:21" ht="14.15" customHeight="1">
      <c r="A65" s="33"/>
      <c r="B65" s="33"/>
      <c r="C65" s="33"/>
      <c r="D65" s="59"/>
      <c r="E65" s="59"/>
      <c r="F65" s="264"/>
      <c r="G65" s="264"/>
      <c r="H65" s="33"/>
      <c r="I65" s="33"/>
      <c r="J65" s="33"/>
      <c r="K65" s="33"/>
      <c r="L65" s="33"/>
      <c r="M65" s="33"/>
      <c r="N65" s="33"/>
    </row>
    <row r="66" spans="1:21" ht="14.15" hidden="1" customHeight="1">
      <c r="A66" s="33"/>
      <c r="B66" s="33"/>
      <c r="C66" s="33"/>
      <c r="D66" s="59"/>
      <c r="E66" s="59"/>
      <c r="F66" s="264"/>
      <c r="G66" s="264"/>
      <c r="H66" s="33"/>
      <c r="I66" s="33"/>
      <c r="J66" s="33"/>
      <c r="K66" s="33"/>
      <c r="L66" s="33"/>
      <c r="M66" s="33"/>
      <c r="N66" s="33"/>
    </row>
    <row r="67" spans="1:21" ht="14.15" customHeight="1">
      <c r="A67" s="33"/>
      <c r="B67" s="33"/>
      <c r="C67" s="33"/>
      <c r="D67" s="59"/>
      <c r="E67" s="59"/>
      <c r="F67" s="264"/>
      <c r="G67" s="264"/>
      <c r="H67" s="33"/>
      <c r="I67" s="33"/>
      <c r="J67" s="33"/>
      <c r="K67" s="33"/>
      <c r="L67" s="33"/>
      <c r="M67" s="33"/>
      <c r="N67" s="33"/>
    </row>
    <row r="68" spans="1:21" ht="14.15" customHeight="1">
      <c r="A68" s="33"/>
      <c r="B68" s="33"/>
      <c r="C68" s="33"/>
      <c r="D68" s="59"/>
      <c r="E68" s="59"/>
      <c r="F68" s="264"/>
      <c r="G68" s="264"/>
      <c r="H68" s="33"/>
      <c r="I68" s="33"/>
      <c r="J68" s="33"/>
      <c r="K68" s="33"/>
      <c r="L68" s="33"/>
      <c r="M68" s="33"/>
      <c r="N68" s="33"/>
    </row>
    <row r="69" spans="1:21" ht="14.15" customHeight="1">
      <c r="A69" s="33"/>
      <c r="B69" s="33"/>
      <c r="C69" s="33"/>
      <c r="D69" s="59"/>
      <c r="E69" s="59"/>
      <c r="F69" s="264"/>
      <c r="G69" s="264"/>
      <c r="H69" s="33"/>
      <c r="I69" s="33"/>
      <c r="J69" s="33" t="s">
        <v>374</v>
      </c>
      <c r="K69" s="33"/>
      <c r="L69" s="33"/>
      <c r="M69" s="33"/>
      <c r="N69" s="33"/>
      <c r="R69" s="905" t="s">
        <v>375</v>
      </c>
      <c r="S69" s="18" t="s">
        <v>637</v>
      </c>
      <c r="T69" s="906"/>
      <c r="U69" s="906"/>
    </row>
    <row r="70" spans="1:21" ht="15.75" customHeight="1">
      <c r="A70" s="33"/>
      <c r="B70" s="33"/>
      <c r="C70" s="33"/>
      <c r="D70" s="33"/>
      <c r="E70" s="33"/>
      <c r="F70" s="33"/>
      <c r="G70" s="33"/>
      <c r="H70" s="33"/>
      <c r="I70" s="922" t="str">
        <f>IF(J78=R69,"a.n.","")</f>
        <v>a.n.</v>
      </c>
      <c r="J70" s="33" t="s">
        <v>377</v>
      </c>
      <c r="K70" s="33"/>
      <c r="L70" s="274"/>
      <c r="M70" s="33"/>
      <c r="N70" s="33"/>
      <c r="R70" s="742" t="s">
        <v>378</v>
      </c>
      <c r="S70" s="740" t="s">
        <v>379</v>
      </c>
      <c r="T70" s="906"/>
      <c r="U70" s="906"/>
    </row>
    <row r="71" spans="1:2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 t="s">
        <v>380</v>
      </c>
      <c r="K71" s="33"/>
      <c r="L71" s="274"/>
      <c r="M71" s="33"/>
      <c r="N71" s="33"/>
      <c r="R71" s="175"/>
      <c r="S71" s="906"/>
      <c r="T71" s="906"/>
      <c r="U71" s="906"/>
    </row>
    <row r="72" spans="1:21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274"/>
      <c r="M72" s="33"/>
      <c r="N72" s="33"/>
      <c r="R72" s="743" t="s">
        <v>377</v>
      </c>
      <c r="S72" s="175"/>
      <c r="T72" s="175"/>
      <c r="U72" s="175"/>
    </row>
    <row r="73" spans="1:21" ht="15.75" customHeight="1">
      <c r="A73" s="33"/>
      <c r="B73" s="33"/>
      <c r="C73" s="33"/>
      <c r="D73" s="275"/>
      <c r="E73" s="275"/>
      <c r="F73" s="53"/>
      <c r="G73" s="53"/>
      <c r="H73" s="53"/>
      <c r="I73" s="33"/>
      <c r="J73" s="53"/>
      <c r="K73" s="53"/>
      <c r="L73" s="276"/>
      <c r="M73" s="33"/>
      <c r="N73" s="33"/>
      <c r="R73" s="743" t="s">
        <v>380</v>
      </c>
      <c r="S73" s="175"/>
      <c r="T73" s="175"/>
      <c r="U73" s="175"/>
    </row>
    <row r="74" spans="1:21" ht="15.75" customHeight="1">
      <c r="A74" s="33"/>
      <c r="B74" s="33"/>
      <c r="C74" s="33"/>
      <c r="D74" s="277"/>
      <c r="E74" s="277"/>
      <c r="F74" s="274"/>
      <c r="G74" s="274"/>
      <c r="H74" s="274"/>
      <c r="I74" s="33"/>
      <c r="J74" s="274"/>
      <c r="K74" s="274"/>
      <c r="L74" s="276"/>
      <c r="M74" s="33"/>
      <c r="N74" s="33"/>
      <c r="Q74" s="11"/>
      <c r="R74" s="743" t="s">
        <v>377</v>
      </c>
      <c r="S74" s="175"/>
      <c r="T74" s="175"/>
      <c r="U74" s="175"/>
    </row>
    <row r="75" spans="1:21" ht="15.75" customHeight="1">
      <c r="A75" s="33"/>
      <c r="B75" s="33"/>
      <c r="C75" s="33"/>
      <c r="D75" s="277"/>
      <c r="E75" s="277"/>
      <c r="F75" s="274"/>
      <c r="G75" s="274"/>
      <c r="H75" s="274"/>
      <c r="I75" s="33"/>
      <c r="J75" s="274"/>
      <c r="K75" s="274"/>
      <c r="L75" s="276"/>
      <c r="M75" s="33"/>
      <c r="N75" s="33"/>
      <c r="R75" s="743" t="s">
        <v>380</v>
      </c>
      <c r="S75" s="175"/>
      <c r="T75" s="175"/>
      <c r="U75" s="175"/>
    </row>
    <row r="76" spans="1:21" ht="15.75" hidden="1" customHeight="1">
      <c r="A76" s="33"/>
      <c r="B76" s="33"/>
      <c r="C76" s="33"/>
      <c r="D76" s="275"/>
      <c r="E76" s="275"/>
      <c r="F76" s="275"/>
      <c r="G76" s="275"/>
      <c r="H76" s="275"/>
      <c r="I76" s="33"/>
      <c r="J76" s="278"/>
      <c r="K76" s="278"/>
      <c r="L76" s="33"/>
      <c r="M76" s="33"/>
      <c r="N76" s="33"/>
    </row>
    <row r="77" spans="1:21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21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923" t="str">
        <f>IF(ID!B120="Choirul Huda",LH!R69,LH!R70)</f>
        <v>Farid Wajidi, SKM</v>
      </c>
      <c r="K78" s="33"/>
      <c r="L78" s="33"/>
      <c r="M78" s="33"/>
      <c r="N78" s="33"/>
    </row>
    <row r="79" spans="1:21">
      <c r="A79" s="33"/>
      <c r="B79" s="33"/>
      <c r="C79" s="33"/>
      <c r="D79" s="33"/>
      <c r="E79" s="33"/>
      <c r="F79" s="33"/>
      <c r="G79" s="33"/>
      <c r="H79" s="33"/>
      <c r="I79" s="33"/>
      <c r="J79" s="924" t="str">
        <f>VLOOKUP(J78,R69:S70,2,0)</f>
        <v>NIP 196712101990031012</v>
      </c>
      <c r="K79" s="33"/>
      <c r="L79" s="33"/>
      <c r="M79" s="33"/>
      <c r="N79" s="33"/>
    </row>
    <row r="80" spans="1:2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</row>
    <row r="81" spans="1:14" ht="15.75" customHeight="1">
      <c r="A81" s="33"/>
      <c r="B81" s="33"/>
      <c r="C81" s="33"/>
      <c r="D81" s="33"/>
      <c r="E81" s="33"/>
      <c r="F81" s="33"/>
      <c r="G81" s="33"/>
      <c r="H81" s="33"/>
      <c r="I81" s="33"/>
      <c r="K81" s="33"/>
      <c r="L81" s="33"/>
      <c r="M81" s="33"/>
      <c r="N81" s="33"/>
    </row>
    <row r="82" spans="1:14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</row>
    <row r="83" spans="1:14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</row>
    <row r="84" spans="1:14" ht="15.75" hidden="1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</row>
    <row r="85" spans="1:14" ht="15.75" hidden="1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</row>
    <row r="86" spans="1:14" ht="15.75" hidden="1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</row>
    <row r="87" spans="1:14" ht="15.75" hidden="1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</row>
    <row r="88" spans="1:14" ht="15.75" hidden="1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</row>
    <row r="89" spans="1:14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</row>
    <row r="90" spans="1:14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</row>
    <row r="91" spans="1:14" ht="15.75" hidden="1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</row>
    <row r="92" spans="1:14" ht="15.75" hidden="1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</row>
    <row r="93" spans="1:14" ht="7.5" hidden="1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</row>
    <row r="94" spans="1:14" ht="7.5" hidden="1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</row>
    <row r="95" spans="1:14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</row>
    <row r="96" spans="1:14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M96" s="369" t="s">
        <v>381</v>
      </c>
      <c r="N96" s="33"/>
    </row>
    <row r="97" spans="1:14" ht="21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</row>
    <row r="98" spans="1:14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</row>
    <row r="99" spans="1:14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</row>
    <row r="100" spans="1:14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</row>
    <row r="101" spans="1:14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</row>
  </sheetData>
  <sheetProtection formatCells="0" formatColumns="0" formatRows="0" insertColumns="0" insertRows="0" deleteColumns="0" deleteRows="0"/>
  <mergeCells count="32">
    <mergeCell ref="N34:O34"/>
    <mergeCell ref="A1:N1"/>
    <mergeCell ref="A2:N2"/>
    <mergeCell ref="E14:L14"/>
    <mergeCell ref="C25:I25"/>
    <mergeCell ref="J25:K25"/>
    <mergeCell ref="L25:M25"/>
    <mergeCell ref="L29:M29"/>
    <mergeCell ref="L30:M30"/>
    <mergeCell ref="L31:M31"/>
    <mergeCell ref="H34:J34"/>
    <mergeCell ref="M34:M35"/>
    <mergeCell ref="Q44:Q46"/>
    <mergeCell ref="B46:C46"/>
    <mergeCell ref="D46:E46"/>
    <mergeCell ref="B52:M52"/>
    <mergeCell ref="B56:I56"/>
    <mergeCell ref="B43:C45"/>
    <mergeCell ref="D43:E45"/>
    <mergeCell ref="F43:J43"/>
    <mergeCell ref="K43:L43"/>
    <mergeCell ref="M43:N45"/>
    <mergeCell ref="F44:F45"/>
    <mergeCell ref="G44:G45"/>
    <mergeCell ref="H44:H45"/>
    <mergeCell ref="I44:I45"/>
    <mergeCell ref="J44:J45"/>
    <mergeCell ref="B60:J60"/>
    <mergeCell ref="K60:N60"/>
    <mergeCell ref="B55:J55"/>
    <mergeCell ref="B57:J57"/>
    <mergeCell ref="K44:L46"/>
  </mergeCells>
  <printOptions horizontalCentered="1"/>
  <pageMargins left="0.499305555555556" right="0.249305555555556" top="0.39930555555555602" bottom="0.39930555555555602" header="0.249305555555556" footer="0.249305555555556"/>
  <pageSetup paperSize="9" scale="63" orientation="portrait" r:id="rId1"/>
  <headerFooter>
    <oddHeader>&amp;R&amp;"-,Regular"&amp;8SH.LHK - 028-18 / Rev  : 1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0AD7EA-C53A-44C3-9CB4-038C5C7334E8}">
          <x14:formula1>
            <xm:f>'E:\SOFTWARE 2019\SOFTWARE TEKANAN\[TENSIMETER 8-1-2019 KAN.xlsx]DB ESA'!#REF!</xm:f>
          </x14:formula1>
          <xm:sqref>J90:J94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91B1-151E-4B6B-B47C-01FF2680B10C}">
  <sheetPr>
    <tabColor rgb="FF00B050"/>
  </sheetPr>
  <dimension ref="A1:O59"/>
  <sheetViews>
    <sheetView topLeftCell="A28" zoomScaleNormal="100" zoomScaleSheetLayoutView="90" workbookViewId="0">
      <selection activeCell="D20" sqref="D20:F20"/>
    </sheetView>
  </sheetViews>
  <sheetFormatPr defaultColWidth="9.453125" defaultRowHeight="12.5"/>
  <cols>
    <col min="1" max="1" width="18.453125" style="803" customWidth="1"/>
    <col min="2" max="2" width="26.453125" style="803" customWidth="1"/>
    <col min="3" max="3" width="3.453125" style="803" customWidth="1"/>
    <col min="4" max="4" width="11.54296875" style="803" customWidth="1"/>
    <col min="5" max="5" width="9.453125" style="803" customWidth="1"/>
    <col min="6" max="6" width="22.54296875" style="803" customWidth="1"/>
    <col min="7" max="7" width="9.453125" style="803"/>
    <col min="8" max="8" width="18.54296875" style="803" customWidth="1"/>
    <col min="9" max="9" width="12.453125" style="803" customWidth="1"/>
    <col min="10" max="16384" width="9.453125" style="803"/>
  </cols>
  <sheetData>
    <row r="1" spans="1:15" ht="13">
      <c r="H1" s="804" t="str">
        <f ca="1">IF('Lembar Penyelia'!H67&lt;70,"TIDAK LAIK","LAIK")</f>
        <v>LAIK</v>
      </c>
      <c r="I1" s="805"/>
      <c r="J1" s="805"/>
    </row>
    <row r="2" spans="1:15" ht="30">
      <c r="A2" s="1191" t="str">
        <f>B44</f>
        <v>SERTIFIKAT KALIBRASI</v>
      </c>
      <c r="B2" s="1191"/>
      <c r="C2" s="1191"/>
      <c r="D2" s="1191"/>
      <c r="E2" s="1191"/>
      <c r="F2" s="1191"/>
      <c r="H2" s="806"/>
      <c r="I2" s="1192"/>
      <c r="J2" s="1193"/>
    </row>
    <row r="3" spans="1:15" ht="14">
      <c r="A3" s="1194" t="str">
        <f>"Nomor : 30 /"&amp;" "&amp;[2]ID!I2</f>
        <v>Nomor : 30 / 1 / IV - 21 / E - 00.000 DL</v>
      </c>
      <c r="B3" s="1194"/>
      <c r="C3" s="1194"/>
      <c r="D3" s="1194"/>
      <c r="E3" s="1194"/>
      <c r="F3" s="1194"/>
    </row>
    <row r="4" spans="1:15" ht="13">
      <c r="C4" s="803" t="s">
        <v>609</v>
      </c>
      <c r="D4" s="1195" t="str">
        <f>ID!D13</f>
        <v xml:space="preserve">MK 028-18 </v>
      </c>
      <c r="E4" s="1195"/>
      <c r="F4" s="1195"/>
      <c r="H4" s="807"/>
      <c r="I4" s="807"/>
      <c r="J4" s="807"/>
    </row>
    <row r="5" spans="1:15" ht="14.5">
      <c r="H5" s="1196"/>
      <c r="I5" s="1196"/>
      <c r="J5" s="1196"/>
    </row>
    <row r="6" spans="1:15" ht="14">
      <c r="A6" s="808" t="s">
        <v>610</v>
      </c>
      <c r="B6" s="809" t="s">
        <v>630</v>
      </c>
      <c r="C6" s="810"/>
      <c r="D6" s="1185" t="s">
        <v>611</v>
      </c>
      <c r="E6" s="1186"/>
      <c r="F6" s="811" t="str">
        <f>MID(A3,SEARCH("E - ",A3),LEN(A3))</f>
        <v>E - 00.000 DL</v>
      </c>
    </row>
    <row r="7" spans="1:15" ht="14">
      <c r="A7" s="812"/>
      <c r="B7" s="812"/>
      <c r="C7" s="812"/>
    </row>
    <row r="8" spans="1:15" ht="14">
      <c r="A8" s="1174" t="s">
        <v>2</v>
      </c>
      <c r="B8" s="1174"/>
      <c r="C8" s="813" t="s">
        <v>3</v>
      </c>
      <c r="D8" s="1174" t="str">
        <f>ID!D5</f>
        <v>memmert</v>
      </c>
      <c r="E8" s="1174"/>
      <c r="F8" s="1174"/>
      <c r="I8" s="1188"/>
      <c r="J8" s="1188"/>
    </row>
    <row r="9" spans="1:15" ht="14">
      <c r="A9" s="1174" t="s">
        <v>612</v>
      </c>
      <c r="B9" s="1174"/>
      <c r="C9" s="813" t="s">
        <v>3</v>
      </c>
      <c r="D9" s="1174" t="str">
        <f>ID!D6</f>
        <v>INB 400</v>
      </c>
      <c r="E9" s="1174"/>
      <c r="F9" s="1174"/>
      <c r="I9" s="1188"/>
      <c r="J9" s="1188"/>
    </row>
    <row r="10" spans="1:15" ht="14.5">
      <c r="A10" s="1174" t="s">
        <v>613</v>
      </c>
      <c r="B10" s="1174"/>
      <c r="C10" s="813" t="s">
        <v>3</v>
      </c>
      <c r="D10" s="1174" t="str">
        <f>ID!D7</f>
        <v>E406.0655</v>
      </c>
      <c r="E10" s="1174"/>
      <c r="F10" s="1174"/>
      <c r="I10" s="1189"/>
      <c r="J10" s="1187"/>
      <c r="O10" s="814"/>
    </row>
    <row r="11" spans="1:15" ht="14.5">
      <c r="A11" s="815"/>
      <c r="B11" s="815"/>
      <c r="C11" s="812"/>
      <c r="I11" s="1190"/>
      <c r="J11" s="1190"/>
      <c r="O11" s="814"/>
    </row>
    <row r="12" spans="1:15" ht="28.5" customHeight="1">
      <c r="A12" s="816" t="s">
        <v>614</v>
      </c>
      <c r="B12" s="817"/>
      <c r="C12" s="812"/>
      <c r="D12" s="1185" t="s">
        <v>615</v>
      </c>
      <c r="E12" s="1186"/>
      <c r="F12" s="818"/>
      <c r="I12" s="1187"/>
      <c r="J12" s="1187"/>
      <c r="O12" s="814"/>
    </row>
    <row r="13" spans="1:15" ht="14.5">
      <c r="A13" s="819"/>
      <c r="B13" s="812"/>
      <c r="C13" s="812"/>
      <c r="D13" s="812"/>
      <c r="E13" s="812"/>
      <c r="I13" s="1179"/>
      <c r="J13" s="1179"/>
    </row>
    <row r="14" spans="1:15" s="805" customFormat="1" ht="42.75" customHeight="1">
      <c r="A14" s="1180" t="s">
        <v>616</v>
      </c>
      <c r="B14" s="1180"/>
      <c r="C14" s="820" t="s">
        <v>3</v>
      </c>
      <c r="D14" s="1181" t="s">
        <v>617</v>
      </c>
      <c r="E14" s="1181"/>
      <c r="F14" s="1181"/>
      <c r="H14" s="821"/>
      <c r="I14" s="1182"/>
      <c r="J14" s="1183"/>
    </row>
    <row r="15" spans="1:15" ht="14.5">
      <c r="A15" s="1174" t="str">
        <f>"Nama Ruang "</f>
        <v xml:space="preserve">Nama Ruang </v>
      </c>
      <c r="B15" s="1174"/>
      <c r="C15" s="813" t="s">
        <v>3</v>
      </c>
      <c r="D15" s="1176" t="str">
        <f>ID!D12</f>
        <v>Laboratorium</v>
      </c>
      <c r="E15" s="1176"/>
      <c r="F15" s="1176"/>
      <c r="H15" s="1184"/>
      <c r="I15" s="1184"/>
      <c r="J15" s="1184"/>
    </row>
    <row r="16" spans="1:15" ht="14.5">
      <c r="A16" s="1174" t="s">
        <v>8</v>
      </c>
      <c r="B16" s="1174"/>
      <c r="C16" s="813" t="s">
        <v>3</v>
      </c>
      <c r="D16" s="1178" t="str">
        <f>ID!D9</f>
        <v>20 Mei 2019</v>
      </c>
      <c r="E16" s="1178"/>
      <c r="F16" s="1178"/>
      <c r="H16" s="822"/>
      <c r="I16" s="822"/>
      <c r="J16" s="822"/>
    </row>
    <row r="17" spans="1:8" ht="14.25" customHeight="1">
      <c r="A17" s="1174" t="str">
        <f>"Tanggal "&amp;B48</f>
        <v xml:space="preserve">Tanggal </v>
      </c>
      <c r="B17" s="1174"/>
      <c r="C17" s="813" t="s">
        <v>3</v>
      </c>
      <c r="D17" s="1178" t="str">
        <f>ID!D10</f>
        <v>20 Mei 2021</v>
      </c>
      <c r="E17" s="1178"/>
      <c r="F17" s="1178"/>
    </row>
    <row r="18" spans="1:8" ht="14">
      <c r="A18" s="1174" t="str">
        <f>"Penanggungjawab "&amp;B48</f>
        <v xml:space="preserve">Penanggungjawab </v>
      </c>
      <c r="B18" s="1174"/>
      <c r="C18" s="813" t="s">
        <v>3</v>
      </c>
      <c r="D18" s="1174" t="str">
        <f>ID!B120</f>
        <v>Choirul Huda</v>
      </c>
      <c r="E18" s="1174"/>
      <c r="F18" s="1174"/>
    </row>
    <row r="19" spans="1:8" ht="14.5">
      <c r="A19" s="1174" t="str">
        <f>"Lokasi "&amp;B48</f>
        <v xml:space="preserve">Lokasi </v>
      </c>
      <c r="B19" s="1174"/>
      <c r="C19" s="813" t="s">
        <v>3</v>
      </c>
      <c r="D19" s="1176" t="str">
        <f>ID!D11</f>
        <v>Laboratorium</v>
      </c>
      <c r="E19" s="1176"/>
      <c r="F19" s="1176"/>
      <c r="H19" s="823"/>
    </row>
    <row r="20" spans="1:8" ht="31.5" customHeight="1">
      <c r="A20" s="1176" t="str">
        <f>"Hasil "&amp;B48</f>
        <v xml:space="preserve">Hasil </v>
      </c>
      <c r="B20" s="1176"/>
      <c r="C20" s="824" t="s">
        <v>3</v>
      </c>
      <c r="D20" s="1177" t="s">
        <v>618</v>
      </c>
      <c r="E20" s="1177"/>
      <c r="F20" s="1177"/>
    </row>
    <row r="21" spans="1:8" ht="14">
      <c r="A21" s="1174" t="s">
        <v>619</v>
      </c>
      <c r="B21" s="1174"/>
      <c r="C21" s="813" t="s">
        <v>3</v>
      </c>
      <c r="D21" s="1174" t="str">
        <f>D4</f>
        <v xml:space="preserve">MK 028-18 </v>
      </c>
      <c r="E21" s="1174"/>
      <c r="F21" s="1174"/>
    </row>
    <row r="24" spans="1:8" ht="26.25" customHeight="1">
      <c r="D24" s="825" t="s">
        <v>620</v>
      </c>
      <c r="E24" s="1173">
        <f ca="1">TODAY()</f>
        <v>45192</v>
      </c>
      <c r="F24" s="1173"/>
    </row>
    <row r="25" spans="1:8" ht="14">
      <c r="D25" s="1174" t="s">
        <v>621</v>
      </c>
      <c r="E25" s="1174"/>
      <c r="F25" s="1174"/>
    </row>
    <row r="26" spans="1:8" ht="14">
      <c r="D26" s="1174" t="s">
        <v>622</v>
      </c>
      <c r="E26" s="1174"/>
      <c r="F26" s="1174"/>
    </row>
    <row r="27" spans="1:8" ht="14">
      <c r="D27" s="826"/>
      <c r="E27" s="826"/>
    </row>
    <row r="28" spans="1:8" ht="14">
      <c r="D28" s="826"/>
      <c r="E28" s="826"/>
    </row>
    <row r="29" spans="1:8" ht="14">
      <c r="D29" s="826"/>
      <c r="E29" s="826"/>
    </row>
    <row r="30" spans="1:8" ht="14">
      <c r="D30" s="1174" t="s">
        <v>623</v>
      </c>
      <c r="E30" s="1174"/>
      <c r="F30" s="1174"/>
    </row>
    <row r="31" spans="1:8" ht="14">
      <c r="D31" s="1175" t="s">
        <v>624</v>
      </c>
      <c r="E31" s="1175"/>
      <c r="F31" s="1175"/>
    </row>
    <row r="34" spans="1:6" ht="13">
      <c r="A34" s="827"/>
      <c r="B34" s="827"/>
      <c r="C34" s="827"/>
      <c r="D34" s="827"/>
      <c r="E34" s="827"/>
      <c r="F34" s="827"/>
    </row>
    <row r="40" spans="1:6" ht="13" thickBot="1"/>
    <row r="41" spans="1:6" ht="31.5" customHeight="1">
      <c r="A41" s="828"/>
      <c r="B41" s="829"/>
    </row>
    <row r="42" spans="1:6">
      <c r="A42" s="830"/>
      <c r="B42" s="831"/>
    </row>
    <row r="43" spans="1:6" ht="24" customHeight="1">
      <c r="A43" s="832" t="s">
        <v>625</v>
      </c>
      <c r="B43" s="833" t="str">
        <f>ID!A1</f>
        <v>Input Data Hasil Kalibrasi Inkubator Laboratorium</v>
      </c>
    </row>
    <row r="44" spans="1:6" ht="39" customHeight="1">
      <c r="A44" s="832" t="s">
        <v>626</v>
      </c>
      <c r="B44" s="834" t="str">
        <f>IF(B43=ID!A1,B45,B46)</f>
        <v>SERTIFIKAT KALIBRASI</v>
      </c>
    </row>
    <row r="45" spans="1:6" ht="22.5" customHeight="1">
      <c r="A45" s="832" t="s">
        <v>627</v>
      </c>
      <c r="B45" s="831" t="s">
        <v>628</v>
      </c>
    </row>
    <row r="46" spans="1:6">
      <c r="A46" s="830"/>
      <c r="B46" s="831" t="s">
        <v>629</v>
      </c>
    </row>
    <row r="47" spans="1:6">
      <c r="A47" s="830"/>
      <c r="B47" s="831"/>
    </row>
    <row r="48" spans="1:6" ht="48" customHeight="1">
      <c r="A48" s="832"/>
      <c r="B48" s="831"/>
    </row>
    <row r="49" spans="1:2">
      <c r="A49" s="830"/>
      <c r="B49" s="831"/>
    </row>
    <row r="50" spans="1:2" s="836" customFormat="1" ht="34.5" customHeight="1">
      <c r="A50" s="832"/>
      <c r="B50" s="835"/>
    </row>
    <row r="51" spans="1:2">
      <c r="A51" s="830"/>
      <c r="B51" s="831"/>
    </row>
    <row r="52" spans="1:2" ht="50.25" customHeight="1">
      <c r="A52" s="837"/>
      <c r="B52" s="838"/>
    </row>
    <row r="53" spans="1:2" ht="27" customHeight="1">
      <c r="A53" s="832"/>
      <c r="B53" s="839"/>
    </row>
    <row r="54" spans="1:2">
      <c r="A54" s="830"/>
      <c r="B54" s="831"/>
    </row>
    <row r="55" spans="1:2" ht="30" customHeight="1">
      <c r="A55" s="837"/>
      <c r="B55" s="840"/>
    </row>
    <row r="56" spans="1:2" ht="14">
      <c r="A56" s="830"/>
      <c r="B56" s="841"/>
    </row>
    <row r="57" spans="1:2" ht="14">
      <c r="A57" s="830"/>
      <c r="B57" s="841"/>
    </row>
    <row r="58" spans="1:2" ht="42" customHeight="1">
      <c r="A58" s="842"/>
      <c r="B58" s="841"/>
    </row>
    <row r="59" spans="1:2" ht="39.75" customHeight="1" thickBot="1">
      <c r="A59" s="843"/>
      <c r="B59" s="844"/>
    </row>
  </sheetData>
  <sheetProtection formatRows="0"/>
  <mergeCells count="42">
    <mergeCell ref="D6:E6"/>
    <mergeCell ref="A2:F2"/>
    <mergeCell ref="I2:J2"/>
    <mergeCell ref="A3:F3"/>
    <mergeCell ref="D4:F4"/>
    <mergeCell ref="H5:J5"/>
    <mergeCell ref="D12:E12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I11:J11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A17:B17"/>
    <mergeCell ref="D17:F17"/>
    <mergeCell ref="A18:B18"/>
    <mergeCell ref="D18:F18"/>
    <mergeCell ref="A19:B19"/>
    <mergeCell ref="D19:F19"/>
    <mergeCell ref="A20:B20"/>
    <mergeCell ref="D20:F20"/>
    <mergeCell ref="A21:B21"/>
    <mergeCell ref="D21:F21"/>
    <mergeCell ref="E24:F24"/>
    <mergeCell ref="D25:F25"/>
    <mergeCell ref="D26:F26"/>
    <mergeCell ref="D30:F30"/>
    <mergeCell ref="D31:F31"/>
  </mergeCells>
  <dataValidations count="1">
    <dataValidation type="list" allowBlank="1" showInputMessage="1" showErrorMessage="1" sqref="A2:F2" xr:uid="{BB215B52-A27E-4B56-897C-019F9BDBA393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9879-1D0B-4CE6-8B17-DEB0F0D53692}">
  <sheetPr codeName="Sheet7"/>
  <dimension ref="A1:CS386"/>
  <sheetViews>
    <sheetView topLeftCell="A265" zoomScale="98" zoomScaleNormal="98" workbookViewId="0">
      <pane xSplit="2" topLeftCell="I1" activePane="topRight" state="frozen"/>
      <selection activeCell="A152" sqref="A152"/>
      <selection pane="topRight" activeCell="M272" sqref="M272"/>
    </sheetView>
  </sheetViews>
  <sheetFormatPr defaultColWidth="9" defaultRowHeight="12.5"/>
  <cols>
    <col min="1" max="1" width="9" style="377"/>
    <col min="2" max="2" width="13.54296875" style="382" customWidth="1"/>
    <col min="3" max="3" width="20.7265625" style="382" customWidth="1"/>
    <col min="4" max="4" width="21.26953125" style="382" customWidth="1"/>
    <col min="5" max="5" width="18.54296875" style="382" customWidth="1"/>
    <col min="6" max="18" width="15.54296875" style="382" customWidth="1"/>
    <col min="19" max="19" width="14.81640625" style="382" customWidth="1"/>
    <col min="20" max="28" width="14.7265625" style="417" customWidth="1"/>
    <col min="29" max="29" width="14.7265625" style="382" customWidth="1"/>
    <col min="30" max="30" width="18.54296875" style="382" customWidth="1"/>
    <col min="31" max="31" width="17.26953125" style="382" customWidth="1"/>
    <col min="32" max="33" width="18.54296875" style="382" customWidth="1"/>
    <col min="34" max="34" width="18.54296875" style="417" customWidth="1"/>
    <col min="35" max="35" width="10" style="382" customWidth="1"/>
    <col min="36" max="36" width="10" style="418" customWidth="1"/>
    <col min="37" max="37" width="11.54296875" style="382" customWidth="1"/>
    <col min="38" max="39" width="18.54296875" style="382" customWidth="1"/>
    <col min="40" max="40" width="18.54296875" style="417" customWidth="1"/>
    <col min="41" max="41" width="10" style="382" customWidth="1"/>
    <col min="42" max="42" width="10" style="418" customWidth="1"/>
    <col min="43" max="43" width="10" style="382" customWidth="1"/>
    <col min="44" max="45" width="18.54296875" style="382" customWidth="1"/>
    <col min="46" max="46" width="18.54296875" style="417" customWidth="1"/>
    <col min="47" max="47" width="10" style="382" customWidth="1"/>
    <col min="48" max="48" width="10" style="418" customWidth="1"/>
    <col min="49" max="49" width="10" style="382" customWidth="1"/>
    <col min="50" max="51" width="18.54296875" style="382" customWidth="1"/>
    <col min="52" max="52" width="18.54296875" style="417" customWidth="1"/>
    <col min="53" max="53" width="10" style="382" customWidth="1"/>
    <col min="54" max="54" width="10" style="418" customWidth="1"/>
    <col min="55" max="55" width="10" style="382" customWidth="1"/>
    <col min="56" max="57" width="18.54296875" style="382" customWidth="1"/>
    <col min="58" max="58" width="18.54296875" style="417" customWidth="1"/>
    <col min="59" max="59" width="10" style="382" customWidth="1"/>
    <col min="60" max="60" width="10" style="418" customWidth="1"/>
    <col min="61" max="61" width="10" style="382" customWidth="1"/>
    <col min="62" max="63" width="18.54296875" style="382" customWidth="1"/>
    <col min="64" max="64" width="18.54296875" style="417" customWidth="1"/>
    <col min="65" max="65" width="10" style="382" customWidth="1"/>
    <col min="66" max="66" width="10" style="418" customWidth="1"/>
    <col min="67" max="67" width="10" style="382" customWidth="1"/>
    <col min="68" max="69" width="18.54296875" style="382" customWidth="1"/>
    <col min="70" max="70" width="18.54296875" style="417" customWidth="1"/>
    <col min="71" max="71" width="10" style="382" customWidth="1"/>
    <col min="72" max="72" width="10" style="418" customWidth="1"/>
    <col min="73" max="73" width="10" style="382" customWidth="1"/>
    <col min="74" max="75" width="18.54296875" style="382" customWidth="1"/>
    <col min="76" max="76" width="18.54296875" style="417" customWidth="1"/>
    <col min="77" max="77" width="10" style="382" customWidth="1"/>
    <col min="78" max="78" width="10" style="418" customWidth="1"/>
    <col min="79" max="79" width="10" style="382" customWidth="1"/>
    <col min="80" max="84" width="11.453125" style="382" customWidth="1"/>
    <col min="85" max="85" width="11.453125" style="377" customWidth="1"/>
    <col min="86" max="90" width="11.453125" style="382" customWidth="1"/>
    <col min="91" max="91" width="10" style="377" customWidth="1"/>
    <col min="92" max="94" width="10" style="382" customWidth="1"/>
    <col min="95" max="95" width="15.26953125" style="382" customWidth="1"/>
    <col min="96" max="96" width="10" style="382" customWidth="1"/>
    <col min="97" max="97" width="10" style="377" customWidth="1"/>
    <col min="98" max="316" width="10" style="382" customWidth="1"/>
    <col min="317" max="16384" width="9" style="382"/>
  </cols>
  <sheetData>
    <row r="1" spans="2:96" s="377" customFormat="1" ht="27.65" customHeight="1">
      <c r="B1" s="1197" t="s">
        <v>382</v>
      </c>
      <c r="C1" s="1197"/>
      <c r="D1" s="1197"/>
      <c r="E1" s="1197"/>
      <c r="F1" s="1197"/>
      <c r="H1" s="1197" t="s">
        <v>382</v>
      </c>
      <c r="I1" s="1197"/>
      <c r="J1" s="1197"/>
      <c r="K1" s="1197"/>
      <c r="L1" s="1197"/>
      <c r="N1" s="1197" t="s">
        <v>382</v>
      </c>
      <c r="O1" s="1197"/>
      <c r="P1" s="1197"/>
      <c r="Q1" s="1197"/>
      <c r="R1" s="1197"/>
      <c r="T1" s="1197" t="s">
        <v>382</v>
      </c>
      <c r="U1" s="1197"/>
      <c r="V1" s="1197"/>
      <c r="W1" s="1197"/>
      <c r="X1" s="1197"/>
      <c r="Z1" s="1197" t="s">
        <v>382</v>
      </c>
      <c r="AA1" s="1197"/>
      <c r="AB1" s="1197"/>
      <c r="AC1" s="1197"/>
      <c r="AD1" s="1197"/>
      <c r="AF1" s="1197" t="s">
        <v>382</v>
      </c>
      <c r="AG1" s="1197"/>
      <c r="AH1" s="1197"/>
      <c r="AI1" s="1197"/>
      <c r="AJ1" s="1197"/>
      <c r="AL1" s="1197" t="s">
        <v>382</v>
      </c>
      <c r="AM1" s="1197"/>
      <c r="AN1" s="1197"/>
      <c r="AO1" s="1197"/>
      <c r="AP1" s="1197"/>
      <c r="AR1" s="1197" t="s">
        <v>382</v>
      </c>
      <c r="AS1" s="1197"/>
      <c r="AT1" s="1197"/>
      <c r="AU1" s="1197"/>
      <c r="AV1" s="1197"/>
      <c r="AX1" s="1197" t="s">
        <v>382</v>
      </c>
      <c r="AY1" s="1197"/>
      <c r="AZ1" s="1197"/>
      <c r="BA1" s="1197"/>
      <c r="BB1" s="1197"/>
      <c r="BD1" s="1197" t="s">
        <v>382</v>
      </c>
      <c r="BE1" s="1197"/>
      <c r="BF1" s="1197"/>
      <c r="BG1" s="1197"/>
      <c r="BH1" s="1197"/>
      <c r="BJ1" s="1197" t="s">
        <v>382</v>
      </c>
      <c r="BK1" s="1197"/>
      <c r="BL1" s="1197"/>
      <c r="BM1" s="1197"/>
      <c r="BN1" s="1197"/>
      <c r="BP1" s="1197" t="s">
        <v>382</v>
      </c>
      <c r="BQ1" s="1197"/>
      <c r="BR1" s="1197"/>
      <c r="BS1" s="1197"/>
      <c r="BT1" s="1197"/>
      <c r="BV1" s="1197" t="s">
        <v>382</v>
      </c>
      <c r="BW1" s="1197"/>
      <c r="BX1" s="1197"/>
      <c r="BY1" s="1197"/>
      <c r="BZ1" s="1197"/>
      <c r="CB1" s="1197" t="s">
        <v>382</v>
      </c>
      <c r="CC1" s="1197"/>
      <c r="CD1" s="1197"/>
      <c r="CE1" s="1197"/>
      <c r="CF1" s="1197"/>
      <c r="CH1" s="1197" t="s">
        <v>382</v>
      </c>
      <c r="CI1" s="1197"/>
      <c r="CJ1" s="1197"/>
      <c r="CK1" s="1197"/>
      <c r="CL1" s="1197"/>
      <c r="CN1" s="1197" t="s">
        <v>382</v>
      </c>
      <c r="CO1" s="1197"/>
      <c r="CP1" s="1197"/>
      <c r="CQ1" s="1197"/>
      <c r="CR1" s="1197"/>
    </row>
    <row r="2" spans="2:96" s="377" customFormat="1">
      <c r="P2" s="378"/>
      <c r="R2" s="379"/>
      <c r="V2" s="378"/>
      <c r="X2" s="379"/>
      <c r="AB2" s="378"/>
      <c r="AD2" s="379"/>
      <c r="AH2" s="378"/>
      <c r="AJ2" s="379"/>
      <c r="AN2" s="378"/>
      <c r="AP2" s="379"/>
      <c r="AT2" s="378"/>
      <c r="AV2" s="379"/>
      <c r="AZ2" s="378"/>
      <c r="BB2" s="379"/>
      <c r="BF2" s="378"/>
      <c r="BH2" s="379"/>
      <c r="BL2" s="378"/>
      <c r="BN2" s="379"/>
      <c r="BR2" s="378"/>
      <c r="BT2" s="379"/>
      <c r="BX2" s="378"/>
      <c r="BZ2" s="379"/>
      <c r="CD2" s="378"/>
      <c r="CF2" s="379"/>
      <c r="CJ2" s="378"/>
      <c r="CL2" s="379"/>
      <c r="CP2" s="378"/>
      <c r="CR2" s="379"/>
    </row>
    <row r="3" spans="2:96" ht="27.75" customHeight="1">
      <c r="B3" s="1198" t="s">
        <v>383</v>
      </c>
      <c r="C3" s="1200" t="s">
        <v>384</v>
      </c>
      <c r="D3" s="1200"/>
      <c r="E3" s="1200"/>
      <c r="F3" s="380" t="s">
        <v>648</v>
      </c>
      <c r="G3" s="381"/>
      <c r="H3" s="1198" t="s">
        <v>383</v>
      </c>
      <c r="I3" s="1200" t="s">
        <v>385</v>
      </c>
      <c r="J3" s="1200"/>
      <c r="K3" s="1200"/>
      <c r="L3" s="380" t="s">
        <v>648</v>
      </c>
      <c r="M3" s="381"/>
      <c r="N3" s="1198" t="s">
        <v>383</v>
      </c>
      <c r="O3" s="1201" t="s">
        <v>93</v>
      </c>
      <c r="P3" s="1202"/>
      <c r="Q3" s="1201"/>
      <c r="R3" s="380" t="s">
        <v>648</v>
      </c>
      <c r="S3" s="377"/>
      <c r="T3" s="1198" t="s">
        <v>383</v>
      </c>
      <c r="U3" s="1200" t="str">
        <f>F156</f>
        <v>Wireless Temperature Recorder, Merek : HIOKI, Model : LR 8510, SN : 200936000</v>
      </c>
      <c r="V3" s="1203"/>
      <c r="W3" s="1200"/>
      <c r="X3" s="380" t="s">
        <v>648</v>
      </c>
      <c r="Y3" s="377"/>
      <c r="Z3" s="1198" t="s">
        <v>383</v>
      </c>
      <c r="AA3" s="1200" t="str">
        <f>G156</f>
        <v>Wireless Temperature Recorder, Merek : HIOKI, Model : LR 8510, SN : 200936001</v>
      </c>
      <c r="AB3" s="1203"/>
      <c r="AC3" s="1200"/>
      <c r="AD3" s="380" t="s">
        <v>648</v>
      </c>
      <c r="AE3" s="377"/>
      <c r="AF3" s="1198" t="s">
        <v>383</v>
      </c>
      <c r="AG3" s="1200" t="str">
        <f>H156</f>
        <v>Wireless Temperature Recorder, Merek : HIOKI, Model : LR 8510, SN : 200821397</v>
      </c>
      <c r="AH3" s="1203"/>
      <c r="AI3" s="1200"/>
      <c r="AJ3" s="380" t="s">
        <v>648</v>
      </c>
      <c r="AK3" s="377"/>
      <c r="AL3" s="1198" t="s">
        <v>383</v>
      </c>
      <c r="AM3" s="1200" t="str">
        <f>I156</f>
        <v>Wireless Temperature Recorder, Merek : HIOKI, Model : LR 8510, SN : 210411983</v>
      </c>
      <c r="AN3" s="1203"/>
      <c r="AO3" s="1200"/>
      <c r="AP3" s="380" t="s">
        <v>648</v>
      </c>
      <c r="AQ3" s="377"/>
      <c r="AR3" s="1198" t="s">
        <v>383</v>
      </c>
      <c r="AS3" s="1200" t="str">
        <f>J156</f>
        <v>Wireless Temperature Recorder, Merek : HIOKI, Model : LR 8510, SN : 210411984</v>
      </c>
      <c r="AT3" s="1203"/>
      <c r="AU3" s="1200"/>
      <c r="AV3" s="380" t="s">
        <v>648</v>
      </c>
      <c r="AW3" s="377"/>
      <c r="AX3" s="1198" t="s">
        <v>383</v>
      </c>
      <c r="AY3" s="1200" t="str">
        <f>K156</f>
        <v>Wireless Temperature Recorder, Merek : HIOKI, Model : LR 8510, SN : 210411985</v>
      </c>
      <c r="AZ3" s="1203"/>
      <c r="BA3" s="1200"/>
      <c r="BB3" s="380" t="s">
        <v>648</v>
      </c>
      <c r="BC3" s="377"/>
      <c r="BD3" s="1198" t="s">
        <v>383</v>
      </c>
      <c r="BE3" s="1200" t="str">
        <f>L156</f>
        <v>Wireless Temperature Recorder, Merek : HIOKI, Model : LR 8510, SN : 210746054</v>
      </c>
      <c r="BF3" s="1203"/>
      <c r="BG3" s="1200"/>
      <c r="BH3" s="380" t="s">
        <v>648</v>
      </c>
      <c r="BI3" s="377"/>
      <c r="BJ3" s="1198" t="s">
        <v>383</v>
      </c>
      <c r="BK3" s="1200" t="str">
        <f>M156</f>
        <v>Wireless Temperature Recorder, Merek : HIOKI, Model : LR 8510, SN : 210746055</v>
      </c>
      <c r="BL3" s="1203"/>
      <c r="BM3" s="1200"/>
      <c r="BN3" s="380" t="s">
        <v>648</v>
      </c>
      <c r="BO3" s="377"/>
      <c r="BP3" s="1198" t="s">
        <v>383</v>
      </c>
      <c r="BQ3" s="1200" t="str">
        <f>N156</f>
        <v>Wireless Temperature Recorder, Merek : HIOKI, Model : LR 8510, SN : 210746056</v>
      </c>
      <c r="BR3" s="1203"/>
      <c r="BS3" s="1200"/>
      <c r="BT3" s="380" t="s">
        <v>648</v>
      </c>
      <c r="BU3" s="377"/>
      <c r="BV3" s="1198" t="s">
        <v>383</v>
      </c>
      <c r="BW3" s="1200" t="str">
        <f>O156</f>
        <v>Wireless Temperature Recorder, Merek : HIOKI, Model : LR 8510, SN : 200821396</v>
      </c>
      <c r="BX3" s="1203"/>
      <c r="BY3" s="1200"/>
      <c r="BZ3" s="380" t="s">
        <v>648</v>
      </c>
      <c r="CA3" s="377"/>
      <c r="CB3" s="1198" t="s">
        <v>383</v>
      </c>
      <c r="CC3" s="1200" t="str">
        <f>P156</f>
        <v>Reference Thermometer, Merek : APPA, Model : APPA51, SN : 03002948</v>
      </c>
      <c r="CD3" s="1203"/>
      <c r="CE3" s="1200"/>
      <c r="CF3" s="380" t="s">
        <v>648</v>
      </c>
      <c r="CH3" s="1198" t="s">
        <v>383</v>
      </c>
      <c r="CI3" s="1200" t="str">
        <f>Q156</f>
        <v>Reference Thermometer, Merek : FLUKE, Model : 1524, SN : 1803038</v>
      </c>
      <c r="CJ3" s="1203"/>
      <c r="CK3" s="1200"/>
      <c r="CL3" s="380" t="s">
        <v>648</v>
      </c>
      <c r="CN3" s="1198" t="s">
        <v>383</v>
      </c>
      <c r="CO3" s="1200" t="str">
        <f>R156</f>
        <v>Reference Thermometer, Merek : FLUKE, Model : 1524, SN : 1803037</v>
      </c>
      <c r="CP3" s="1203"/>
      <c r="CQ3" s="1200"/>
      <c r="CR3" s="380" t="s">
        <v>648</v>
      </c>
    </row>
    <row r="4" spans="2:96" ht="12.75" customHeight="1">
      <c r="B4" s="1199"/>
      <c r="C4" s="383">
        <v>2021</v>
      </c>
      <c r="D4" s="383">
        <v>2022</v>
      </c>
      <c r="E4" s="384" t="s">
        <v>386</v>
      </c>
      <c r="F4" s="388">
        <f ca="1">$B$290</f>
        <v>37.19</v>
      </c>
      <c r="G4" s="385"/>
      <c r="H4" s="1199"/>
      <c r="I4" s="386">
        <v>2021</v>
      </c>
      <c r="J4" s="387">
        <v>2022</v>
      </c>
      <c r="K4" s="384" t="s">
        <v>386</v>
      </c>
      <c r="L4" s="388">
        <f ca="1">$B$290</f>
        <v>37.19</v>
      </c>
      <c r="M4" s="385"/>
      <c r="N4" s="1199"/>
      <c r="O4" s="936">
        <v>2021</v>
      </c>
      <c r="P4" s="937">
        <v>2023</v>
      </c>
      <c r="Q4" s="384" t="s">
        <v>386</v>
      </c>
      <c r="R4" s="388">
        <f ca="1">$B$290</f>
        <v>37.19</v>
      </c>
      <c r="S4" s="377"/>
      <c r="T4" s="1199"/>
      <c r="U4" s="386">
        <v>2021</v>
      </c>
      <c r="V4" s="387"/>
      <c r="W4" s="384" t="s">
        <v>386</v>
      </c>
      <c r="X4" s="388">
        <f ca="1">$B$290</f>
        <v>37.19</v>
      </c>
      <c r="Y4" s="377"/>
      <c r="Z4" s="1199"/>
      <c r="AA4" s="386">
        <v>2023</v>
      </c>
      <c r="AB4" s="387">
        <v>2021</v>
      </c>
      <c r="AC4" s="384" t="s">
        <v>386</v>
      </c>
      <c r="AD4" s="388">
        <f ca="1">$B$290</f>
        <v>37.19</v>
      </c>
      <c r="AE4" s="377"/>
      <c r="AF4" s="1199"/>
      <c r="AG4" s="386">
        <f>H155</f>
        <v>2023</v>
      </c>
      <c r="AH4" s="387">
        <v>2021</v>
      </c>
      <c r="AI4" s="384" t="s">
        <v>386</v>
      </c>
      <c r="AJ4" s="388">
        <f ca="1">$B$290</f>
        <v>37.19</v>
      </c>
      <c r="AK4" s="377"/>
      <c r="AL4" s="1199"/>
      <c r="AM4" s="386">
        <v>2021</v>
      </c>
      <c r="AN4" s="387"/>
      <c r="AO4" s="384" t="s">
        <v>386</v>
      </c>
      <c r="AP4" s="388">
        <f ca="1">$B$290</f>
        <v>37.19</v>
      </c>
      <c r="AQ4" s="377"/>
      <c r="AR4" s="1199"/>
      <c r="AS4" s="386">
        <v>2021</v>
      </c>
      <c r="AT4" s="387"/>
      <c r="AU4" s="384" t="s">
        <v>386</v>
      </c>
      <c r="AV4" s="388">
        <f ca="1">$B$290</f>
        <v>37.19</v>
      </c>
      <c r="AW4" s="377"/>
      <c r="AX4" s="1199"/>
      <c r="AY4" s="386">
        <v>2021</v>
      </c>
      <c r="AZ4" s="387"/>
      <c r="BA4" s="384" t="s">
        <v>386</v>
      </c>
      <c r="BB4" s="388">
        <f ca="1">$B$290</f>
        <v>37.19</v>
      </c>
      <c r="BC4" s="377"/>
      <c r="BD4" s="1199"/>
      <c r="BE4" s="386">
        <v>2021</v>
      </c>
      <c r="BF4" s="387"/>
      <c r="BG4" s="384" t="s">
        <v>386</v>
      </c>
      <c r="BH4" s="388">
        <f ca="1">$B$290</f>
        <v>37.19</v>
      </c>
      <c r="BI4" s="377"/>
      <c r="BJ4" s="1199"/>
      <c r="BK4" s="386">
        <v>2021</v>
      </c>
      <c r="BL4" s="387"/>
      <c r="BM4" s="384" t="s">
        <v>386</v>
      </c>
      <c r="BN4" s="388">
        <f ca="1">$B$290</f>
        <v>37.19</v>
      </c>
      <c r="BO4" s="377"/>
      <c r="BP4" s="1199"/>
      <c r="BQ4" s="386">
        <v>2021</v>
      </c>
      <c r="BR4" s="387"/>
      <c r="BS4" s="384" t="s">
        <v>386</v>
      </c>
      <c r="BT4" s="388">
        <f ca="1">$B$290</f>
        <v>37.19</v>
      </c>
      <c r="BU4" s="377"/>
      <c r="BV4" s="1199"/>
      <c r="BW4" s="386">
        <v>2022</v>
      </c>
      <c r="BX4" s="387"/>
      <c r="BY4" s="384" t="s">
        <v>386</v>
      </c>
      <c r="BZ4" s="388">
        <f ca="1">$B$290</f>
        <v>37.19</v>
      </c>
      <c r="CA4" s="377"/>
      <c r="CB4" s="1199"/>
      <c r="CC4" s="386">
        <v>2022</v>
      </c>
      <c r="CD4" s="387">
        <f>CD19</f>
        <v>2020</v>
      </c>
      <c r="CE4" s="384" t="s">
        <v>386</v>
      </c>
      <c r="CF4" s="388">
        <f ca="1">$B$290</f>
        <v>37.19</v>
      </c>
      <c r="CH4" s="1199"/>
      <c r="CI4" s="386">
        <v>2021</v>
      </c>
      <c r="CJ4" s="387">
        <v>2019</v>
      </c>
      <c r="CK4" s="384" t="s">
        <v>386</v>
      </c>
      <c r="CL4" s="388">
        <f ca="1">$B$290</f>
        <v>37.19</v>
      </c>
      <c r="CN4" s="1199"/>
      <c r="CO4" s="386">
        <v>2021</v>
      </c>
      <c r="CP4" s="387">
        <v>2020</v>
      </c>
      <c r="CQ4" s="384" t="s">
        <v>386</v>
      </c>
      <c r="CR4" s="388">
        <f ca="1">$B$290</f>
        <v>37.19</v>
      </c>
    </row>
    <row r="5" spans="2:96" ht="13">
      <c r="B5" s="389">
        <v>-20</v>
      </c>
      <c r="C5" s="291">
        <v>-0.43</v>
      </c>
      <c r="D5" s="291">
        <f t="shared" ref="D5:D16" si="0">C158</f>
        <v>-0.77</v>
      </c>
      <c r="E5" s="390">
        <f t="shared" ref="E5:E16" si="1">IF(OR(C5=0,D5=0),$C$170/3,((MAX(C5:D5)-(MIN(C5:D5)))))</f>
        <v>0.34</v>
      </c>
      <c r="F5" s="932">
        <f ca="1">IF($L$4&lt;=$B$10,$B$9,IF($L$4&lt;=$B$11,$B$10,IF($L$4&lt;=$B$12,$B$11,IF($L$4&lt;=$B$13,$B$12,IF($L$4&lt;=$B$14,$B$13)))))</f>
        <v>37</v>
      </c>
      <c r="G5" s="392"/>
      <c r="H5" s="389">
        <v>-20</v>
      </c>
      <c r="I5" s="291">
        <v>-0.69</v>
      </c>
      <c r="J5" s="291">
        <f t="shared" ref="J5:J16" si="2">D158</f>
        <v>-0.62</v>
      </c>
      <c r="K5" s="390">
        <f t="shared" ref="K5:K16" si="3">IF(OR(I5=0,J5=0),$D$170/3,((MAX(I5:J5)-(MIN(I5:J5)))))</f>
        <v>6.9999999999999951E-2</v>
      </c>
      <c r="L5" s="932">
        <f ca="1">IF($L$4&lt;=$B$10,$B$9,IF($L$4&lt;=$B$11,$B$10,IF($L$4&lt;=$B$12,$B$11,IF($L$4&lt;=$B$13,$B$12,IF($L$4&lt;=$B$14,$B$13)))))</f>
        <v>37</v>
      </c>
      <c r="M5" s="392"/>
      <c r="N5" s="389">
        <v>-20</v>
      </c>
      <c r="O5" s="938">
        <v>9.9999999999999995E-7</v>
      </c>
      <c r="P5" s="939">
        <f t="shared" ref="P5:P16" si="4">E158</f>
        <v>-0.57999999999999996</v>
      </c>
      <c r="Q5" s="940">
        <f t="shared" ref="Q5:Q16" si="5">IF(OR(O5=0,P5=0),$E$170/3,((MAX(O5:P5)-(MIN(O5:P5)))))</f>
        <v>0.58000099999999999</v>
      </c>
      <c r="R5" s="932">
        <f ca="1">IF($L$4&lt;=$B$10,$B$9,IF($L$4&lt;=$B$11,$B$10,IF($L$4&lt;=$B$12,$B$11,IF($L$4&lt;=$B$13,$B$12,IF($L$4&lt;=$B$14,$B$13)))))</f>
        <v>37</v>
      </c>
      <c r="S5" s="393"/>
      <c r="T5" s="389">
        <v>-20</v>
      </c>
      <c r="U5" s="290">
        <f t="shared" ref="U5:U16" si="6">F158</f>
        <v>-1.46</v>
      </c>
      <c r="V5" s="291"/>
      <c r="W5" s="390">
        <f t="shared" ref="W5:W16" si="7">IF(OR(U5=0,V5=0),$F$170/3,((MAX(U5:V5)-(MIN(U5:V5)))))</f>
        <v>8.3333333333333329E-2</v>
      </c>
      <c r="X5" s="932">
        <f ca="1">IF($L$4&lt;=$B$10,$B$9,IF($L$4&lt;=$B$11,$B$10,IF($L$4&lt;=$B$12,$B$11,IF($L$4&lt;=$B$13,$B$12,IF($L$4&lt;=$B$14,$B$13)))))</f>
        <v>37</v>
      </c>
      <c r="Y5" s="393"/>
      <c r="Z5" s="389">
        <v>-20</v>
      </c>
      <c r="AA5" s="290">
        <f t="shared" ref="AA5:AA16" si="8">G158</f>
        <v>-0.03</v>
      </c>
      <c r="AB5" s="291">
        <v>-0.53</v>
      </c>
      <c r="AC5" s="390">
        <f t="shared" ref="AC5:AC16" si="9">IF(OR(AA5=0,AB5=0),$G$170/3,((MAX(AA5:AB5)-(MIN(AA5:AB5)))))</f>
        <v>0.5</v>
      </c>
      <c r="AD5" s="932">
        <f ca="1">IF($L$4&lt;=$B$10,$B$9,IF($L$4&lt;=$B$11,$B$10,IF($L$4&lt;=$B$12,$B$11,IF($L$4&lt;=$B$13,$B$12,IF($L$4&lt;=$B$14,$B$13)))))</f>
        <v>37</v>
      </c>
      <c r="AE5" s="393"/>
      <c r="AF5" s="389">
        <v>-20</v>
      </c>
      <c r="AG5" s="290">
        <f t="shared" ref="AG5:AG16" si="10">H158</f>
        <v>-0.02</v>
      </c>
      <c r="AH5" s="291">
        <v>-0.05</v>
      </c>
      <c r="AI5" s="390">
        <f t="shared" ref="AI5:AI16" si="11">IF(OR(AG5=0,AH5=0),$H$170/3,((MAX(AG5:AH5)-(MIN(AG5:AH5)))))</f>
        <v>3.0000000000000002E-2</v>
      </c>
      <c r="AJ5" s="932">
        <f ca="1">IF($L$4&lt;=$B$10,$B$9,IF($L$4&lt;=$B$11,$B$10,IF($L$4&lt;=$B$12,$B$11,IF($L$4&lt;=$B$13,$B$12,IF($L$4&lt;=$B$14,$B$13)))))</f>
        <v>37</v>
      </c>
      <c r="AK5" s="393"/>
      <c r="AL5" s="389">
        <v>-20</v>
      </c>
      <c r="AM5" s="290">
        <f t="shared" ref="AM5:AM16" si="12">I158</f>
        <v>0.4</v>
      </c>
      <c r="AN5" s="291"/>
      <c r="AO5" s="390">
        <f t="shared" ref="AO5:AO16" si="13">IF(OR(AM5=0,AN5=0),$I$170/3,((MAX(AM5:AN5)-(MIN(AM5:AN5)))))</f>
        <v>8.3333333333333329E-2</v>
      </c>
      <c r="AP5" s="932">
        <f ca="1">IF($L$4&lt;=$B$10,$B$9,IF($L$4&lt;=$B$11,$B$10,IF($L$4&lt;=$B$12,$B$11,IF($L$4&lt;=$B$13,$B$12,IF($L$4&lt;=$B$14,$B$13)))))</f>
        <v>37</v>
      </c>
      <c r="AQ5" s="377"/>
      <c r="AR5" s="389">
        <v>-20</v>
      </c>
      <c r="AS5" s="290">
        <f t="shared" ref="AS5:AS15" si="14">J158</f>
        <v>0.33</v>
      </c>
      <c r="AT5" s="291"/>
      <c r="AU5" s="390">
        <f t="shared" ref="AU5:AU16" si="15">IF(OR(AS5=0,AT5=0),$J$170/3,((MAX(AS5:AT5)-(MIN(AS5:AT5)))))</f>
        <v>0.08</v>
      </c>
      <c r="AV5" s="932">
        <f ca="1">IF($L$4&lt;=$B$10,$B$9,IF($L$4&lt;=$B$11,$B$10,IF($L$4&lt;=$B$12,$B$11,IF($L$4&lt;=$B$13,$B$12,IF($L$4&lt;=$B$14,$B$13)))))</f>
        <v>37</v>
      </c>
      <c r="AW5" s="377"/>
      <c r="AX5" s="389">
        <v>-20</v>
      </c>
      <c r="AY5" s="290">
        <f t="shared" ref="AY5:AY16" si="16">K158</f>
        <v>0.53</v>
      </c>
      <c r="AZ5" s="291"/>
      <c r="BA5" s="390">
        <f t="shared" ref="BA5:BA16" si="17">IF(OR(AY5=0,AZ5=0),$K$170/3,((MAX(AY5:AZ5)-(MIN(AY5:AZ5)))))</f>
        <v>0.26333333333333336</v>
      </c>
      <c r="BB5" s="932">
        <f ca="1">IF($L$4&lt;=$B$10,$B$9,IF($L$4&lt;=$B$11,$B$10,IF($L$4&lt;=$B$12,$B$11,IF($L$4&lt;=$B$13,$B$12,IF($L$4&lt;=$B$14,$B$13)))))</f>
        <v>37</v>
      </c>
      <c r="BC5" s="377"/>
      <c r="BD5" s="389">
        <v>-20</v>
      </c>
      <c r="BE5" s="290">
        <f t="shared" ref="BE5:BE16" si="18">L158</f>
        <v>-1.02</v>
      </c>
      <c r="BF5" s="291"/>
      <c r="BG5" s="390">
        <f t="shared" ref="BG5:BG16" si="19">IF(OR(BE5=0,BF5=0),$L$170/3,((MAX(BE5:BF5)-(MIN(BE5:BF5)))))</f>
        <v>9.0000000000000011E-2</v>
      </c>
      <c r="BH5" s="932">
        <f ca="1">IF($L$4&lt;=$B$10,$B$9,IF($L$4&lt;=$B$11,$B$10,IF($L$4&lt;=$B$12,$B$11,IF($L$4&lt;=$B$13,$B$12,IF($L$4&lt;=$B$14,$B$13)))))</f>
        <v>37</v>
      </c>
      <c r="BI5" s="377"/>
      <c r="BJ5" s="389">
        <v>-20</v>
      </c>
      <c r="BK5" s="290">
        <f t="shared" ref="BK5:BK16" si="20">M158</f>
        <v>0.53</v>
      </c>
      <c r="BL5" s="291"/>
      <c r="BM5" s="390">
        <f t="shared" ref="BM5:BM16" si="21">IF(OR(BK5=0,BL5=0),$M$170/3,((MAX(BK5:BL5)-(MIN(BK5:BL5)))))</f>
        <v>0.26333333333333336</v>
      </c>
      <c r="BN5" s="932">
        <f ca="1">IF($L$4&lt;=$B$10,$B$9,IF($L$4&lt;=$B$11,$B$10,IF($L$4&lt;=$B$12,$B$11,IF($L$4&lt;=$B$13,$B$12,IF($L$4&lt;=$B$14,$B$13)))))</f>
        <v>37</v>
      </c>
      <c r="BO5" s="377"/>
      <c r="BP5" s="389">
        <v>-20</v>
      </c>
      <c r="BQ5" s="290">
        <f t="shared" ref="BQ5:BQ16" si="22">N158</f>
        <v>-1.4</v>
      </c>
      <c r="BR5" s="291"/>
      <c r="BS5" s="390">
        <f t="shared" ref="BS5:BS16" si="23">IF(OR(BQ5=0,BR5=0),$N$170/3,((MAX(BQ5:BR5)-(MIN(BQ5:BR5)))))</f>
        <v>8.666666666666667E-2</v>
      </c>
      <c r="BT5" s="932">
        <f ca="1">IF($L$4&lt;=$B$10,$B$9,IF($L$4&lt;=$B$11,$B$10,IF($L$4&lt;=$B$12,$B$11,IF($L$4&lt;=$B$13,$B$12,IF($L$4&lt;=$B$14,$B$13)))))</f>
        <v>37</v>
      </c>
      <c r="BU5" s="377"/>
      <c r="BV5" s="389">
        <v>-20</v>
      </c>
      <c r="BW5" s="290">
        <f t="shared" ref="BW5:BW16" si="24">O158</f>
        <v>-1.5</v>
      </c>
      <c r="BX5" s="291"/>
      <c r="BY5" s="390">
        <f t="shared" ref="BY5:BY16" si="25">IF(OR(BW5=0,BX5=0),$O$170/3,((MAX(BW5:BX5)-(MIN(BW5:BX5)))))</f>
        <v>9.0000000000000011E-2</v>
      </c>
      <c r="BZ5" s="932">
        <f ca="1">IF($L$4&lt;=$B$10,$B$9,IF($L$4&lt;=$B$11,$B$10,IF($L$4&lt;=$B$12,$B$11,IF($L$4&lt;=$B$13,$B$12,IF($L$4&lt;=$B$14,$B$13)))))</f>
        <v>37</v>
      </c>
      <c r="CA5" s="377"/>
      <c r="CB5" s="389">
        <v>-20</v>
      </c>
      <c r="CC5" s="290">
        <f t="shared" ref="CC5:CC16" si="26">P158</f>
        <v>-1.1000000000000001</v>
      </c>
      <c r="CD5" s="291">
        <f>CD20</f>
        <v>-0.7</v>
      </c>
      <c r="CE5" s="390">
        <f t="shared" ref="CE5:CE16" si="27">IF(OR(CC5=0,CD5=0),$P$170/3,((MAX(CC5:CD5)-(MIN(CC5:CD5)))))</f>
        <v>0.40000000000000013</v>
      </c>
      <c r="CF5" s="932">
        <f ca="1">IF($L$4&lt;=$B$10,$B$9,IF($L$4&lt;=$B$11,$B$10,IF($L$4&lt;=$B$12,$B$11,IF($L$4&lt;=$B$13,$B$12,IF($L$4&lt;=$B$14,$B$13)))))</f>
        <v>37</v>
      </c>
      <c r="CH5" s="389">
        <v>-20</v>
      </c>
      <c r="CI5" s="290">
        <f t="shared" ref="CI5:CI16" si="28">Q158</f>
        <v>-0.15</v>
      </c>
      <c r="CJ5" s="291">
        <v>-0.32</v>
      </c>
      <c r="CK5" s="390">
        <f t="shared" ref="CK5:CK16" si="29">IF(OR(CI5=0,CJ5=0),$Q$170/3,((MAX(CI5:CJ5)-(MIN(CI5:CJ5)))))</f>
        <v>0.17</v>
      </c>
      <c r="CL5" s="932">
        <f ca="1">IF($L$4&lt;=$B$10,$B$9,IF($L$4&lt;=$B$11,$B$10,IF($L$4&lt;=$B$12,$B$11,IF($L$4&lt;=$B$13,$B$12,IF($L$4&lt;=$B$14,$B$13)))))</f>
        <v>37</v>
      </c>
      <c r="CN5" s="389">
        <v>-20</v>
      </c>
      <c r="CO5" s="290">
        <f t="shared" ref="CO5:CO16" si="30">R158</f>
        <v>-1.8</v>
      </c>
      <c r="CP5" s="291">
        <v>-0.51</v>
      </c>
      <c r="CQ5" s="390">
        <f t="shared" ref="CQ5:CQ16" si="31">IF(OR(CO5=0,CP5=0),$R$170/3,((MAX(CO5:CP5)-(MIN(CO5:CP5)))))</f>
        <v>1.29</v>
      </c>
      <c r="CR5" s="932">
        <f ca="1">IF($L$4&lt;=$B$10,$B$9,IF($L$4&lt;=$B$11,$B$10,IF($L$4&lt;=$B$12,$B$11,IF($L$4&lt;=$B$13,$B$12,IF($L$4&lt;=$B$14,$B$13)))))</f>
        <v>37</v>
      </c>
    </row>
    <row r="6" spans="2:96" ht="13">
      <c r="B6" s="389">
        <v>-15</v>
      </c>
      <c r="C6" s="291">
        <v>-0.37</v>
      </c>
      <c r="D6" s="291">
        <f t="shared" si="0"/>
        <v>-0.67</v>
      </c>
      <c r="E6" s="390">
        <f t="shared" si="1"/>
        <v>0.30000000000000004</v>
      </c>
      <c r="F6" s="391"/>
      <c r="G6" s="392"/>
      <c r="H6" s="389">
        <v>-15</v>
      </c>
      <c r="I6" s="291">
        <v>-0.56999999999999995</v>
      </c>
      <c r="J6" s="291">
        <f t="shared" si="2"/>
        <v>0.52</v>
      </c>
      <c r="K6" s="390">
        <f>IF(OR(I6=0,J6=0),$D$170/3,((MAX(I6:J6)-(MIN(I6:J6)))))</f>
        <v>1.0899999999999999</v>
      </c>
      <c r="L6" s="391"/>
      <c r="M6" s="392"/>
      <c r="N6" s="389">
        <v>-15</v>
      </c>
      <c r="O6" s="938">
        <v>-0.45</v>
      </c>
      <c r="P6" s="939">
        <f t="shared" si="4"/>
        <v>-0.48</v>
      </c>
      <c r="Q6" s="940">
        <f t="shared" si="5"/>
        <v>2.9999999999999971E-2</v>
      </c>
      <c r="R6" s="391"/>
      <c r="S6" s="377"/>
      <c r="T6" s="389">
        <v>-15</v>
      </c>
      <c r="U6" s="290">
        <f t="shared" si="6"/>
        <v>-1.26</v>
      </c>
      <c r="V6" s="291"/>
      <c r="W6" s="390">
        <f t="shared" si="7"/>
        <v>8.3333333333333329E-2</v>
      </c>
      <c r="X6" s="391"/>
      <c r="Y6" s="377"/>
      <c r="Z6" s="389">
        <v>-15</v>
      </c>
      <c r="AA6" s="290">
        <f t="shared" si="8"/>
        <v>0.02</v>
      </c>
      <c r="AB6" s="291">
        <v>9.9999999999999995E-7</v>
      </c>
      <c r="AC6" s="390">
        <f t="shared" si="9"/>
        <v>1.9998999999999999E-2</v>
      </c>
      <c r="AD6" s="391"/>
      <c r="AE6" s="377"/>
      <c r="AF6" s="389">
        <v>-15</v>
      </c>
      <c r="AG6" s="290">
        <f t="shared" si="10"/>
        <v>0.01</v>
      </c>
      <c r="AH6" s="291">
        <v>9.9999999999999995E-7</v>
      </c>
      <c r="AI6" s="390">
        <f t="shared" si="11"/>
        <v>9.9990000000000009E-3</v>
      </c>
      <c r="AJ6" s="391"/>
      <c r="AK6" s="377"/>
      <c r="AL6" s="389">
        <v>-15</v>
      </c>
      <c r="AM6" s="290">
        <f t="shared" si="12"/>
        <v>0.42</v>
      </c>
      <c r="AN6" s="291"/>
      <c r="AO6" s="390">
        <f t="shared" si="13"/>
        <v>8.3333333333333329E-2</v>
      </c>
      <c r="AP6" s="391"/>
      <c r="AQ6" s="377"/>
      <c r="AR6" s="389">
        <v>-15</v>
      </c>
      <c r="AS6" s="290">
        <f t="shared" si="14"/>
        <v>0.35</v>
      </c>
      <c r="AT6" s="291"/>
      <c r="AU6" s="390">
        <f t="shared" si="15"/>
        <v>0.08</v>
      </c>
      <c r="AV6" s="391"/>
      <c r="AW6" s="377"/>
      <c r="AX6" s="389">
        <v>-15</v>
      </c>
      <c r="AY6" s="290">
        <f t="shared" si="16"/>
        <v>9.9999999999999995E-7</v>
      </c>
      <c r="AZ6" s="291"/>
      <c r="BA6" s="390">
        <f t="shared" si="17"/>
        <v>0.26333333333333336</v>
      </c>
      <c r="BB6" s="391"/>
      <c r="BC6" s="377"/>
      <c r="BD6" s="389">
        <v>-15</v>
      </c>
      <c r="BE6" s="290">
        <f t="shared" si="18"/>
        <v>-0.76</v>
      </c>
      <c r="BF6" s="291"/>
      <c r="BG6" s="390">
        <f t="shared" si="19"/>
        <v>9.0000000000000011E-2</v>
      </c>
      <c r="BH6" s="391"/>
      <c r="BI6" s="377"/>
      <c r="BJ6" s="389">
        <v>-15</v>
      </c>
      <c r="BK6" s="290">
        <f t="shared" si="20"/>
        <v>9.9999999999999995E-7</v>
      </c>
      <c r="BL6" s="291"/>
      <c r="BM6" s="390">
        <f t="shared" si="21"/>
        <v>0.26333333333333336</v>
      </c>
      <c r="BN6" s="391"/>
      <c r="BO6" s="377"/>
      <c r="BP6" s="389">
        <v>-15</v>
      </c>
      <c r="BQ6" s="290">
        <f t="shared" si="22"/>
        <v>-1.1399999999999999</v>
      </c>
      <c r="BR6" s="291"/>
      <c r="BS6" s="390">
        <f t="shared" si="23"/>
        <v>8.666666666666667E-2</v>
      </c>
      <c r="BT6" s="391"/>
      <c r="BU6" s="377"/>
      <c r="BV6" s="389">
        <v>-15</v>
      </c>
      <c r="BW6" s="290">
        <f t="shared" si="24"/>
        <v>-1.24</v>
      </c>
      <c r="BX6" s="291"/>
      <c r="BY6" s="390">
        <f t="shared" si="25"/>
        <v>9.0000000000000011E-2</v>
      </c>
      <c r="BZ6" s="391"/>
      <c r="CA6" s="377"/>
      <c r="CB6" s="389">
        <v>-15</v>
      </c>
      <c r="CC6" s="290">
        <f t="shared" si="26"/>
        <v>-1.1000000000000001</v>
      </c>
      <c r="CD6" s="291">
        <f t="shared" ref="CD6:CD16" si="32">CD21</f>
        <v>-0.7</v>
      </c>
      <c r="CE6" s="390">
        <f t="shared" si="27"/>
        <v>0.40000000000000013</v>
      </c>
      <c r="CF6" s="391"/>
      <c r="CH6" s="389">
        <v>-15</v>
      </c>
      <c r="CI6" s="290">
        <f t="shared" si="28"/>
        <v>-0.1</v>
      </c>
      <c r="CJ6" s="291">
        <v>-0.24</v>
      </c>
      <c r="CK6" s="390">
        <f t="shared" si="29"/>
        <v>0.13999999999999999</v>
      </c>
      <c r="CL6" s="391"/>
      <c r="CN6" s="389">
        <v>-15</v>
      </c>
      <c r="CO6" s="290">
        <f t="shared" si="30"/>
        <v>-1.52</v>
      </c>
      <c r="CP6" s="291">
        <v>-0.39</v>
      </c>
      <c r="CQ6" s="390">
        <f t="shared" si="31"/>
        <v>1.1299999999999999</v>
      </c>
      <c r="CR6" s="391"/>
    </row>
    <row r="7" spans="2:96" ht="13">
      <c r="B7" s="389">
        <v>-10</v>
      </c>
      <c r="C7" s="291">
        <v>-0.32</v>
      </c>
      <c r="D7" s="291">
        <f t="shared" si="0"/>
        <v>-0.57999999999999996</v>
      </c>
      <c r="E7" s="390">
        <f t="shared" si="1"/>
        <v>0.25999999999999995</v>
      </c>
      <c r="F7" s="932">
        <f ca="1">IF($L$4&lt;=$B$9,$B$9,IF($L$4&lt;=$B$10,$B$10,IF($L$4&lt;=$B$11,$B$11,IF($L$4&lt;=$B$12,$B$12,IF($L$4&lt;=$B$13,$B$13,IF($L$4&lt;=$B$14,$B$14))))))</f>
        <v>44</v>
      </c>
      <c r="G7" s="392"/>
      <c r="H7" s="389">
        <v>-10</v>
      </c>
      <c r="I7" s="291">
        <v>9.9999999999999995E-7</v>
      </c>
      <c r="J7" s="291">
        <f t="shared" si="2"/>
        <v>-0.43</v>
      </c>
      <c r="K7" s="390">
        <f t="shared" si="3"/>
        <v>0.43000099999999997</v>
      </c>
      <c r="L7" s="932">
        <f ca="1">IF($L$4&lt;=$B$9,$B$9,IF($L$4&lt;=$B$10,$B$10,IF($L$4&lt;=$B$11,$B$11,IF($L$4&lt;=$B$12,$B$12,IF($L$4&lt;=$B$13,$B$13,IF($L$4&lt;=$B$14,$B$14))))))</f>
        <v>44</v>
      </c>
      <c r="M7" s="392"/>
      <c r="N7" s="389">
        <v>-10</v>
      </c>
      <c r="O7" s="938">
        <v>-0.34</v>
      </c>
      <c r="P7" s="939">
        <f t="shared" si="4"/>
        <v>-0.4</v>
      </c>
      <c r="Q7" s="940">
        <f t="shared" si="5"/>
        <v>0.06</v>
      </c>
      <c r="R7" s="932">
        <f ca="1">IF($L$4&lt;=$B$9,$B$9,IF($L$4&lt;=$B$10,$B$10,IF($L$4&lt;=$B$11,$B$11,IF($L$4&lt;=$B$12,$B$12,IF($L$4&lt;=$B$13,$B$13,IF($L$4&lt;=$B$14,$B$14))))))</f>
        <v>44</v>
      </c>
      <c r="S7" s="377"/>
      <c r="T7" s="389">
        <v>-10</v>
      </c>
      <c r="U7" s="290">
        <f t="shared" si="6"/>
        <v>-1.04</v>
      </c>
      <c r="V7" s="291"/>
      <c r="W7" s="390">
        <f t="shared" si="7"/>
        <v>8.3333333333333329E-2</v>
      </c>
      <c r="X7" s="932">
        <f ca="1">IF($L$4&lt;=$B$9,$B$9,IF($L$4&lt;=$B$10,$B$10,IF($L$4&lt;=$B$11,$B$11,IF($L$4&lt;=$B$12,$B$12,IF($L$4&lt;=$B$13,$B$13,IF($L$4&lt;=$B$14,$B$14))))))</f>
        <v>44</v>
      </c>
      <c r="Y7" s="377"/>
      <c r="Z7" s="389">
        <v>-10</v>
      </c>
      <c r="AA7" s="290">
        <f t="shared" si="8"/>
        <v>0.05</v>
      </c>
      <c r="AB7" s="291">
        <v>-0.25</v>
      </c>
      <c r="AC7" s="390">
        <f t="shared" si="9"/>
        <v>0.3</v>
      </c>
      <c r="AD7" s="932">
        <f ca="1">IF($L$4&lt;=$B$9,$B$9,IF($L$4&lt;=$B$10,$B$10,IF($L$4&lt;=$B$11,$B$11,IF($L$4&lt;=$B$12,$B$12,IF($L$4&lt;=$B$13,$B$13,IF($L$4&lt;=$B$14,$B$14))))))</f>
        <v>44</v>
      </c>
      <c r="AE7" s="377"/>
      <c r="AF7" s="389">
        <v>-10</v>
      </c>
      <c r="AG7" s="290">
        <f t="shared" si="10"/>
        <v>0.04</v>
      </c>
      <c r="AH7" s="291">
        <v>0.17</v>
      </c>
      <c r="AI7" s="390">
        <f t="shared" si="11"/>
        <v>0.13</v>
      </c>
      <c r="AJ7" s="932">
        <f ca="1">IF($L$4&lt;=$B$9,$B$9,IF($L$4&lt;=$B$10,$B$10,IF($L$4&lt;=$B$11,$B$11,IF($L$4&lt;=$B$12,$B$12,IF($L$4&lt;=$B$13,$B$13,IF($L$4&lt;=$B$14,$B$14))))))</f>
        <v>44</v>
      </c>
      <c r="AK7" s="377"/>
      <c r="AL7" s="389">
        <v>-10</v>
      </c>
      <c r="AM7" s="290">
        <f t="shared" si="12"/>
        <v>0.43</v>
      </c>
      <c r="AN7" s="291"/>
      <c r="AO7" s="390">
        <f t="shared" si="13"/>
        <v>8.3333333333333329E-2</v>
      </c>
      <c r="AP7" s="932">
        <f ca="1">IF($L$4&lt;=$B$9,$B$9,IF($L$4&lt;=$B$10,$B$10,IF($L$4&lt;=$B$11,$B$11,IF($L$4&lt;=$B$12,$B$12,IF($L$4&lt;=$B$13,$B$13,IF($L$4&lt;=$B$14,$B$14))))))</f>
        <v>44</v>
      </c>
      <c r="AQ7" s="377"/>
      <c r="AR7" s="389">
        <v>-10</v>
      </c>
      <c r="AS7" s="290">
        <f t="shared" si="14"/>
        <v>0.36</v>
      </c>
      <c r="AT7" s="291"/>
      <c r="AU7" s="390">
        <f t="shared" si="15"/>
        <v>0.08</v>
      </c>
      <c r="AV7" s="932">
        <f ca="1">IF($L$4&lt;=$B$9,$B$9,IF($L$4&lt;=$B$10,$B$10,IF($L$4&lt;=$B$11,$B$11,IF($L$4&lt;=$B$12,$B$12,IF($L$4&lt;=$B$13,$B$13,IF($L$4&lt;=$B$14,$B$14))))))</f>
        <v>44</v>
      </c>
      <c r="AW7" s="377"/>
      <c r="AX7" s="389">
        <v>-10</v>
      </c>
      <c r="AY7" s="290">
        <f t="shared" si="16"/>
        <v>0.5</v>
      </c>
      <c r="AZ7" s="291"/>
      <c r="BA7" s="390">
        <f t="shared" si="17"/>
        <v>0.26333333333333336</v>
      </c>
      <c r="BB7" s="932">
        <f ca="1">IF($L$4&lt;=$B$9,$B$9,IF($L$4&lt;=$B$10,$B$10,IF($L$4&lt;=$B$11,$B$11,IF($L$4&lt;=$B$12,$B$12,IF($L$4&lt;=$B$13,$B$13,IF($L$4&lt;=$B$14,$B$14))))))</f>
        <v>44</v>
      </c>
      <c r="BC7" s="377"/>
      <c r="BD7" s="389">
        <v>-10</v>
      </c>
      <c r="BE7" s="290">
        <f t="shared" si="18"/>
        <v>-0.56999999999999995</v>
      </c>
      <c r="BF7" s="291"/>
      <c r="BG7" s="390">
        <f t="shared" si="19"/>
        <v>9.0000000000000011E-2</v>
      </c>
      <c r="BH7" s="932">
        <f ca="1">IF($L$4&lt;=$B$9,$B$9,IF($L$4&lt;=$B$10,$B$10,IF($L$4&lt;=$B$11,$B$11,IF($L$4&lt;=$B$12,$B$12,IF($L$4&lt;=$B$13,$B$13,IF($L$4&lt;=$B$14,$B$14))))))</f>
        <v>44</v>
      </c>
      <c r="BI7" s="377"/>
      <c r="BJ7" s="389">
        <v>-10</v>
      </c>
      <c r="BK7" s="290">
        <f t="shared" si="20"/>
        <v>0.5</v>
      </c>
      <c r="BL7" s="291"/>
      <c r="BM7" s="390">
        <f t="shared" si="21"/>
        <v>0.26333333333333336</v>
      </c>
      <c r="BN7" s="932">
        <f ca="1">IF($L$4&lt;=$B$9,$B$9,IF($L$4&lt;=$B$10,$B$10,IF($L$4&lt;=$B$11,$B$11,IF($L$4&lt;=$B$12,$B$12,IF($L$4&lt;=$B$13,$B$13,IF($L$4&lt;=$B$14,$B$14))))))</f>
        <v>44</v>
      </c>
      <c r="BO7" s="377"/>
      <c r="BP7" s="389">
        <v>-10</v>
      </c>
      <c r="BQ7" s="290">
        <f t="shared" si="22"/>
        <v>-0.91</v>
      </c>
      <c r="BR7" s="291"/>
      <c r="BS7" s="390">
        <f t="shared" si="23"/>
        <v>8.666666666666667E-2</v>
      </c>
      <c r="BT7" s="932">
        <f ca="1">IF($L$4&lt;=$B$9,$B$9,IF($L$4&lt;=$B$10,$B$10,IF($L$4&lt;=$B$11,$B$11,IF($L$4&lt;=$B$12,$B$12,IF($L$4&lt;=$B$13,$B$13,IF($L$4&lt;=$B$14,$B$14))))))</f>
        <v>44</v>
      </c>
      <c r="BU7" s="377"/>
      <c r="BV7" s="389">
        <v>-10</v>
      </c>
      <c r="BW7" s="290">
        <f t="shared" si="24"/>
        <v>-1.01</v>
      </c>
      <c r="BX7" s="291"/>
      <c r="BY7" s="390">
        <f t="shared" si="25"/>
        <v>9.0000000000000011E-2</v>
      </c>
      <c r="BZ7" s="932">
        <f ca="1">IF($L$4&lt;=$B$9,$B$9,IF($L$4&lt;=$B$10,$B$10,IF($L$4&lt;=$B$11,$B$11,IF($L$4&lt;=$B$12,$B$12,IF($L$4&lt;=$B$13,$B$13,IF($L$4&lt;=$B$14,$B$14))))))</f>
        <v>44</v>
      </c>
      <c r="CA7" s="377"/>
      <c r="CB7" s="389">
        <v>-10</v>
      </c>
      <c r="CC7" s="290">
        <f t="shared" si="26"/>
        <v>-1.2</v>
      </c>
      <c r="CD7" s="291">
        <f t="shared" si="32"/>
        <v>-0.7</v>
      </c>
      <c r="CE7" s="390">
        <f t="shared" si="27"/>
        <v>0.5</v>
      </c>
      <c r="CF7" s="932">
        <f ca="1">IF($L$4&lt;=$B$9,$B$9,IF($L$4&lt;=$B$10,$B$10,IF($L$4&lt;=$B$11,$B$11,IF($L$4&lt;=$B$12,$B$12,IF($L$4&lt;=$B$13,$B$13,IF($L$4&lt;=$B$14,$B$14))))))</f>
        <v>44</v>
      </c>
      <c r="CH7" s="389">
        <v>-10</v>
      </c>
      <c r="CI7" s="290">
        <f t="shared" si="28"/>
        <v>-0.05</v>
      </c>
      <c r="CJ7" s="291">
        <v>-0.18</v>
      </c>
      <c r="CK7" s="390">
        <f t="shared" si="29"/>
        <v>0.13</v>
      </c>
      <c r="CL7" s="932">
        <f ca="1">IF($L$4&lt;=$B$9,$B$9,IF($L$4&lt;=$B$10,$B$10,IF($L$4&lt;=$B$11,$B$11,IF($L$4&lt;=$B$12,$B$12,IF($L$4&lt;=$B$13,$B$13,IF($L$4&lt;=$B$14,$B$14))))))</f>
        <v>44</v>
      </c>
      <c r="CN7" s="389">
        <v>-10</v>
      </c>
      <c r="CO7" s="290">
        <f t="shared" si="30"/>
        <v>-1.26</v>
      </c>
      <c r="CP7" s="291">
        <v>-0.28000000000000003</v>
      </c>
      <c r="CQ7" s="390">
        <f t="shared" si="31"/>
        <v>0.98</v>
      </c>
      <c r="CR7" s="932">
        <f ca="1">IF($L$4&lt;=$B$9,$B$9,IF($L$4&lt;=$B$10,$B$10,IF($L$4&lt;=$B$11,$B$11,IF($L$4&lt;=$B$12,$B$12,IF($L$4&lt;=$B$13,$B$13,IF($L$4&lt;=$B$14,$B$14))))))</f>
        <v>44</v>
      </c>
    </row>
    <row r="8" spans="2:96" ht="13">
      <c r="B8" s="389">
        <v>9.9999999999999995E-7</v>
      </c>
      <c r="C8" s="291">
        <v>-0.23</v>
      </c>
      <c r="D8" s="291">
        <f t="shared" si="0"/>
        <v>-0.39</v>
      </c>
      <c r="E8" s="390">
        <f t="shared" si="1"/>
        <v>0.16</v>
      </c>
      <c r="F8" s="391"/>
      <c r="G8" s="392"/>
      <c r="H8" s="389">
        <v>9.9999999999999995E-7</v>
      </c>
      <c r="I8" s="291">
        <v>-0.28000000000000003</v>
      </c>
      <c r="J8" s="291">
        <f t="shared" si="2"/>
        <v>-0.26</v>
      </c>
      <c r="K8" s="390">
        <f t="shared" si="3"/>
        <v>2.0000000000000018E-2</v>
      </c>
      <c r="L8" s="391"/>
      <c r="M8" s="392"/>
      <c r="N8" s="389">
        <v>9.9999999999999995E-7</v>
      </c>
      <c r="O8" s="938">
        <v>-0.35</v>
      </c>
      <c r="P8" s="939">
        <f t="shared" si="4"/>
        <v>-0.26</v>
      </c>
      <c r="Q8" s="940">
        <f t="shared" si="5"/>
        <v>8.9999999999999969E-2</v>
      </c>
      <c r="R8" s="391"/>
      <c r="S8" s="377"/>
      <c r="T8" s="389">
        <v>9.9999999999999995E-7</v>
      </c>
      <c r="U8" s="290">
        <f t="shared" si="6"/>
        <v>-0.38</v>
      </c>
      <c r="V8" s="291"/>
      <c r="W8" s="390">
        <f t="shared" si="7"/>
        <v>8.3333333333333329E-2</v>
      </c>
      <c r="X8" s="391"/>
      <c r="Y8" s="377"/>
      <c r="Z8" s="389">
        <v>9.9999999999999995E-7</v>
      </c>
      <c r="AA8" s="290">
        <f t="shared" si="8"/>
        <v>0.02</v>
      </c>
      <c r="AB8" s="291">
        <v>-0.01</v>
      </c>
      <c r="AC8" s="390">
        <f t="shared" si="9"/>
        <v>0.03</v>
      </c>
      <c r="AD8" s="391"/>
      <c r="AE8" s="377"/>
      <c r="AF8" s="389">
        <v>9.9999999999999995E-7</v>
      </c>
      <c r="AG8" s="290">
        <f t="shared" si="10"/>
        <v>0.02</v>
      </c>
      <c r="AH8" s="291">
        <v>0.35</v>
      </c>
      <c r="AI8" s="390">
        <f t="shared" si="11"/>
        <v>0.32999999999999996</v>
      </c>
      <c r="AJ8" s="391"/>
      <c r="AK8" s="377"/>
      <c r="AL8" s="389">
        <v>9.9999999999999995E-7</v>
      </c>
      <c r="AM8" s="290">
        <f t="shared" si="12"/>
        <v>0.38</v>
      </c>
      <c r="AN8" s="291"/>
      <c r="AO8" s="390">
        <f t="shared" si="13"/>
        <v>8.3333333333333329E-2</v>
      </c>
      <c r="AP8" s="391"/>
      <c r="AQ8" s="377"/>
      <c r="AR8" s="389">
        <v>9.9999999999999995E-7</v>
      </c>
      <c r="AS8" s="290">
        <f t="shared" si="14"/>
        <v>0.34</v>
      </c>
      <c r="AT8" s="291"/>
      <c r="AU8" s="390">
        <f t="shared" si="15"/>
        <v>0.08</v>
      </c>
      <c r="AV8" s="391"/>
      <c r="AW8" s="377"/>
      <c r="AX8" s="389">
        <v>9.9999999999999995E-7</v>
      </c>
      <c r="AY8" s="290">
        <f t="shared" si="16"/>
        <v>0.48</v>
      </c>
      <c r="AZ8" s="291"/>
      <c r="BA8" s="390">
        <f t="shared" si="17"/>
        <v>0.26333333333333336</v>
      </c>
      <c r="BB8" s="391"/>
      <c r="BC8" s="377"/>
      <c r="BD8" s="389">
        <v>9.9999999999999995E-7</v>
      </c>
      <c r="BE8" s="290">
        <f t="shared" si="18"/>
        <v>-0.31</v>
      </c>
      <c r="BF8" s="291"/>
      <c r="BG8" s="390">
        <f t="shared" si="19"/>
        <v>9.0000000000000011E-2</v>
      </c>
      <c r="BH8" s="391"/>
      <c r="BI8" s="377"/>
      <c r="BJ8" s="389">
        <v>9.9999999999999995E-7</v>
      </c>
      <c r="BK8" s="290">
        <f t="shared" si="20"/>
        <v>0.48</v>
      </c>
      <c r="BL8" s="291"/>
      <c r="BM8" s="390">
        <f t="shared" si="21"/>
        <v>0.26333333333333336</v>
      </c>
      <c r="BN8" s="391"/>
      <c r="BO8" s="377"/>
      <c r="BP8" s="389">
        <v>9.9999999999999995E-7</v>
      </c>
      <c r="BQ8" s="290">
        <f t="shared" si="22"/>
        <v>-0.63</v>
      </c>
      <c r="BR8" s="291"/>
      <c r="BS8" s="390">
        <f t="shared" si="23"/>
        <v>8.666666666666667E-2</v>
      </c>
      <c r="BT8" s="391"/>
      <c r="BU8" s="377"/>
      <c r="BV8" s="389">
        <v>9.9999999999999995E-7</v>
      </c>
      <c r="BW8" s="290">
        <f t="shared" si="24"/>
        <v>-0.6</v>
      </c>
      <c r="BX8" s="291"/>
      <c r="BY8" s="390">
        <f t="shared" si="25"/>
        <v>9.0000000000000011E-2</v>
      </c>
      <c r="BZ8" s="391"/>
      <c r="CA8" s="377"/>
      <c r="CB8" s="389">
        <v>9.9999999999999995E-7</v>
      </c>
      <c r="CC8" s="290">
        <f t="shared" si="26"/>
        <v>-1.4</v>
      </c>
      <c r="CD8" s="291">
        <f t="shared" si="32"/>
        <v>-0.7</v>
      </c>
      <c r="CE8" s="390">
        <f t="shared" si="27"/>
        <v>0.7</v>
      </c>
      <c r="CF8" s="391"/>
      <c r="CH8" s="389">
        <v>9.9999999999999995E-7</v>
      </c>
      <c r="CI8" s="290">
        <f t="shared" si="28"/>
        <v>0.03</v>
      </c>
      <c r="CJ8" s="291">
        <v>-0.06</v>
      </c>
      <c r="CK8" s="390">
        <f t="shared" si="29"/>
        <v>0.09</v>
      </c>
      <c r="CL8" s="391"/>
      <c r="CN8" s="389">
        <v>9.9999999999999995E-7</v>
      </c>
      <c r="CO8" s="290">
        <f t="shared" si="30"/>
        <v>-0.79</v>
      </c>
      <c r="CP8" s="291">
        <v>-0.08</v>
      </c>
      <c r="CQ8" s="390">
        <f t="shared" si="31"/>
        <v>0.71000000000000008</v>
      </c>
      <c r="CR8" s="391"/>
    </row>
    <row r="9" spans="2:96" ht="13">
      <c r="B9" s="389">
        <v>2</v>
      </c>
      <c r="C9" s="291">
        <v>-0.21</v>
      </c>
      <c r="D9" s="291">
        <f t="shared" si="0"/>
        <v>-0.35</v>
      </c>
      <c r="E9" s="390">
        <f t="shared" si="1"/>
        <v>0.13999999999999999</v>
      </c>
      <c r="F9" s="933">
        <f ca="1">VLOOKUP(F5,B9:E14,4)</f>
        <v>0.11333333333333334</v>
      </c>
      <c r="G9" s="392"/>
      <c r="H9" s="389">
        <v>2</v>
      </c>
      <c r="I9" s="291">
        <v>-0.25</v>
      </c>
      <c r="J9" s="291">
        <f t="shared" si="2"/>
        <v>-0.23</v>
      </c>
      <c r="K9" s="390">
        <f t="shared" si="3"/>
        <v>1.999999999999999E-2</v>
      </c>
      <c r="L9" s="933">
        <f ca="1">VLOOKUP(L5,H9:K14,4)</f>
        <v>0.16999999999999998</v>
      </c>
      <c r="M9" s="392"/>
      <c r="N9" s="389">
        <v>2</v>
      </c>
      <c r="O9" s="938">
        <v>-0.35</v>
      </c>
      <c r="P9" s="939">
        <f t="shared" si="4"/>
        <v>-0.24</v>
      </c>
      <c r="Q9" s="940">
        <f t="shared" si="5"/>
        <v>0.10999999999999999</v>
      </c>
      <c r="R9" s="933">
        <f ca="1">VLOOKUP(R5,N9:Q14,4)</f>
        <v>9.3333333333333338E-2</v>
      </c>
      <c r="S9" s="377"/>
      <c r="T9" s="389">
        <v>2</v>
      </c>
      <c r="U9" s="290">
        <f t="shared" si="6"/>
        <v>-0.59</v>
      </c>
      <c r="V9" s="291"/>
      <c r="W9" s="390">
        <f t="shared" si="7"/>
        <v>8.3333333333333329E-2</v>
      </c>
      <c r="X9" s="933">
        <f ca="1">VLOOKUP(X5,T9:W14,4)</f>
        <v>8.3333333333333329E-2</v>
      </c>
      <c r="Y9" s="377"/>
      <c r="Z9" s="389">
        <v>2</v>
      </c>
      <c r="AA9" s="290">
        <f t="shared" si="8"/>
        <v>0.05</v>
      </c>
      <c r="AB9" s="291">
        <v>0.03</v>
      </c>
      <c r="AC9" s="390">
        <f t="shared" si="9"/>
        <v>2.0000000000000004E-2</v>
      </c>
      <c r="AD9" s="933">
        <f ca="1">VLOOKUP(AD5,Z9:AC14,4)</f>
        <v>0.51</v>
      </c>
      <c r="AE9" s="377"/>
      <c r="AF9" s="389">
        <v>2</v>
      </c>
      <c r="AG9" s="290">
        <f t="shared" si="10"/>
        <v>0.05</v>
      </c>
      <c r="AH9" s="291">
        <v>0.38</v>
      </c>
      <c r="AI9" s="390">
        <f t="shared" si="11"/>
        <v>0.33</v>
      </c>
      <c r="AJ9" s="933">
        <f ca="1">VLOOKUP(AJ5,AF9:AI14,4)</f>
        <v>0.66999999999999993</v>
      </c>
      <c r="AK9" s="377"/>
      <c r="AL9" s="389">
        <v>2</v>
      </c>
      <c r="AM9" s="290">
        <f t="shared" si="12"/>
        <v>0.41</v>
      </c>
      <c r="AN9" s="291"/>
      <c r="AO9" s="390">
        <f t="shared" si="13"/>
        <v>8.3333333333333329E-2</v>
      </c>
      <c r="AP9" s="933">
        <f ca="1">VLOOKUP(AP5,AL9:AO14,4)</f>
        <v>8.3333333333333329E-2</v>
      </c>
      <c r="AQ9" s="377"/>
      <c r="AR9" s="389">
        <v>2</v>
      </c>
      <c r="AS9" s="290">
        <f t="shared" si="14"/>
        <v>0.37</v>
      </c>
      <c r="AT9" s="291"/>
      <c r="AU9" s="390">
        <f t="shared" si="15"/>
        <v>0.08</v>
      </c>
      <c r="AV9" s="933">
        <f ca="1">VLOOKUP(AV5,AR9:AU14,4)</f>
        <v>0.08</v>
      </c>
      <c r="AW9" s="377"/>
      <c r="AX9" s="389">
        <v>2</v>
      </c>
      <c r="AY9" s="290">
        <f t="shared" si="16"/>
        <v>0.48</v>
      </c>
      <c r="AZ9" s="291"/>
      <c r="BA9" s="390">
        <f t="shared" si="17"/>
        <v>0.26333333333333336</v>
      </c>
      <c r="BB9" s="933">
        <f ca="1">VLOOKUP(BB5,AX9:BA14,4)</f>
        <v>0.26333333333333336</v>
      </c>
      <c r="BC9" s="377"/>
      <c r="BD9" s="389">
        <v>2</v>
      </c>
      <c r="BE9" s="290">
        <f t="shared" si="18"/>
        <v>-0.43</v>
      </c>
      <c r="BF9" s="291"/>
      <c r="BG9" s="390">
        <f t="shared" si="19"/>
        <v>9.0000000000000011E-2</v>
      </c>
      <c r="BH9" s="933">
        <f ca="1">VLOOKUP(BH5,BD9:BG14,4)</f>
        <v>9.0000000000000011E-2</v>
      </c>
      <c r="BI9" s="377"/>
      <c r="BJ9" s="389">
        <v>2</v>
      </c>
      <c r="BK9" s="290">
        <f t="shared" si="20"/>
        <v>0.48</v>
      </c>
      <c r="BL9" s="291"/>
      <c r="BM9" s="390">
        <f t="shared" si="21"/>
        <v>0.26333333333333336</v>
      </c>
      <c r="BN9" s="933">
        <f ca="1">VLOOKUP(BN5,BJ9:BM14,4)</f>
        <v>0.26333333333333336</v>
      </c>
      <c r="BO9" s="377"/>
      <c r="BP9" s="389">
        <v>2</v>
      </c>
      <c r="BQ9" s="290">
        <f t="shared" si="22"/>
        <v>-0.67</v>
      </c>
      <c r="BR9" s="291"/>
      <c r="BS9" s="390">
        <f t="shared" si="23"/>
        <v>8.666666666666667E-2</v>
      </c>
      <c r="BT9" s="933">
        <f ca="1">VLOOKUP(BT5,BP9:BS14,4)</f>
        <v>8.666666666666667E-2</v>
      </c>
      <c r="BU9" s="377"/>
      <c r="BV9" s="389">
        <v>2</v>
      </c>
      <c r="BW9" s="290">
        <f t="shared" si="24"/>
        <v>-0.65</v>
      </c>
      <c r="BX9" s="291"/>
      <c r="BY9" s="390">
        <f t="shared" si="25"/>
        <v>9.0000000000000011E-2</v>
      </c>
      <c r="BZ9" s="933">
        <f ca="1">VLOOKUP(BZ5,BV9:BY14,4)</f>
        <v>9.0000000000000011E-2</v>
      </c>
      <c r="CA9" s="377"/>
      <c r="CB9" s="389">
        <v>2</v>
      </c>
      <c r="CC9" s="290">
        <f t="shared" si="26"/>
        <v>0</v>
      </c>
      <c r="CD9" s="291">
        <f t="shared" si="32"/>
        <v>-0.7</v>
      </c>
      <c r="CE9" s="390">
        <f t="shared" si="27"/>
        <v>0.19999999999999998</v>
      </c>
      <c r="CF9" s="933">
        <f ca="1">VLOOKUP(CF5,CB9:CE14,4)</f>
        <v>0.19999999999999998</v>
      </c>
      <c r="CH9" s="389">
        <v>2</v>
      </c>
      <c r="CI9" s="290">
        <f t="shared" si="28"/>
        <v>0.04</v>
      </c>
      <c r="CJ9" s="291">
        <v>-0.04</v>
      </c>
      <c r="CK9" s="390">
        <f t="shared" si="29"/>
        <v>0.08</v>
      </c>
      <c r="CL9" s="933">
        <f ca="1">VLOOKUP(CL5,CH9:CK14,4)</f>
        <v>4.0000000000000008E-2</v>
      </c>
      <c r="CN9" s="389">
        <v>2</v>
      </c>
      <c r="CO9" s="290">
        <f t="shared" si="30"/>
        <v>-0.7</v>
      </c>
      <c r="CP9" s="291">
        <v>-0.05</v>
      </c>
      <c r="CQ9" s="390">
        <f t="shared" si="31"/>
        <v>0.64999999999999991</v>
      </c>
      <c r="CR9" s="933">
        <f ca="1">VLOOKUP(CR5,CN9:CQ14,4)</f>
        <v>3.0000000000000027E-2</v>
      </c>
    </row>
    <row r="10" spans="2:96" ht="13">
      <c r="B10" s="389">
        <v>8</v>
      </c>
      <c r="C10" s="291">
        <v>-0.16</v>
      </c>
      <c r="D10" s="291">
        <f t="shared" si="0"/>
        <v>-0.25</v>
      </c>
      <c r="E10" s="390">
        <f t="shared" si="1"/>
        <v>0.09</v>
      </c>
      <c r="F10" s="391"/>
      <c r="G10" s="392"/>
      <c r="H10" s="389">
        <v>8</v>
      </c>
      <c r="I10" s="291">
        <v>-0.17</v>
      </c>
      <c r="J10" s="291">
        <f t="shared" si="2"/>
        <v>-0.13</v>
      </c>
      <c r="K10" s="390">
        <f t="shared" si="3"/>
        <v>4.0000000000000008E-2</v>
      </c>
      <c r="L10" s="391"/>
      <c r="M10" s="392"/>
      <c r="N10" s="389">
        <v>8</v>
      </c>
      <c r="O10" s="938">
        <v>-0.15</v>
      </c>
      <c r="P10" s="939">
        <f t="shared" si="4"/>
        <v>-0.17</v>
      </c>
      <c r="Q10" s="940">
        <f t="shared" si="5"/>
        <v>2.0000000000000018E-2</v>
      </c>
      <c r="R10" s="391"/>
      <c r="S10" s="377"/>
      <c r="T10" s="389">
        <v>8</v>
      </c>
      <c r="U10" s="290">
        <f t="shared" si="6"/>
        <v>-0.33</v>
      </c>
      <c r="V10" s="291"/>
      <c r="W10" s="390">
        <f t="shared" si="7"/>
        <v>8.3333333333333329E-2</v>
      </c>
      <c r="X10" s="391"/>
      <c r="Y10" s="377"/>
      <c r="Z10" s="389">
        <v>8</v>
      </c>
      <c r="AA10" s="290">
        <f t="shared" si="8"/>
        <v>0.05</v>
      </c>
      <c r="AB10" s="291">
        <v>0.15</v>
      </c>
      <c r="AC10" s="390">
        <f t="shared" si="9"/>
        <v>9.9999999999999992E-2</v>
      </c>
      <c r="AD10" s="391"/>
      <c r="AE10" s="377"/>
      <c r="AF10" s="389">
        <v>8</v>
      </c>
      <c r="AG10" s="290">
        <f t="shared" si="10"/>
        <v>0.04</v>
      </c>
      <c r="AH10" s="291">
        <v>0.47</v>
      </c>
      <c r="AI10" s="390">
        <f t="shared" si="11"/>
        <v>0.43</v>
      </c>
      <c r="AJ10" s="391"/>
      <c r="AK10" s="377"/>
      <c r="AL10" s="389">
        <v>8</v>
      </c>
      <c r="AM10" s="290">
        <f t="shared" si="12"/>
        <v>0.41</v>
      </c>
      <c r="AN10" s="291"/>
      <c r="AO10" s="390">
        <f t="shared" si="13"/>
        <v>8.3333333333333329E-2</v>
      </c>
      <c r="AP10" s="391"/>
      <c r="AQ10" s="377"/>
      <c r="AR10" s="389">
        <v>8</v>
      </c>
      <c r="AS10" s="290">
        <f t="shared" si="14"/>
        <v>0.36</v>
      </c>
      <c r="AT10" s="291"/>
      <c r="AU10" s="390">
        <f t="shared" si="15"/>
        <v>0.08</v>
      </c>
      <c r="AV10" s="391"/>
      <c r="AW10" s="377"/>
      <c r="AX10" s="389">
        <v>8</v>
      </c>
      <c r="AY10" s="290">
        <f t="shared" si="16"/>
        <v>0.46</v>
      </c>
      <c r="AZ10" s="291"/>
      <c r="BA10" s="390">
        <f t="shared" si="17"/>
        <v>0.26333333333333336</v>
      </c>
      <c r="BB10" s="391"/>
      <c r="BC10" s="377"/>
      <c r="BD10" s="389">
        <v>8</v>
      </c>
      <c r="BE10" s="290">
        <f t="shared" si="18"/>
        <v>-0.16</v>
      </c>
      <c r="BF10" s="291"/>
      <c r="BG10" s="390">
        <f t="shared" si="19"/>
        <v>9.0000000000000011E-2</v>
      </c>
      <c r="BH10" s="391"/>
      <c r="BI10" s="377"/>
      <c r="BJ10" s="389">
        <v>8</v>
      </c>
      <c r="BK10" s="290">
        <f t="shared" si="20"/>
        <v>0.46</v>
      </c>
      <c r="BL10" s="291"/>
      <c r="BM10" s="390">
        <f t="shared" si="21"/>
        <v>0.26333333333333336</v>
      </c>
      <c r="BN10" s="391"/>
      <c r="BO10" s="377"/>
      <c r="BP10" s="389">
        <v>8</v>
      </c>
      <c r="BQ10" s="290">
        <f t="shared" si="22"/>
        <v>-0.4</v>
      </c>
      <c r="BR10" s="291"/>
      <c r="BS10" s="390">
        <f t="shared" si="23"/>
        <v>8.666666666666667E-2</v>
      </c>
      <c r="BT10" s="391"/>
      <c r="BU10" s="377"/>
      <c r="BV10" s="389">
        <v>8</v>
      </c>
      <c r="BW10" s="290">
        <f t="shared" si="24"/>
        <v>-0.38</v>
      </c>
      <c r="BX10" s="291"/>
      <c r="BY10" s="390">
        <f t="shared" si="25"/>
        <v>9.0000000000000011E-2</v>
      </c>
      <c r="BZ10" s="391"/>
      <c r="CA10" s="377"/>
      <c r="CB10" s="389">
        <v>8</v>
      </c>
      <c r="CC10" s="290">
        <f t="shared" si="26"/>
        <v>0</v>
      </c>
      <c r="CD10" s="291">
        <f t="shared" si="32"/>
        <v>-0.7</v>
      </c>
      <c r="CE10" s="390">
        <f t="shared" si="27"/>
        <v>0.19999999999999998</v>
      </c>
      <c r="CF10" s="391"/>
      <c r="CH10" s="389">
        <v>8</v>
      </c>
      <c r="CI10" s="290">
        <f t="shared" si="28"/>
        <v>0.08</v>
      </c>
      <c r="CJ10" s="291">
        <v>0.01</v>
      </c>
      <c r="CK10" s="390">
        <f t="shared" si="29"/>
        <v>7.0000000000000007E-2</v>
      </c>
      <c r="CL10" s="391"/>
      <c r="CN10" s="389">
        <v>8</v>
      </c>
      <c r="CO10" s="290">
        <f t="shared" si="30"/>
        <v>-0.46</v>
      </c>
      <c r="CP10" s="291">
        <v>0.06</v>
      </c>
      <c r="CQ10" s="390">
        <f t="shared" si="31"/>
        <v>0.52</v>
      </c>
      <c r="CR10" s="391"/>
    </row>
    <row r="11" spans="2:96" ht="13">
      <c r="B11" s="389">
        <v>37</v>
      </c>
      <c r="C11" s="291">
        <v>0</v>
      </c>
      <c r="D11" s="291">
        <f t="shared" si="0"/>
        <v>0.2</v>
      </c>
      <c r="E11" s="390">
        <f t="shared" si="1"/>
        <v>0.11333333333333334</v>
      </c>
      <c r="F11" s="933">
        <f ca="1">VLOOKUP(F7,B9:E14,4)</f>
        <v>0.26999999999999996</v>
      </c>
      <c r="G11" s="392"/>
      <c r="H11" s="389">
        <v>37</v>
      </c>
      <c r="I11" s="291">
        <v>0.04</v>
      </c>
      <c r="J11" s="291">
        <f t="shared" si="2"/>
        <v>0.21</v>
      </c>
      <c r="K11" s="390">
        <f t="shared" si="3"/>
        <v>0.16999999999999998</v>
      </c>
      <c r="L11" s="933">
        <f ca="1">VLOOKUP(L7,H9:K14,4)</f>
        <v>0.22000000000000003</v>
      </c>
      <c r="M11" s="392"/>
      <c r="N11" s="389">
        <v>37</v>
      </c>
      <c r="O11" s="938">
        <v>-0.15</v>
      </c>
      <c r="P11" s="939">
        <f t="shared" si="4"/>
        <v>0</v>
      </c>
      <c r="Q11" s="940">
        <f t="shared" si="5"/>
        <v>9.3333333333333338E-2</v>
      </c>
      <c r="R11" s="933">
        <f ca="1">VLOOKUP(R7,N9:Q14,4)</f>
        <v>0.19999999999999998</v>
      </c>
      <c r="S11" s="377"/>
      <c r="T11" s="389">
        <v>37</v>
      </c>
      <c r="U11" s="290">
        <f t="shared" si="6"/>
        <v>0.5</v>
      </c>
      <c r="V11" s="291"/>
      <c r="W11" s="390">
        <f t="shared" si="7"/>
        <v>8.3333333333333329E-2</v>
      </c>
      <c r="X11" s="933">
        <f ca="1">VLOOKUP(X7,T9:W14,4)</f>
        <v>8.3333333333333329E-2</v>
      </c>
      <c r="Y11" s="377"/>
      <c r="Z11" s="389">
        <v>37</v>
      </c>
      <c r="AA11" s="290">
        <f t="shared" si="8"/>
        <v>0.05</v>
      </c>
      <c r="AB11" s="291">
        <v>0.56000000000000005</v>
      </c>
      <c r="AC11" s="390">
        <f t="shared" si="9"/>
        <v>0.51</v>
      </c>
      <c r="AD11" s="933">
        <f ca="1">VLOOKUP(AD7,Z9:AC14,4)</f>
        <v>0.56000000000000005</v>
      </c>
      <c r="AE11" s="377"/>
      <c r="AF11" s="389">
        <v>37</v>
      </c>
      <c r="AG11" s="290">
        <f t="shared" si="10"/>
        <v>0.05</v>
      </c>
      <c r="AH11" s="291">
        <v>0.72</v>
      </c>
      <c r="AI11" s="390">
        <f t="shared" si="11"/>
        <v>0.66999999999999993</v>
      </c>
      <c r="AJ11" s="933">
        <f ca="1">VLOOKUP(AJ7,AF9:AI14,4)</f>
        <v>0.69</v>
      </c>
      <c r="AK11" s="377"/>
      <c r="AL11" s="389">
        <v>37</v>
      </c>
      <c r="AM11" s="290">
        <f t="shared" si="12"/>
        <v>0.41</v>
      </c>
      <c r="AN11" s="291"/>
      <c r="AO11" s="390">
        <f t="shared" si="13"/>
        <v>8.3333333333333329E-2</v>
      </c>
      <c r="AP11" s="933">
        <f ca="1">VLOOKUP(AP7,AL9:AO14,4)</f>
        <v>8.3333333333333329E-2</v>
      </c>
      <c r="AQ11" s="377"/>
      <c r="AR11" s="389">
        <v>37</v>
      </c>
      <c r="AS11" s="290">
        <f t="shared" si="14"/>
        <v>0.33</v>
      </c>
      <c r="AT11" s="291"/>
      <c r="AU11" s="390">
        <f t="shared" si="15"/>
        <v>0.08</v>
      </c>
      <c r="AV11" s="933">
        <f ca="1">VLOOKUP(AV7,AR9:AU14,4)</f>
        <v>0.08</v>
      </c>
      <c r="AW11" s="377"/>
      <c r="AX11" s="389">
        <v>37</v>
      </c>
      <c r="AY11" s="290">
        <f t="shared" si="16"/>
        <v>0.38</v>
      </c>
      <c r="AZ11" s="291"/>
      <c r="BA11" s="390">
        <f t="shared" si="17"/>
        <v>0.26333333333333336</v>
      </c>
      <c r="BB11" s="933">
        <f ca="1">VLOOKUP(BB7,AX9:BA14,4)</f>
        <v>0.26333333333333336</v>
      </c>
      <c r="BC11" s="377"/>
      <c r="BD11" s="389">
        <v>37</v>
      </c>
      <c r="BE11" s="290">
        <f t="shared" si="18"/>
        <v>0.65</v>
      </c>
      <c r="BF11" s="291"/>
      <c r="BG11" s="390">
        <f t="shared" si="19"/>
        <v>9.0000000000000011E-2</v>
      </c>
      <c r="BH11" s="933">
        <f ca="1">VLOOKUP(BH7,BD9:BG14,4)</f>
        <v>9.0000000000000011E-2</v>
      </c>
      <c r="BI11" s="377"/>
      <c r="BJ11" s="389">
        <v>37</v>
      </c>
      <c r="BK11" s="290">
        <f t="shared" si="20"/>
        <v>0.38</v>
      </c>
      <c r="BL11" s="291"/>
      <c r="BM11" s="390">
        <f t="shared" si="21"/>
        <v>0.26333333333333336</v>
      </c>
      <c r="BN11" s="933">
        <f ca="1">VLOOKUP(BN7,BJ9:BM14,4)</f>
        <v>0.26333333333333336</v>
      </c>
      <c r="BO11" s="377"/>
      <c r="BP11" s="389">
        <v>37</v>
      </c>
      <c r="BQ11" s="290">
        <f t="shared" si="22"/>
        <v>0.45</v>
      </c>
      <c r="BR11" s="291"/>
      <c r="BS11" s="390">
        <f t="shared" si="23"/>
        <v>8.666666666666667E-2</v>
      </c>
      <c r="BT11" s="933">
        <f ca="1">VLOOKUP(BT7,BP9:BS14,4)</f>
        <v>8.666666666666667E-2</v>
      </c>
      <c r="BU11" s="377"/>
      <c r="BV11" s="389">
        <v>37</v>
      </c>
      <c r="BW11" s="290">
        <f t="shared" si="24"/>
        <v>0.52</v>
      </c>
      <c r="BX11" s="291"/>
      <c r="BY11" s="390">
        <f t="shared" si="25"/>
        <v>9.0000000000000011E-2</v>
      </c>
      <c r="BZ11" s="933">
        <f ca="1">VLOOKUP(BZ7,BV9:BY14,4)</f>
        <v>9.0000000000000011E-2</v>
      </c>
      <c r="CA11" s="377"/>
      <c r="CB11" s="389">
        <v>37</v>
      </c>
      <c r="CC11" s="290">
        <f t="shared" si="26"/>
        <v>0</v>
      </c>
      <c r="CD11" s="291">
        <f t="shared" si="32"/>
        <v>-0.6</v>
      </c>
      <c r="CE11" s="390">
        <f t="shared" si="27"/>
        <v>0.19999999999999998</v>
      </c>
      <c r="CF11" s="933">
        <f ca="1">VLOOKUP(CF7,CB9:CE14,4)</f>
        <v>0.19999999999999998</v>
      </c>
      <c r="CH11" s="389">
        <v>37</v>
      </c>
      <c r="CI11" s="290">
        <f t="shared" si="28"/>
        <v>0.23</v>
      </c>
      <c r="CJ11" s="291">
        <v>0.19</v>
      </c>
      <c r="CK11" s="390">
        <f t="shared" si="29"/>
        <v>4.0000000000000008E-2</v>
      </c>
      <c r="CL11" s="933">
        <f ca="1">VLOOKUP(CL7,CH9:CK14,4)</f>
        <v>4.0000000000000008E-2</v>
      </c>
      <c r="CN11" s="389">
        <v>37</v>
      </c>
      <c r="CO11" s="290">
        <f t="shared" si="30"/>
        <v>0.42</v>
      </c>
      <c r="CP11" s="291">
        <v>0.45</v>
      </c>
      <c r="CQ11" s="390">
        <f t="shared" si="31"/>
        <v>3.0000000000000027E-2</v>
      </c>
      <c r="CR11" s="933">
        <f ca="1">VLOOKUP(CR7,CN9:CQ14,4)</f>
        <v>4.9999999999999933E-2</v>
      </c>
    </row>
    <row r="12" spans="2:96" ht="13">
      <c r="B12" s="389">
        <v>44</v>
      </c>
      <c r="C12" s="291">
        <v>0.02</v>
      </c>
      <c r="D12" s="291">
        <f t="shared" si="0"/>
        <v>0.28999999999999998</v>
      </c>
      <c r="E12" s="390">
        <f t="shared" si="1"/>
        <v>0.26999999999999996</v>
      </c>
      <c r="F12" s="934"/>
      <c r="G12" s="392"/>
      <c r="H12" s="389">
        <v>44</v>
      </c>
      <c r="I12" s="291">
        <v>0.06</v>
      </c>
      <c r="J12" s="291">
        <f t="shared" si="2"/>
        <v>0.28000000000000003</v>
      </c>
      <c r="K12" s="390">
        <f t="shared" si="3"/>
        <v>0.22000000000000003</v>
      </c>
      <c r="L12" s="934"/>
      <c r="M12" s="392"/>
      <c r="N12" s="389">
        <v>44</v>
      </c>
      <c r="O12" s="938">
        <v>-0.18</v>
      </c>
      <c r="P12" s="939">
        <f t="shared" si="4"/>
        <v>0.02</v>
      </c>
      <c r="Q12" s="940">
        <f t="shared" si="5"/>
        <v>0.19999999999999998</v>
      </c>
      <c r="R12" s="934"/>
      <c r="S12" s="377"/>
      <c r="T12" s="389">
        <v>44</v>
      </c>
      <c r="U12" s="290">
        <f t="shared" si="6"/>
        <v>0.62</v>
      </c>
      <c r="V12" s="291"/>
      <c r="W12" s="390">
        <f t="shared" si="7"/>
        <v>8.3333333333333329E-2</v>
      </c>
      <c r="X12" s="934"/>
      <c r="Y12" s="377"/>
      <c r="Z12" s="389">
        <v>44</v>
      </c>
      <c r="AA12" s="290">
        <f t="shared" si="8"/>
        <v>0.06</v>
      </c>
      <c r="AB12" s="291">
        <v>0.62</v>
      </c>
      <c r="AC12" s="390">
        <f t="shared" si="9"/>
        <v>0.56000000000000005</v>
      </c>
      <c r="AD12" s="934"/>
      <c r="AE12" s="377"/>
      <c r="AF12" s="389">
        <v>44</v>
      </c>
      <c r="AG12" s="290">
        <f t="shared" si="10"/>
        <v>0.06</v>
      </c>
      <c r="AH12" s="291">
        <v>0.75</v>
      </c>
      <c r="AI12" s="390">
        <f t="shared" si="11"/>
        <v>0.69</v>
      </c>
      <c r="AJ12" s="934"/>
      <c r="AK12" s="377"/>
      <c r="AL12" s="389">
        <v>44</v>
      </c>
      <c r="AM12" s="290">
        <f t="shared" si="12"/>
        <v>0.41</v>
      </c>
      <c r="AN12" s="291"/>
      <c r="AO12" s="390">
        <f t="shared" si="13"/>
        <v>8.3333333333333329E-2</v>
      </c>
      <c r="AP12" s="934"/>
      <c r="AQ12" s="377"/>
      <c r="AR12" s="389">
        <v>44</v>
      </c>
      <c r="AS12" s="290">
        <f t="shared" si="14"/>
        <v>0.33</v>
      </c>
      <c r="AT12" s="291"/>
      <c r="AU12" s="390">
        <f t="shared" si="15"/>
        <v>0.08</v>
      </c>
      <c r="AV12" s="934"/>
      <c r="AW12" s="377"/>
      <c r="AX12" s="389">
        <v>44</v>
      </c>
      <c r="AY12" s="290">
        <f t="shared" si="16"/>
        <v>0.36</v>
      </c>
      <c r="AZ12" s="291"/>
      <c r="BA12" s="390">
        <f t="shared" si="17"/>
        <v>0.26333333333333336</v>
      </c>
      <c r="BB12" s="934"/>
      <c r="BC12" s="377"/>
      <c r="BD12" s="389">
        <v>44</v>
      </c>
      <c r="BE12" s="290">
        <f t="shared" si="18"/>
        <v>0.75</v>
      </c>
      <c r="BF12" s="291"/>
      <c r="BG12" s="390">
        <f t="shared" si="19"/>
        <v>9.0000000000000011E-2</v>
      </c>
      <c r="BH12" s="934"/>
      <c r="BI12" s="377"/>
      <c r="BJ12" s="389">
        <v>44</v>
      </c>
      <c r="BK12" s="290">
        <f t="shared" si="20"/>
        <v>0.36</v>
      </c>
      <c r="BL12" s="291"/>
      <c r="BM12" s="390">
        <f t="shared" si="21"/>
        <v>0.26333333333333336</v>
      </c>
      <c r="BN12" s="934"/>
      <c r="BO12" s="377"/>
      <c r="BP12" s="389">
        <v>44</v>
      </c>
      <c r="BQ12" s="290">
        <f t="shared" si="22"/>
        <v>0.56000000000000005</v>
      </c>
      <c r="BR12" s="291"/>
      <c r="BS12" s="390">
        <f t="shared" si="23"/>
        <v>8.666666666666667E-2</v>
      </c>
      <c r="BT12" s="934"/>
      <c r="BU12" s="377"/>
      <c r="BV12" s="389">
        <v>44</v>
      </c>
      <c r="BW12" s="290">
        <f t="shared" si="24"/>
        <v>0.65</v>
      </c>
      <c r="BX12" s="291"/>
      <c r="BY12" s="390">
        <f t="shared" si="25"/>
        <v>9.0000000000000011E-2</v>
      </c>
      <c r="BZ12" s="934"/>
      <c r="CA12" s="377"/>
      <c r="CB12" s="389">
        <v>44</v>
      </c>
      <c r="CC12" s="290">
        <f t="shared" si="26"/>
        <v>0</v>
      </c>
      <c r="CD12" s="291">
        <f t="shared" si="32"/>
        <v>-0.7</v>
      </c>
      <c r="CE12" s="390">
        <f t="shared" si="27"/>
        <v>0.19999999999999998</v>
      </c>
      <c r="CF12" s="934"/>
      <c r="CH12" s="389">
        <v>44</v>
      </c>
      <c r="CI12" s="290">
        <f t="shared" si="28"/>
        <v>0.25</v>
      </c>
      <c r="CJ12" s="291">
        <v>0.21</v>
      </c>
      <c r="CK12" s="390">
        <f t="shared" si="29"/>
        <v>4.0000000000000008E-2</v>
      </c>
      <c r="CL12" s="934"/>
      <c r="CN12" s="389">
        <v>44</v>
      </c>
      <c r="CO12" s="290">
        <f t="shared" si="30"/>
        <v>0.56999999999999995</v>
      </c>
      <c r="CP12" s="291">
        <v>0.52</v>
      </c>
      <c r="CQ12" s="390">
        <f t="shared" si="31"/>
        <v>4.9999999999999933E-2</v>
      </c>
      <c r="CR12" s="934"/>
    </row>
    <row r="13" spans="2:96" ht="13">
      <c r="B13" s="389">
        <v>50</v>
      </c>
      <c r="C13" s="291">
        <v>0.04</v>
      </c>
      <c r="D13" s="291">
        <f t="shared" si="0"/>
        <v>0.37</v>
      </c>
      <c r="E13" s="390">
        <f t="shared" si="1"/>
        <v>0.33</v>
      </c>
      <c r="F13" s="935">
        <f ca="1">(((F11-F9)/(F7-F5))*(F4-F5))+F9</f>
        <v>0.11758571428571424</v>
      </c>
      <c r="G13" s="392"/>
      <c r="H13" s="389">
        <v>50</v>
      </c>
      <c r="I13" s="291">
        <v>0.06</v>
      </c>
      <c r="J13" s="291">
        <f t="shared" si="2"/>
        <v>0.33</v>
      </c>
      <c r="K13" s="390">
        <f t="shared" si="3"/>
        <v>0.27</v>
      </c>
      <c r="L13" s="935">
        <f ca="1">(((L11-L9)/(L7-L5))*(L4-L5))+L9</f>
        <v>0.17135714285714282</v>
      </c>
      <c r="M13" s="392"/>
      <c r="N13" s="389">
        <v>50</v>
      </c>
      <c r="O13" s="938">
        <v>0.36</v>
      </c>
      <c r="P13" s="939">
        <f t="shared" si="4"/>
        <v>0.02</v>
      </c>
      <c r="Q13" s="940">
        <f t="shared" si="5"/>
        <v>0.33999999999999997</v>
      </c>
      <c r="R13" s="935">
        <f ca="1">(((R11-R9)/(R7-R5))*(R4-R5))+R9</f>
        <v>9.6228571428571399E-2</v>
      </c>
      <c r="S13" s="377"/>
      <c r="T13" s="389">
        <v>50</v>
      </c>
      <c r="U13" s="290">
        <f t="shared" si="6"/>
        <v>0.65</v>
      </c>
      <c r="V13" s="291"/>
      <c r="W13" s="390">
        <f t="shared" si="7"/>
        <v>8.3333333333333329E-2</v>
      </c>
      <c r="X13" s="935">
        <f ca="1">(((X11-X9)/(X7-X5))*(X4-X5))+X9</f>
        <v>8.3333333333333329E-2</v>
      </c>
      <c r="Y13" s="377"/>
      <c r="Z13" s="389">
        <v>50</v>
      </c>
      <c r="AA13" s="290">
        <f t="shared" si="8"/>
        <v>7.0000000000000007E-2</v>
      </c>
      <c r="AB13" s="291">
        <v>0.66</v>
      </c>
      <c r="AC13" s="390">
        <f t="shared" si="9"/>
        <v>0.59000000000000008</v>
      </c>
      <c r="AD13" s="935">
        <f ca="1">(((AD11-AD9)/(AD7-AD5))*(AD4-AD5))+AD9</f>
        <v>0.51135714285714284</v>
      </c>
      <c r="AE13" s="377"/>
      <c r="AF13" s="389">
        <v>50</v>
      </c>
      <c r="AG13" s="290">
        <f t="shared" si="10"/>
        <v>7.0000000000000007E-2</v>
      </c>
      <c r="AH13" s="291">
        <v>0.76</v>
      </c>
      <c r="AI13" s="390">
        <f t="shared" si="11"/>
        <v>0.69</v>
      </c>
      <c r="AJ13" s="935">
        <f ca="1">(((AJ11-AJ9)/(AJ7-AJ5))*(AJ4-AJ5))+AJ9</f>
        <v>0.67054285714285711</v>
      </c>
      <c r="AK13" s="377"/>
      <c r="AL13" s="389">
        <v>50</v>
      </c>
      <c r="AM13" s="290">
        <f t="shared" si="12"/>
        <v>0.41</v>
      </c>
      <c r="AN13" s="291"/>
      <c r="AO13" s="390">
        <f t="shared" si="13"/>
        <v>8.3333333333333329E-2</v>
      </c>
      <c r="AP13" s="935">
        <f ca="1">(((AP11-AP9)/(AP7-AP5))*(AP4-AP5))+AP9</f>
        <v>8.3333333333333329E-2</v>
      </c>
      <c r="AQ13" s="377"/>
      <c r="AR13" s="389">
        <v>50</v>
      </c>
      <c r="AS13" s="290">
        <f t="shared" si="14"/>
        <v>0.33</v>
      </c>
      <c r="AT13" s="291"/>
      <c r="AU13" s="390">
        <f t="shared" si="15"/>
        <v>0.08</v>
      </c>
      <c r="AV13" s="935">
        <f ca="1">(((AV11-AV9)/(AV7-AV5))*(AV4-AV5))+AV9</f>
        <v>0.08</v>
      </c>
      <c r="AW13" s="377"/>
      <c r="AX13" s="389">
        <v>50</v>
      </c>
      <c r="AY13" s="290">
        <f t="shared" si="16"/>
        <v>0.34</v>
      </c>
      <c r="AZ13" s="291"/>
      <c r="BA13" s="390">
        <f t="shared" si="17"/>
        <v>0.26333333333333336</v>
      </c>
      <c r="BB13" s="935">
        <f ca="1">(((BB11-BB9)/(BB7-BB5))*(BB4-BB5))+BB9</f>
        <v>0.26333333333333336</v>
      </c>
      <c r="BC13" s="377"/>
      <c r="BD13" s="389">
        <v>50</v>
      </c>
      <c r="BE13" s="290">
        <f t="shared" si="18"/>
        <v>0.8</v>
      </c>
      <c r="BF13" s="291"/>
      <c r="BG13" s="390">
        <f t="shared" si="19"/>
        <v>9.0000000000000011E-2</v>
      </c>
      <c r="BH13" s="935">
        <f ca="1">(((BH11-BH9)/(BH7-BH5))*(BH4-BH5))+BH9</f>
        <v>9.0000000000000011E-2</v>
      </c>
      <c r="BI13" s="377"/>
      <c r="BJ13" s="389">
        <v>50</v>
      </c>
      <c r="BK13" s="290">
        <f t="shared" si="20"/>
        <v>0.34</v>
      </c>
      <c r="BL13" s="291"/>
      <c r="BM13" s="390">
        <f t="shared" si="21"/>
        <v>0.26333333333333336</v>
      </c>
      <c r="BN13" s="935">
        <f ca="1">(((BN11-BN9)/(BN7-BN5))*(BN4-BN5))+BN9</f>
        <v>0.26333333333333336</v>
      </c>
      <c r="BO13" s="377"/>
      <c r="BP13" s="389">
        <v>50</v>
      </c>
      <c r="BQ13" s="290">
        <f t="shared" si="22"/>
        <v>0.64</v>
      </c>
      <c r="BR13" s="291"/>
      <c r="BS13" s="390">
        <f t="shared" si="23"/>
        <v>8.666666666666667E-2</v>
      </c>
      <c r="BT13" s="935">
        <f ca="1">(((BT11-BT9)/(BT7-BT5))*(BT4-BT5))+BT9</f>
        <v>8.666666666666667E-2</v>
      </c>
      <c r="BU13" s="377"/>
      <c r="BV13" s="389">
        <v>50</v>
      </c>
      <c r="BW13" s="290">
        <f t="shared" si="24"/>
        <v>0.74</v>
      </c>
      <c r="BX13" s="291"/>
      <c r="BY13" s="390">
        <f t="shared" si="25"/>
        <v>9.0000000000000011E-2</v>
      </c>
      <c r="BZ13" s="935">
        <f ca="1">(((BZ11-BZ9)/(BZ7-BZ5))*(BZ4-BZ5))+BZ9</f>
        <v>9.0000000000000011E-2</v>
      </c>
      <c r="CA13" s="377"/>
      <c r="CB13" s="389">
        <v>50</v>
      </c>
      <c r="CC13" s="290">
        <f t="shared" si="26"/>
        <v>-1</v>
      </c>
      <c r="CD13" s="291">
        <f t="shared" si="32"/>
        <v>-0.7</v>
      </c>
      <c r="CE13" s="390">
        <f t="shared" si="27"/>
        <v>0.30000000000000004</v>
      </c>
      <c r="CF13" s="935">
        <f ca="1">(((CF11-CF9)/(CF7-CF5))*(CF4-CF5))+CF9</f>
        <v>0.19999999999999998</v>
      </c>
      <c r="CH13" s="389">
        <v>50</v>
      </c>
      <c r="CI13" s="290">
        <f t="shared" si="28"/>
        <v>0.27</v>
      </c>
      <c r="CJ13" s="291">
        <v>0.22</v>
      </c>
      <c r="CK13" s="390">
        <f t="shared" si="29"/>
        <v>5.0000000000000017E-2</v>
      </c>
      <c r="CL13" s="935">
        <f ca="1">(((CL11-CL9)/(CL7-CL5))*(CL4-CL5))+CL9</f>
        <v>4.0000000000000008E-2</v>
      </c>
      <c r="CN13" s="389">
        <v>50</v>
      </c>
      <c r="CO13" s="290">
        <f t="shared" si="30"/>
        <v>0.67</v>
      </c>
      <c r="CP13" s="291">
        <v>0.56999999999999995</v>
      </c>
      <c r="CQ13" s="390">
        <f t="shared" si="31"/>
        <v>0.10000000000000009</v>
      </c>
      <c r="CR13" s="935">
        <f ca="1">(((CR11-CR9)/(CR7-CR5))*(CR4-CR5))+CR9</f>
        <v>3.054285714285716E-2</v>
      </c>
    </row>
    <row r="14" spans="2:96" ht="13">
      <c r="B14" s="389">
        <v>100</v>
      </c>
      <c r="C14" s="291">
        <v>0.08</v>
      </c>
      <c r="D14" s="291">
        <f t="shared" si="0"/>
        <v>0.76</v>
      </c>
      <c r="E14" s="390">
        <f t="shared" si="1"/>
        <v>0.68</v>
      </c>
      <c r="F14" s="391"/>
      <c r="G14" s="392"/>
      <c r="H14" s="389">
        <v>100</v>
      </c>
      <c r="I14" s="291">
        <v>-0.1</v>
      </c>
      <c r="J14" s="291">
        <f t="shared" si="2"/>
        <v>0.55000000000000004</v>
      </c>
      <c r="K14" s="390">
        <f t="shared" si="3"/>
        <v>0.65</v>
      </c>
      <c r="L14" s="391"/>
      <c r="M14" s="392"/>
      <c r="N14" s="389">
        <v>100</v>
      </c>
      <c r="O14" s="938">
        <v>0.15</v>
      </c>
      <c r="P14" s="939">
        <f t="shared" si="4"/>
        <v>-0.1</v>
      </c>
      <c r="Q14" s="940">
        <f t="shared" si="5"/>
        <v>0.25</v>
      </c>
      <c r="R14" s="941"/>
      <c r="S14" s="377"/>
      <c r="T14" s="389">
        <v>100</v>
      </c>
      <c r="U14" s="290">
        <f t="shared" si="6"/>
        <v>0.65</v>
      </c>
      <c r="V14" s="291"/>
      <c r="W14" s="390">
        <f t="shared" si="7"/>
        <v>8.3333333333333329E-2</v>
      </c>
      <c r="X14" s="941"/>
      <c r="Y14" s="377"/>
      <c r="Z14" s="389">
        <v>100</v>
      </c>
      <c r="AA14" s="290">
        <f t="shared" si="8"/>
        <v>0.18</v>
      </c>
      <c r="AB14" s="291">
        <v>0.66</v>
      </c>
      <c r="AC14" s="390">
        <f t="shared" si="9"/>
        <v>0.48000000000000004</v>
      </c>
      <c r="AD14" s="941"/>
      <c r="AE14" s="377"/>
      <c r="AF14" s="389">
        <v>100</v>
      </c>
      <c r="AG14" s="290">
        <f t="shared" si="10"/>
        <v>0.19</v>
      </c>
      <c r="AH14" s="291">
        <v>0.56999999999999995</v>
      </c>
      <c r="AI14" s="390">
        <f t="shared" si="11"/>
        <v>0.37999999999999995</v>
      </c>
      <c r="AJ14" s="941"/>
      <c r="AK14" s="377"/>
      <c r="AL14" s="389">
        <v>100</v>
      </c>
      <c r="AM14" s="290">
        <f t="shared" si="12"/>
        <v>0.49</v>
      </c>
      <c r="AN14" s="291"/>
      <c r="AO14" s="390">
        <f t="shared" si="13"/>
        <v>8.3333333333333329E-2</v>
      </c>
      <c r="AP14" s="941"/>
      <c r="AQ14" s="377"/>
      <c r="AR14" s="389">
        <v>100</v>
      </c>
      <c r="AS14" s="290">
        <f t="shared" si="14"/>
        <v>0.41</v>
      </c>
      <c r="AT14" s="291"/>
      <c r="AU14" s="390">
        <f t="shared" si="15"/>
        <v>0.08</v>
      </c>
      <c r="AV14" s="941"/>
      <c r="AW14" s="377"/>
      <c r="AX14" s="389">
        <v>100</v>
      </c>
      <c r="AY14" s="290">
        <f t="shared" si="16"/>
        <v>0.17</v>
      </c>
      <c r="AZ14" s="291"/>
      <c r="BA14" s="390">
        <f t="shared" si="17"/>
        <v>0.26333333333333336</v>
      </c>
      <c r="BB14" s="941"/>
      <c r="BC14" s="377"/>
      <c r="BD14" s="389">
        <v>100</v>
      </c>
      <c r="BE14" s="290">
        <f t="shared" si="18"/>
        <v>0.53</v>
      </c>
      <c r="BF14" s="291"/>
      <c r="BG14" s="390">
        <f t="shared" si="19"/>
        <v>9.0000000000000011E-2</v>
      </c>
      <c r="BH14" s="941"/>
      <c r="BI14" s="377"/>
      <c r="BJ14" s="389">
        <v>100</v>
      </c>
      <c r="BK14" s="290">
        <f t="shared" si="20"/>
        <v>0.17</v>
      </c>
      <c r="BL14" s="291"/>
      <c r="BM14" s="390">
        <f t="shared" si="21"/>
        <v>0.26333333333333336</v>
      </c>
      <c r="BN14" s="941"/>
      <c r="BO14" s="377"/>
      <c r="BP14" s="389">
        <v>100</v>
      </c>
      <c r="BQ14" s="290">
        <f t="shared" si="22"/>
        <v>0.56999999999999995</v>
      </c>
      <c r="BR14" s="291"/>
      <c r="BS14" s="390">
        <f t="shared" si="23"/>
        <v>8.666666666666667E-2</v>
      </c>
      <c r="BT14" s="941"/>
      <c r="BU14" s="377"/>
      <c r="BV14" s="389">
        <v>100</v>
      </c>
      <c r="BW14" s="290">
        <f t="shared" si="24"/>
        <v>0.71</v>
      </c>
      <c r="BX14" s="291"/>
      <c r="BY14" s="390">
        <f t="shared" si="25"/>
        <v>9.0000000000000011E-2</v>
      </c>
      <c r="BZ14" s="941"/>
      <c r="CA14" s="377"/>
      <c r="CB14" s="389">
        <v>100</v>
      </c>
      <c r="CC14" s="290">
        <f t="shared" si="26"/>
        <v>-1.6</v>
      </c>
      <c r="CD14" s="291">
        <f t="shared" si="32"/>
        <v>-0.7</v>
      </c>
      <c r="CE14" s="390">
        <f t="shared" si="27"/>
        <v>0.90000000000000013</v>
      </c>
      <c r="CF14" s="941"/>
      <c r="CH14" s="389">
        <v>100</v>
      </c>
      <c r="CI14" s="290">
        <f t="shared" si="28"/>
        <v>0.31</v>
      </c>
      <c r="CJ14" s="291">
        <v>0.23</v>
      </c>
      <c r="CK14" s="390">
        <f t="shared" si="29"/>
        <v>7.9999999999999988E-2</v>
      </c>
      <c r="CL14" s="941"/>
      <c r="CN14" s="389">
        <v>100</v>
      </c>
      <c r="CO14" s="290">
        <f t="shared" si="30"/>
        <v>0.95</v>
      </c>
      <c r="CP14" s="291">
        <v>0.81</v>
      </c>
      <c r="CQ14" s="390">
        <f t="shared" si="31"/>
        <v>0.1399999999999999</v>
      </c>
      <c r="CR14" s="941"/>
    </row>
    <row r="15" spans="2:96" ht="13">
      <c r="B15" s="389">
        <v>150</v>
      </c>
      <c r="C15" s="291">
        <v>0.08</v>
      </c>
      <c r="D15" s="291">
        <f t="shared" si="0"/>
        <v>0.73</v>
      </c>
      <c r="E15" s="390">
        <f t="shared" si="1"/>
        <v>0.65</v>
      </c>
      <c r="F15" s="391"/>
      <c r="G15" s="392"/>
      <c r="H15" s="389">
        <v>150</v>
      </c>
      <c r="I15" s="291">
        <v>-0.16</v>
      </c>
      <c r="J15" s="291">
        <f t="shared" si="2"/>
        <v>0.53</v>
      </c>
      <c r="K15" s="390">
        <f t="shared" si="3"/>
        <v>0.69000000000000006</v>
      </c>
      <c r="L15" s="391"/>
      <c r="M15" s="392"/>
      <c r="N15" s="389">
        <v>150</v>
      </c>
      <c r="O15" s="938">
        <v>-0.1</v>
      </c>
      <c r="P15" s="939">
        <f t="shared" si="4"/>
        <v>-0.22</v>
      </c>
      <c r="Q15" s="940">
        <f t="shared" si="5"/>
        <v>0.12</v>
      </c>
      <c r="R15" s="941"/>
      <c r="S15" s="377"/>
      <c r="T15" s="389">
        <v>150</v>
      </c>
      <c r="U15" s="290">
        <f t="shared" si="6"/>
        <v>-7.0000000000000007E-2</v>
      </c>
      <c r="V15" s="291"/>
      <c r="W15" s="390">
        <f t="shared" si="7"/>
        <v>8.3333333333333329E-2</v>
      </c>
      <c r="X15" s="941"/>
      <c r="Y15" s="377"/>
      <c r="Z15" s="389">
        <v>150</v>
      </c>
      <c r="AA15" s="290">
        <f t="shared" si="8"/>
        <v>0.37</v>
      </c>
      <c r="AB15" s="291">
        <v>0.28999999999999998</v>
      </c>
      <c r="AC15" s="390">
        <f t="shared" si="9"/>
        <v>8.0000000000000016E-2</v>
      </c>
      <c r="AD15" s="941"/>
      <c r="AE15" s="377"/>
      <c r="AF15" s="389">
        <v>150</v>
      </c>
      <c r="AG15" s="290">
        <f t="shared" si="10"/>
        <v>0.39</v>
      </c>
      <c r="AH15" s="291">
        <v>0.08</v>
      </c>
      <c r="AI15" s="390">
        <f t="shared" si="11"/>
        <v>0.31</v>
      </c>
      <c r="AJ15" s="941"/>
      <c r="AK15" s="377"/>
      <c r="AL15" s="389">
        <v>150</v>
      </c>
      <c r="AM15" s="290">
        <f t="shared" si="12"/>
        <v>0.65</v>
      </c>
      <c r="AN15" s="291"/>
      <c r="AO15" s="390">
        <f t="shared" si="13"/>
        <v>8.3333333333333329E-2</v>
      </c>
      <c r="AP15" s="941"/>
      <c r="AQ15" s="377"/>
      <c r="AR15" s="389">
        <v>150</v>
      </c>
      <c r="AS15" s="290">
        <f t="shared" si="14"/>
        <v>0.57999999999999996</v>
      </c>
      <c r="AT15" s="291"/>
      <c r="AU15" s="390">
        <f t="shared" si="15"/>
        <v>0.08</v>
      </c>
      <c r="AV15" s="941"/>
      <c r="AW15" s="377"/>
      <c r="AX15" s="389">
        <v>150</v>
      </c>
      <c r="AY15" s="290">
        <f t="shared" si="16"/>
        <v>-0.04</v>
      </c>
      <c r="AZ15" s="291"/>
      <c r="BA15" s="390">
        <f t="shared" si="17"/>
        <v>0.26333333333333336</v>
      </c>
      <c r="BB15" s="941"/>
      <c r="BC15" s="377"/>
      <c r="BD15" s="389">
        <v>150</v>
      </c>
      <c r="BE15" s="290">
        <f t="shared" si="18"/>
        <v>-0.15</v>
      </c>
      <c r="BF15" s="291"/>
      <c r="BG15" s="390">
        <f t="shared" si="19"/>
        <v>9.0000000000000011E-2</v>
      </c>
      <c r="BH15" s="941"/>
      <c r="BI15" s="377"/>
      <c r="BJ15" s="389">
        <v>150</v>
      </c>
      <c r="BK15" s="290">
        <f t="shared" si="20"/>
        <v>-0.04</v>
      </c>
      <c r="BL15" s="291"/>
      <c r="BM15" s="390">
        <f t="shared" si="21"/>
        <v>0.26333333333333336</v>
      </c>
      <c r="BN15" s="941"/>
      <c r="BO15" s="377"/>
      <c r="BP15" s="389">
        <v>150</v>
      </c>
      <c r="BQ15" s="290">
        <f t="shared" si="22"/>
        <v>-0.12</v>
      </c>
      <c r="BR15" s="291"/>
      <c r="BS15" s="390">
        <f t="shared" si="23"/>
        <v>8.666666666666667E-2</v>
      </c>
      <c r="BT15" s="941"/>
      <c r="BU15" s="377"/>
      <c r="BV15" s="389">
        <v>150</v>
      </c>
      <c r="BW15" s="290">
        <f t="shared" si="24"/>
        <v>-0.17</v>
      </c>
      <c r="BX15" s="291"/>
      <c r="BY15" s="390">
        <f t="shared" si="25"/>
        <v>9.0000000000000011E-2</v>
      </c>
      <c r="BZ15" s="941"/>
      <c r="CA15" s="377"/>
      <c r="CB15" s="389">
        <v>150</v>
      </c>
      <c r="CC15" s="290">
        <f t="shared" si="26"/>
        <v>-1.7</v>
      </c>
      <c r="CD15" s="291">
        <f t="shared" si="32"/>
        <v>-0.7</v>
      </c>
      <c r="CE15" s="390">
        <f t="shared" si="27"/>
        <v>1</v>
      </c>
      <c r="CF15" s="941"/>
      <c r="CH15" s="389">
        <v>150</v>
      </c>
      <c r="CI15" s="290">
        <f t="shared" si="28"/>
        <v>0.3</v>
      </c>
      <c r="CJ15" s="291">
        <v>0.22</v>
      </c>
      <c r="CK15" s="390">
        <f t="shared" si="29"/>
        <v>7.9999999999999988E-2</v>
      </c>
      <c r="CL15" s="941"/>
      <c r="CN15" s="389">
        <v>150</v>
      </c>
      <c r="CO15" s="290">
        <f t="shared" si="30"/>
        <v>0.49</v>
      </c>
      <c r="CP15" s="291">
        <v>0.87</v>
      </c>
      <c r="CQ15" s="390">
        <f t="shared" si="31"/>
        <v>0.38</v>
      </c>
      <c r="CR15" s="941"/>
    </row>
    <row r="16" spans="2:96" ht="13">
      <c r="B16" s="389">
        <v>200</v>
      </c>
      <c r="C16" s="291">
        <v>0.22</v>
      </c>
      <c r="D16" s="291">
        <f t="shared" si="0"/>
        <v>0.2</v>
      </c>
      <c r="E16" s="390">
        <f t="shared" si="1"/>
        <v>1.999999999999999E-2</v>
      </c>
      <c r="F16" s="391"/>
      <c r="G16" s="392"/>
      <c r="H16" s="389">
        <v>200</v>
      </c>
      <c r="I16" s="291">
        <v>0.47</v>
      </c>
      <c r="J16" s="291">
        <f t="shared" si="2"/>
        <v>0.39</v>
      </c>
      <c r="K16" s="390">
        <f t="shared" si="3"/>
        <v>7.999999999999996E-2</v>
      </c>
      <c r="L16" s="391"/>
      <c r="M16" s="392"/>
      <c r="N16" s="389">
        <v>200</v>
      </c>
      <c r="O16" s="938">
        <v>0.31</v>
      </c>
      <c r="P16" s="939">
        <f t="shared" si="4"/>
        <v>0.06</v>
      </c>
      <c r="Q16" s="940">
        <f t="shared" si="5"/>
        <v>0.25</v>
      </c>
      <c r="R16" s="941"/>
      <c r="S16" s="377"/>
      <c r="T16" s="389">
        <v>200</v>
      </c>
      <c r="U16" s="290">
        <f t="shared" si="6"/>
        <v>-0.7</v>
      </c>
      <c r="V16" s="291"/>
      <c r="W16" s="390">
        <f t="shared" si="7"/>
        <v>8.3333333333333329E-2</v>
      </c>
      <c r="X16" s="941"/>
      <c r="Y16" s="377"/>
      <c r="Z16" s="389">
        <v>200</v>
      </c>
      <c r="AA16" s="290">
        <f t="shared" si="8"/>
        <v>0.61</v>
      </c>
      <c r="AB16" s="291">
        <v>-0.16</v>
      </c>
      <c r="AC16" s="390">
        <f t="shared" si="9"/>
        <v>0.77</v>
      </c>
      <c r="AD16" s="941"/>
      <c r="AE16" s="377"/>
      <c r="AF16" s="389">
        <v>200</v>
      </c>
      <c r="AG16" s="290">
        <f t="shared" si="10"/>
        <v>0.66</v>
      </c>
      <c r="AH16" s="291">
        <v>-0.38</v>
      </c>
      <c r="AI16" s="390">
        <f t="shared" si="11"/>
        <v>1.04</v>
      </c>
      <c r="AJ16" s="941"/>
      <c r="AK16" s="377"/>
      <c r="AL16" s="389">
        <v>200</v>
      </c>
      <c r="AM16" s="290">
        <f t="shared" si="12"/>
        <v>0.9</v>
      </c>
      <c r="AN16" s="291"/>
      <c r="AO16" s="390">
        <f t="shared" si="13"/>
        <v>8.3333333333333329E-2</v>
      </c>
      <c r="AP16" s="941"/>
      <c r="AQ16" s="377"/>
      <c r="AR16" s="389">
        <v>200</v>
      </c>
      <c r="AS16" s="290">
        <f>J169</f>
        <v>0.81</v>
      </c>
      <c r="AT16" s="291"/>
      <c r="AU16" s="390">
        <f t="shared" si="15"/>
        <v>0.08</v>
      </c>
      <c r="AV16" s="941"/>
      <c r="AW16" s="377"/>
      <c r="AX16" s="389">
        <v>200</v>
      </c>
      <c r="AY16" s="290">
        <f t="shared" si="16"/>
        <v>-0.28000000000000003</v>
      </c>
      <c r="AZ16" s="291"/>
      <c r="BA16" s="390">
        <f t="shared" si="17"/>
        <v>0.26333333333333336</v>
      </c>
      <c r="BB16" s="941"/>
      <c r="BC16" s="377"/>
      <c r="BD16" s="389">
        <v>200</v>
      </c>
      <c r="BE16" s="290">
        <f t="shared" si="18"/>
        <v>-0.01</v>
      </c>
      <c r="BF16" s="291"/>
      <c r="BG16" s="390">
        <f t="shared" si="19"/>
        <v>9.0000000000000011E-2</v>
      </c>
      <c r="BH16" s="941"/>
      <c r="BI16" s="377"/>
      <c r="BJ16" s="389">
        <v>200</v>
      </c>
      <c r="BK16" s="290">
        <f t="shared" si="20"/>
        <v>-0.28000000000000003</v>
      </c>
      <c r="BL16" s="291"/>
      <c r="BM16" s="390">
        <f t="shared" si="21"/>
        <v>0.26333333333333336</v>
      </c>
      <c r="BN16" s="941"/>
      <c r="BO16" s="377"/>
      <c r="BP16" s="389">
        <v>200</v>
      </c>
      <c r="BQ16" s="290">
        <f t="shared" si="22"/>
        <v>-0.59</v>
      </c>
      <c r="BR16" s="291"/>
      <c r="BS16" s="390">
        <f t="shared" si="23"/>
        <v>8.666666666666667E-2</v>
      </c>
      <c r="BT16" s="941"/>
      <c r="BU16" s="377"/>
      <c r="BV16" s="389">
        <v>200</v>
      </c>
      <c r="BW16" s="290">
        <f t="shared" si="24"/>
        <v>-1.27</v>
      </c>
      <c r="BX16" s="291"/>
      <c r="BY16" s="390">
        <f t="shared" si="25"/>
        <v>9.0000000000000011E-2</v>
      </c>
      <c r="BZ16" s="941"/>
      <c r="CA16" s="377"/>
      <c r="CB16" s="389">
        <v>200</v>
      </c>
      <c r="CC16" s="290">
        <f t="shared" si="26"/>
        <v>-0.9</v>
      </c>
      <c r="CD16" s="291">
        <f t="shared" si="32"/>
        <v>-0.6</v>
      </c>
      <c r="CE16" s="390">
        <f t="shared" si="27"/>
        <v>0.30000000000000004</v>
      </c>
      <c r="CF16" s="941"/>
      <c r="CH16" s="389">
        <v>200</v>
      </c>
      <c r="CI16" s="290">
        <f t="shared" si="28"/>
        <v>0.34</v>
      </c>
      <c r="CJ16" s="291">
        <v>0.47</v>
      </c>
      <c r="CK16" s="390">
        <f t="shared" si="29"/>
        <v>0.12999999999999995</v>
      </c>
      <c r="CL16" s="941"/>
      <c r="CN16" s="389">
        <v>200</v>
      </c>
      <c r="CO16" s="290">
        <f t="shared" si="30"/>
        <v>-0.26</v>
      </c>
      <c r="CP16" s="291">
        <v>0.99</v>
      </c>
      <c r="CQ16" s="390">
        <f t="shared" si="31"/>
        <v>1.25</v>
      </c>
      <c r="CR16" s="941"/>
    </row>
    <row r="17" spans="2:96" s="377" customFormat="1" ht="13.5" thickBot="1">
      <c r="B17" s="395"/>
      <c r="C17" s="395"/>
      <c r="D17" s="374"/>
      <c r="E17" s="395"/>
      <c r="F17" s="392"/>
      <c r="G17" s="392"/>
      <c r="H17" s="395"/>
      <c r="I17" s="395"/>
      <c r="J17" s="395"/>
      <c r="K17" s="395"/>
      <c r="L17" s="379"/>
      <c r="M17" s="392"/>
      <c r="N17" s="395"/>
      <c r="O17" s="395"/>
      <c r="P17" s="395"/>
      <c r="Q17" s="395"/>
      <c r="R17" s="379"/>
      <c r="T17" s="395"/>
      <c r="U17" s="395"/>
      <c r="V17" s="395"/>
      <c r="W17" s="395"/>
      <c r="X17" s="379"/>
      <c r="Z17" s="395"/>
      <c r="AA17" s="395"/>
      <c r="AB17" s="395"/>
      <c r="AC17" s="395"/>
      <c r="AD17" s="379"/>
      <c r="AF17" s="395"/>
      <c r="AG17" s="395"/>
      <c r="AH17" s="395"/>
      <c r="AI17" s="395"/>
      <c r="AJ17" s="379"/>
      <c r="AL17" s="395"/>
      <c r="AM17" s="395"/>
      <c r="AN17" s="395"/>
      <c r="AO17" s="395"/>
      <c r="AP17" s="379"/>
      <c r="AR17" s="395"/>
      <c r="AS17" s="395"/>
      <c r="AT17" s="395"/>
      <c r="AU17" s="395"/>
      <c r="AV17" s="379"/>
      <c r="AX17" s="395"/>
      <c r="AY17" s="395"/>
      <c r="AZ17" s="395"/>
      <c r="BA17" s="395"/>
      <c r="BB17" s="379"/>
      <c r="BD17" s="395"/>
      <c r="BE17" s="395"/>
      <c r="BF17" s="395"/>
      <c r="BG17" s="395"/>
      <c r="BH17" s="379"/>
      <c r="BJ17" s="395"/>
      <c r="BK17" s="395"/>
      <c r="BL17" s="395"/>
      <c r="BM17" s="395"/>
      <c r="BN17" s="379"/>
      <c r="BP17" s="395"/>
      <c r="BQ17" s="395"/>
      <c r="BR17" s="395"/>
      <c r="BS17" s="395"/>
      <c r="BT17" s="379"/>
      <c r="BV17" s="395"/>
      <c r="BW17" s="395"/>
      <c r="BX17" s="395"/>
      <c r="BY17" s="395"/>
      <c r="BZ17" s="379"/>
      <c r="CB17" s="395"/>
      <c r="CC17" s="395"/>
      <c r="CD17" s="395"/>
      <c r="CE17" s="395"/>
      <c r="CF17" s="379"/>
      <c r="CH17" s="395"/>
      <c r="CI17" s="395"/>
      <c r="CJ17" s="395"/>
      <c r="CK17" s="395"/>
      <c r="CL17" s="379"/>
      <c r="CN17" s="395"/>
      <c r="CO17" s="395"/>
      <c r="CP17" s="395"/>
      <c r="CQ17" s="395"/>
      <c r="CR17" s="379"/>
    </row>
    <row r="18" spans="2:96" ht="22.5" customHeight="1">
      <c r="B18" s="1198" t="s">
        <v>387</v>
      </c>
      <c r="C18" s="1200" t="str">
        <f>C3</f>
        <v>Thermocouple Data Logger, Merek : MADGETECH, Model : OctTemp 2000, SN : P40270</v>
      </c>
      <c r="D18" s="1200"/>
      <c r="E18" s="1200"/>
      <c r="F18" s="380" t="s">
        <v>648</v>
      </c>
      <c r="G18" s="381"/>
      <c r="H18" s="1198" t="s">
        <v>387</v>
      </c>
      <c r="I18" s="1200" t="str">
        <f>I3</f>
        <v>Thermocouple Data Logger, Merek : MADGETECH, Model : OctTemp 2000, SN : P41878</v>
      </c>
      <c r="J18" s="1200"/>
      <c r="K18" s="1200"/>
      <c r="L18" s="380" t="s">
        <v>648</v>
      </c>
      <c r="M18" s="381"/>
      <c r="N18" s="1198" t="s">
        <v>387</v>
      </c>
      <c r="O18" s="1200" t="str">
        <f>O3</f>
        <v>Mobile Corder, Merek : Yokogawa, Model : GP 10, SN : S5T810599</v>
      </c>
      <c r="P18" s="1203"/>
      <c r="Q18" s="1200"/>
      <c r="R18" s="380" t="s">
        <v>648</v>
      </c>
      <c r="S18" s="377"/>
      <c r="T18" s="1198" t="s">
        <v>387</v>
      </c>
      <c r="U18" s="1200" t="str">
        <f>U3</f>
        <v>Wireless Temperature Recorder, Merek : HIOKI, Model : LR 8510, SN : 200936000</v>
      </c>
      <c r="V18" s="1203"/>
      <c r="W18" s="1200"/>
      <c r="X18" s="380" t="s">
        <v>648</v>
      </c>
      <c r="Y18" s="377"/>
      <c r="Z18" s="1198" t="s">
        <v>387</v>
      </c>
      <c r="AA18" s="1200" t="str">
        <f>AA3</f>
        <v>Wireless Temperature Recorder, Merek : HIOKI, Model : LR 8510, SN : 200936001</v>
      </c>
      <c r="AB18" s="1203"/>
      <c r="AC18" s="1200"/>
      <c r="AD18" s="380" t="s">
        <v>648</v>
      </c>
      <c r="AE18" s="377"/>
      <c r="AF18" s="1198" t="s">
        <v>387</v>
      </c>
      <c r="AG18" s="1200" t="str">
        <f>AG3</f>
        <v>Wireless Temperature Recorder, Merek : HIOKI, Model : LR 8510, SN : 200821397</v>
      </c>
      <c r="AH18" s="1203"/>
      <c r="AI18" s="1200"/>
      <c r="AJ18" s="380" t="s">
        <v>648</v>
      </c>
      <c r="AK18" s="377"/>
      <c r="AL18" s="1198" t="s">
        <v>387</v>
      </c>
      <c r="AM18" s="1200" t="str">
        <f>AM3</f>
        <v>Wireless Temperature Recorder, Merek : HIOKI, Model : LR 8510, SN : 210411983</v>
      </c>
      <c r="AN18" s="1203"/>
      <c r="AO18" s="1200"/>
      <c r="AP18" s="380" t="s">
        <v>648</v>
      </c>
      <c r="AQ18" s="377"/>
      <c r="AR18" s="1198" t="s">
        <v>387</v>
      </c>
      <c r="AS18" s="1200" t="str">
        <f>AS3</f>
        <v>Wireless Temperature Recorder, Merek : HIOKI, Model : LR 8510, SN : 210411984</v>
      </c>
      <c r="AT18" s="1203"/>
      <c r="AU18" s="1200"/>
      <c r="AV18" s="380" t="s">
        <v>648</v>
      </c>
      <c r="AW18" s="377"/>
      <c r="AX18" s="1198" t="s">
        <v>387</v>
      </c>
      <c r="AY18" s="1200" t="str">
        <f>AY3</f>
        <v>Wireless Temperature Recorder, Merek : HIOKI, Model : LR 8510, SN : 210411985</v>
      </c>
      <c r="AZ18" s="1203"/>
      <c r="BA18" s="1200"/>
      <c r="BB18" s="380" t="s">
        <v>648</v>
      </c>
      <c r="BC18" s="377"/>
      <c r="BD18" s="1198" t="s">
        <v>387</v>
      </c>
      <c r="BE18" s="1200" t="str">
        <f>BE3</f>
        <v>Wireless Temperature Recorder, Merek : HIOKI, Model : LR 8510, SN : 210746054</v>
      </c>
      <c r="BF18" s="1203"/>
      <c r="BG18" s="1200"/>
      <c r="BH18" s="380" t="s">
        <v>648</v>
      </c>
      <c r="BI18" s="377"/>
      <c r="BJ18" s="1198" t="s">
        <v>387</v>
      </c>
      <c r="BK18" s="1200" t="str">
        <f>BK3</f>
        <v>Wireless Temperature Recorder, Merek : HIOKI, Model : LR 8510, SN : 210746055</v>
      </c>
      <c r="BL18" s="1203"/>
      <c r="BM18" s="1200"/>
      <c r="BN18" s="380" t="s">
        <v>648</v>
      </c>
      <c r="BO18" s="377"/>
      <c r="BP18" s="1198" t="s">
        <v>387</v>
      </c>
      <c r="BQ18" s="1200" t="str">
        <f>BQ3</f>
        <v>Wireless Temperature Recorder, Merek : HIOKI, Model : LR 8510, SN : 210746056</v>
      </c>
      <c r="BR18" s="1203"/>
      <c r="BS18" s="1200"/>
      <c r="BT18" s="380" t="s">
        <v>648</v>
      </c>
      <c r="BU18" s="377"/>
      <c r="BV18" s="1198" t="s">
        <v>387</v>
      </c>
      <c r="BW18" s="1200" t="str">
        <f>BW3</f>
        <v>Wireless Temperature Recorder, Merek : HIOKI, Model : LR 8510, SN : 200821396</v>
      </c>
      <c r="BX18" s="1203"/>
      <c r="BY18" s="1200"/>
      <c r="BZ18" s="380" t="s">
        <v>648</v>
      </c>
      <c r="CA18" s="377"/>
      <c r="CB18" s="1198" t="s">
        <v>387</v>
      </c>
      <c r="CC18" s="1200" t="str">
        <f t="shared" ref="CC18:CC31" si="33">CC3</f>
        <v>Reference Thermometer, Merek : APPA, Model : APPA51, SN : 03002948</v>
      </c>
      <c r="CD18" s="1203"/>
      <c r="CE18" s="1200"/>
      <c r="CF18" s="380" t="s">
        <v>648</v>
      </c>
      <c r="CH18" s="1198" t="s">
        <v>387</v>
      </c>
      <c r="CI18" s="1200" t="str">
        <f t="shared" ref="CI18:CJ31" si="34">CI3</f>
        <v>Reference Thermometer, Merek : FLUKE, Model : 1524, SN : 1803038</v>
      </c>
      <c r="CJ18" s="1203"/>
      <c r="CK18" s="1200"/>
      <c r="CL18" s="380" t="s">
        <v>648</v>
      </c>
      <c r="CN18" s="1198" t="s">
        <v>387</v>
      </c>
      <c r="CO18" s="1200" t="str">
        <f t="shared" ref="CO18:CP31" si="35">CO3</f>
        <v>Reference Thermometer, Merek : FLUKE, Model : 1524, SN : 1803037</v>
      </c>
      <c r="CP18" s="1203"/>
      <c r="CQ18" s="1200"/>
      <c r="CR18" s="380" t="s">
        <v>648</v>
      </c>
    </row>
    <row r="19" spans="2:96" ht="13">
      <c r="B19" s="1199"/>
      <c r="C19" s="383">
        <f>C4</f>
        <v>2021</v>
      </c>
      <c r="D19" s="383">
        <f>D4</f>
        <v>2022</v>
      </c>
      <c r="E19" s="384" t="s">
        <v>386</v>
      </c>
      <c r="F19" s="388">
        <f ca="1">$B$290</f>
        <v>37.19</v>
      </c>
      <c r="G19" s="385"/>
      <c r="H19" s="1199"/>
      <c r="I19" s="386">
        <f>I4</f>
        <v>2021</v>
      </c>
      <c r="J19" s="387">
        <f>J4</f>
        <v>2022</v>
      </c>
      <c r="K19" s="384" t="s">
        <v>386</v>
      </c>
      <c r="L19" s="388">
        <f ca="1">$B$290</f>
        <v>37.19</v>
      </c>
      <c r="M19" s="385"/>
      <c r="N19" s="1199"/>
      <c r="O19" s="386">
        <f>O4</f>
        <v>2021</v>
      </c>
      <c r="P19" s="387">
        <f>P4</f>
        <v>2023</v>
      </c>
      <c r="Q19" s="384" t="s">
        <v>386</v>
      </c>
      <c r="R19" s="388">
        <f ca="1">$B$290</f>
        <v>37.19</v>
      </c>
      <c r="S19" s="377"/>
      <c r="T19" s="1199"/>
      <c r="U19" s="386">
        <f>U4</f>
        <v>2021</v>
      </c>
      <c r="V19" s="387"/>
      <c r="W19" s="384" t="s">
        <v>386</v>
      </c>
      <c r="X19" s="388">
        <f ca="1">$B$290</f>
        <v>37.19</v>
      </c>
      <c r="Y19" s="377"/>
      <c r="Z19" s="1199"/>
      <c r="AA19" s="386">
        <f>AA4</f>
        <v>2023</v>
      </c>
      <c r="AB19" s="387">
        <f>AB4</f>
        <v>2021</v>
      </c>
      <c r="AC19" s="384" t="s">
        <v>386</v>
      </c>
      <c r="AD19" s="388">
        <f ca="1">$B$290</f>
        <v>37.19</v>
      </c>
      <c r="AE19" s="377"/>
      <c r="AF19" s="1199"/>
      <c r="AG19" s="386">
        <f>AG4</f>
        <v>2023</v>
      </c>
      <c r="AH19" s="386">
        <f>AH4</f>
        <v>2021</v>
      </c>
      <c r="AI19" s="384" t="s">
        <v>386</v>
      </c>
      <c r="AJ19" s="388">
        <f ca="1">$B$290</f>
        <v>37.19</v>
      </c>
      <c r="AK19" s="377"/>
      <c r="AL19" s="1199"/>
      <c r="AM19" s="386">
        <f>AM4</f>
        <v>2021</v>
      </c>
      <c r="AN19" s="387"/>
      <c r="AO19" s="384" t="s">
        <v>386</v>
      </c>
      <c r="AP19" s="388">
        <f ca="1">$B$290</f>
        <v>37.19</v>
      </c>
      <c r="AQ19" s="377"/>
      <c r="AR19" s="1199"/>
      <c r="AS19" s="386">
        <f>AS4</f>
        <v>2021</v>
      </c>
      <c r="AT19" s="387"/>
      <c r="AU19" s="384" t="s">
        <v>386</v>
      </c>
      <c r="AV19" s="388">
        <f ca="1">$B$290</f>
        <v>37.19</v>
      </c>
      <c r="AW19" s="377"/>
      <c r="AX19" s="1199"/>
      <c r="AY19" s="386">
        <f>AY4</f>
        <v>2021</v>
      </c>
      <c r="AZ19" s="387"/>
      <c r="BA19" s="384" t="s">
        <v>386</v>
      </c>
      <c r="BB19" s="388">
        <f ca="1">$B$290</f>
        <v>37.19</v>
      </c>
      <c r="BC19" s="377"/>
      <c r="BD19" s="1199"/>
      <c r="BE19" s="386">
        <f>BE4</f>
        <v>2021</v>
      </c>
      <c r="BF19" s="387"/>
      <c r="BG19" s="384" t="s">
        <v>386</v>
      </c>
      <c r="BH19" s="388">
        <f ca="1">$B$290</f>
        <v>37.19</v>
      </c>
      <c r="BI19" s="377"/>
      <c r="BJ19" s="1199"/>
      <c r="BK19" s="386">
        <f>BK4</f>
        <v>2021</v>
      </c>
      <c r="BL19" s="387"/>
      <c r="BM19" s="384" t="s">
        <v>386</v>
      </c>
      <c r="BN19" s="388">
        <f ca="1">$B$290</f>
        <v>37.19</v>
      </c>
      <c r="BO19" s="377"/>
      <c r="BP19" s="1199"/>
      <c r="BQ19" s="386">
        <f>BQ4</f>
        <v>2021</v>
      </c>
      <c r="BR19" s="387"/>
      <c r="BS19" s="384" t="s">
        <v>386</v>
      </c>
      <c r="BT19" s="388">
        <f ca="1">$B$290</f>
        <v>37.19</v>
      </c>
      <c r="BU19" s="377"/>
      <c r="BV19" s="1199"/>
      <c r="BW19" s="386">
        <f>BW4</f>
        <v>2022</v>
      </c>
      <c r="BX19" s="387"/>
      <c r="BY19" s="384" t="s">
        <v>386</v>
      </c>
      <c r="BZ19" s="388">
        <f ca="1">$B$290</f>
        <v>37.19</v>
      </c>
      <c r="CA19" s="377"/>
      <c r="CB19" s="1199"/>
      <c r="CC19" s="386">
        <f t="shared" si="33"/>
        <v>2022</v>
      </c>
      <c r="CD19" s="387">
        <f>CD34</f>
        <v>2020</v>
      </c>
      <c r="CE19" s="384" t="s">
        <v>386</v>
      </c>
      <c r="CF19" s="388">
        <f ca="1">$B$290</f>
        <v>37.19</v>
      </c>
      <c r="CH19" s="1199"/>
      <c r="CI19" s="386">
        <f t="shared" si="34"/>
        <v>2021</v>
      </c>
      <c r="CJ19" s="387">
        <f>CJ4</f>
        <v>2019</v>
      </c>
      <c r="CK19" s="384" t="s">
        <v>386</v>
      </c>
      <c r="CL19" s="388">
        <f ca="1">$B$290</f>
        <v>37.19</v>
      </c>
      <c r="CN19" s="1199"/>
      <c r="CO19" s="386">
        <f t="shared" si="35"/>
        <v>2021</v>
      </c>
      <c r="CP19" s="387">
        <f>CP4</f>
        <v>2020</v>
      </c>
      <c r="CQ19" s="384" t="s">
        <v>386</v>
      </c>
      <c r="CR19" s="388">
        <f ca="1">$B$290</f>
        <v>37.19</v>
      </c>
    </row>
    <row r="20" spans="2:96" ht="12" customHeight="1">
      <c r="B20" s="389">
        <v>-20</v>
      </c>
      <c r="C20" s="291">
        <v>-0.48</v>
      </c>
      <c r="D20" s="291">
        <f t="shared" ref="D20:D31" si="36">U158</f>
        <v>-0.67</v>
      </c>
      <c r="E20" s="390">
        <f t="shared" ref="E20:E31" si="37">IF(OR(C20=0,D20=0),$U$170/3,((MAX(C20:D20)-(MIN(C20:D20)))))</f>
        <v>0.19000000000000006</v>
      </c>
      <c r="F20" s="932">
        <f ca="1">IF($L$4&lt;=$B$10,$B$9,IF($L$4&lt;=$B$11,$B$10,IF($L$4&lt;=$B$12,$B$11,IF($L$4&lt;=$B$13,$B$12,IF($L$4&lt;=$B$14,$B$13)))))</f>
        <v>37</v>
      </c>
      <c r="G20" s="392"/>
      <c r="H20" s="389">
        <v>-20</v>
      </c>
      <c r="I20" s="291">
        <v>-0.69</v>
      </c>
      <c r="J20" s="291">
        <f t="shared" ref="J20:J31" si="38">V158</f>
        <v>-0.59</v>
      </c>
      <c r="K20" s="390">
        <f t="shared" ref="K20:K31" si="39">IF(OR(I20=0,J20=0),$V$170/3,((MAX(I20:J20)-(MIN(I20:J20)))))</f>
        <v>9.9999999999999978E-2</v>
      </c>
      <c r="L20" s="932">
        <f ca="1">IF($L$4&lt;=$B$10,$B$9,IF($L$4&lt;=$B$11,$B$10,IF($L$4&lt;=$B$12,$B$11,IF($L$4&lt;=$B$13,$B$12,IF($L$4&lt;=$B$14,$B$13)))))</f>
        <v>37</v>
      </c>
      <c r="M20" s="392"/>
      <c r="N20" s="389">
        <v>-20</v>
      </c>
      <c r="O20" s="291">
        <v>9.9999999999999995E-7</v>
      </c>
      <c r="P20" s="291">
        <f t="shared" ref="P20:P31" si="40">W158</f>
        <v>-0.5</v>
      </c>
      <c r="Q20" s="390">
        <f t="shared" ref="Q20:Q31" si="41">IF(OR(O20=0,P20=0),$W$170/3,((MAX(O20:P20)-(MIN(O20:P20)))))</f>
        <v>0.50000100000000003</v>
      </c>
      <c r="R20" s="932">
        <f ca="1">IF($L$4&lt;=$B$10,$B$9,IF($L$4&lt;=$B$11,$B$10,IF($L$4&lt;=$B$12,$B$11,IF($L$4&lt;=$B$13,$B$12,IF($L$4&lt;=$B$14,$B$13)))))</f>
        <v>37</v>
      </c>
      <c r="S20" s="377"/>
      <c r="T20" s="389">
        <v>-20</v>
      </c>
      <c r="U20" s="291">
        <f t="shared" ref="U20:U31" si="42">X158</f>
        <v>-1.45</v>
      </c>
      <c r="V20" s="291"/>
      <c r="W20" s="390">
        <f t="shared" ref="W20:W31" si="43">IF(OR(U20=0,V20=0),$X$170/3,((MAX(U20:V20)-(MIN(U20:V20)))))</f>
        <v>9.0000000000000011E-2</v>
      </c>
      <c r="X20" s="932">
        <f ca="1">IF($L$4&lt;=$B$10,$B$9,IF($L$4&lt;=$B$11,$B$10,IF($L$4&lt;=$B$12,$B$11,IF($L$4&lt;=$B$13,$B$12,IF($L$4&lt;=$B$14,$B$13)))))</f>
        <v>37</v>
      </c>
      <c r="Y20" s="377"/>
      <c r="Z20" s="389">
        <v>-20</v>
      </c>
      <c r="AA20" s="291">
        <f t="shared" ref="AA20:AA31" si="44">Y158</f>
        <v>0.01</v>
      </c>
      <c r="AB20" s="291">
        <v>-0.54</v>
      </c>
      <c r="AC20" s="390">
        <f t="shared" ref="AC20:AC31" si="45">IF(OR(AA20=0,AB20=0),$Y$170/3,((MAX(AA20:AB20)-(MIN(AA20:AB20)))))</f>
        <v>0.55000000000000004</v>
      </c>
      <c r="AD20" s="932">
        <f ca="1">IF($L$4&lt;=$B$10,$B$9,IF($L$4&lt;=$B$11,$B$10,IF($L$4&lt;=$B$12,$B$11,IF($L$4&lt;=$B$13,$B$12,IF($L$4&lt;=$B$14,$B$13)))))</f>
        <v>37</v>
      </c>
      <c r="AE20" s="377"/>
      <c r="AF20" s="389">
        <v>-20</v>
      </c>
      <c r="AG20" s="291">
        <f t="shared" ref="AG20:AG31" si="46">Z158</f>
        <v>0.02</v>
      </c>
      <c r="AH20" s="291">
        <v>-0.14000000000000001</v>
      </c>
      <c r="AI20" s="390">
        <f t="shared" ref="AI20:AI31" si="47">IF(OR(AG20=0,AH20=0),$Z$170/3,((MAX(AG20:AH20)-(MIN(AG20:AH20)))))</f>
        <v>0.16</v>
      </c>
      <c r="AJ20" s="932">
        <f ca="1">IF($L$4&lt;=$B$10,$B$9,IF($L$4&lt;=$B$11,$B$10,IF($L$4&lt;=$B$12,$B$11,IF($L$4&lt;=$B$13,$B$12,IF($L$4&lt;=$B$14,$B$13)))))</f>
        <v>37</v>
      </c>
      <c r="AK20" s="377"/>
      <c r="AL20" s="389">
        <v>-20</v>
      </c>
      <c r="AM20" s="291">
        <f t="shared" ref="AM20:AM31" si="48">AA158</f>
        <v>0.42</v>
      </c>
      <c r="AN20" s="291"/>
      <c r="AO20" s="390">
        <f t="shared" ref="AO20:AO31" si="49">IF(OR(AM20=0,AN20=0),$AA$170/3,((MAX(AM20:AN20)-(MIN(AM20:AN20)))))</f>
        <v>8.3333333333333329E-2</v>
      </c>
      <c r="AP20" s="932">
        <f ca="1">IF($L$4&lt;=$B$10,$B$9,IF($L$4&lt;=$B$11,$B$10,IF($L$4&lt;=$B$12,$B$11,IF($L$4&lt;=$B$13,$B$12,IF($L$4&lt;=$B$14,$B$13)))))</f>
        <v>37</v>
      </c>
      <c r="AQ20" s="377"/>
      <c r="AR20" s="389">
        <v>-20</v>
      </c>
      <c r="AS20" s="291">
        <f t="shared" ref="AS20:AS31" si="50">AB158</f>
        <v>0.3</v>
      </c>
      <c r="AT20" s="291"/>
      <c r="AU20" s="390">
        <f t="shared" ref="AU20:AU31" si="51">IF(OR(AS20=0,AT20=0),$AB$170/3,((MAX(AS20:AT20)-(MIN(AS20:AT20)))))</f>
        <v>0.08</v>
      </c>
      <c r="AV20" s="932">
        <f ca="1">IF($L$4&lt;=$B$10,$B$9,IF($L$4&lt;=$B$11,$B$10,IF($L$4&lt;=$B$12,$B$11,IF($L$4&lt;=$B$13,$B$12,IF($L$4&lt;=$B$14,$B$13)))))</f>
        <v>37</v>
      </c>
      <c r="AW20" s="377"/>
      <c r="AX20" s="389">
        <v>-20</v>
      </c>
      <c r="AY20" s="291">
        <f t="shared" ref="AY20:AY31" si="52">AC158</f>
        <v>0.62</v>
      </c>
      <c r="AZ20" s="291"/>
      <c r="BA20" s="390">
        <f t="shared" ref="BA20:BA31" si="53">IF(OR(AY20=0,AZ20=0),$AC$170/3,((MAX(AY20:AZ20)-(MIN(AY20:AZ20)))))</f>
        <v>0.26333333333333336</v>
      </c>
      <c r="BB20" s="932">
        <f ca="1">IF($L$4&lt;=$B$10,$B$9,IF($L$4&lt;=$B$11,$B$10,IF($L$4&lt;=$B$12,$B$11,IF($L$4&lt;=$B$13,$B$12,IF($L$4&lt;=$B$14,$B$13)))))</f>
        <v>37</v>
      </c>
      <c r="BC20" s="377"/>
      <c r="BD20" s="389">
        <v>-20</v>
      </c>
      <c r="BE20" s="291">
        <f t="shared" ref="BE20:BE31" si="54">AD158</f>
        <v>-0.97</v>
      </c>
      <c r="BF20" s="291"/>
      <c r="BG20" s="390">
        <f t="shared" ref="BG20:BG31" si="55">IF(OR(BE20=0,BF20=0),$AD$170/3,((MAX(BE20:BF20)-(MIN(BE20:BF20)))))</f>
        <v>9.3333333333333338E-2</v>
      </c>
      <c r="BH20" s="932">
        <f ca="1">IF($L$4&lt;=$B$10,$B$9,IF($L$4&lt;=$B$11,$B$10,IF($L$4&lt;=$B$12,$B$11,IF($L$4&lt;=$B$13,$B$12,IF($L$4&lt;=$B$14,$B$13)))))</f>
        <v>37</v>
      </c>
      <c r="BI20" s="377"/>
      <c r="BJ20" s="389">
        <v>-20</v>
      </c>
      <c r="BK20" s="291">
        <f t="shared" ref="BK20:BK31" si="56">AE158</f>
        <v>0.62</v>
      </c>
      <c r="BL20" s="291"/>
      <c r="BM20" s="390">
        <f t="shared" ref="BM20:BM31" si="57">IF(OR(BK20=0,BL20=0),$AE$170/3,((MAX(BK20:BL20)-(MIN(BK20:BL20)))))</f>
        <v>0.26333333333333336</v>
      </c>
      <c r="BN20" s="932">
        <f ca="1">IF($L$4&lt;=$B$10,$B$9,IF($L$4&lt;=$B$11,$B$10,IF($L$4&lt;=$B$12,$B$11,IF($L$4&lt;=$B$13,$B$12,IF($L$4&lt;=$B$14,$B$13)))))</f>
        <v>37</v>
      </c>
      <c r="BO20" s="377"/>
      <c r="BP20" s="389">
        <v>-20</v>
      </c>
      <c r="BQ20" s="291">
        <f t="shared" ref="BQ20:BQ31" si="58">AF158</f>
        <v>-1.29</v>
      </c>
      <c r="BR20" s="291"/>
      <c r="BS20" s="390">
        <f t="shared" ref="BS20:BS31" si="59">IF(OR(BQ20=0,BR20=0),$AF$170/3,((MAX(BQ20:BR20)-(MIN(BQ20:BR20)))))</f>
        <v>8.3333333333333329E-2</v>
      </c>
      <c r="BT20" s="932">
        <f ca="1">IF($L$4&lt;=$B$10,$B$9,IF($L$4&lt;=$B$11,$B$10,IF($L$4&lt;=$B$12,$B$11,IF($L$4&lt;=$B$13,$B$12,IF($L$4&lt;=$B$14,$B$13)))))</f>
        <v>37</v>
      </c>
      <c r="BU20" s="377"/>
      <c r="BV20" s="389">
        <v>-20</v>
      </c>
      <c r="BW20" s="291">
        <f t="shared" ref="BW20:BW31" si="60">AG158</f>
        <v>-1.45</v>
      </c>
      <c r="BX20" s="291"/>
      <c r="BY20" s="390">
        <f t="shared" ref="BY20:BY31" si="61">IF(OR(BW20=0,BX20=0),$AG$170/3,((MAX(BW20:BX20)-(MIN(BW20:BX20)))))</f>
        <v>9.0000000000000011E-2</v>
      </c>
      <c r="BZ20" s="932">
        <f ca="1">IF($L$4&lt;=$B$10,$B$9,IF($L$4&lt;=$B$11,$B$10,IF($L$4&lt;=$B$12,$B$11,IF($L$4&lt;=$B$13,$B$12,IF($L$4&lt;=$B$14,$B$13)))))</f>
        <v>37</v>
      </c>
      <c r="CA20" s="377"/>
      <c r="CB20" s="389">
        <v>-20</v>
      </c>
      <c r="CC20" s="291">
        <f t="shared" si="33"/>
        <v>-1.1000000000000001</v>
      </c>
      <c r="CD20" s="291">
        <f>CD35</f>
        <v>-0.7</v>
      </c>
      <c r="CE20" s="390">
        <f t="shared" ref="CE20:CE31" si="62">CE5</f>
        <v>0.40000000000000013</v>
      </c>
      <c r="CF20" s="932">
        <f ca="1">IF($L$4&lt;=$B$10,$B$9,IF($L$4&lt;=$B$11,$B$10,IF($L$4&lt;=$B$12,$B$11,IF($L$4&lt;=$B$13,$B$12,IF($L$4&lt;=$B$14,$B$13)))))</f>
        <v>37</v>
      </c>
      <c r="CH20" s="389">
        <v>-20</v>
      </c>
      <c r="CI20" s="291">
        <f t="shared" si="34"/>
        <v>-0.15</v>
      </c>
      <c r="CJ20" s="291">
        <f>CJ5</f>
        <v>-0.32</v>
      </c>
      <c r="CK20" s="390">
        <f t="shared" ref="CK20:CK31" si="63">CK5</f>
        <v>0.17</v>
      </c>
      <c r="CL20" s="932">
        <f ca="1">IF($L$4&lt;=$B$10,$B$9,IF($L$4&lt;=$B$11,$B$10,IF($L$4&lt;=$B$12,$B$11,IF($L$4&lt;=$B$13,$B$12,IF($L$4&lt;=$B$14,$B$13)))))</f>
        <v>37</v>
      </c>
      <c r="CN20" s="389">
        <v>-20</v>
      </c>
      <c r="CO20" s="291">
        <f t="shared" si="35"/>
        <v>-1.8</v>
      </c>
      <c r="CP20" s="291">
        <f>CP5</f>
        <v>-0.51</v>
      </c>
      <c r="CQ20" s="390">
        <f t="shared" ref="CQ20:CQ31" si="64">CQ5</f>
        <v>1.29</v>
      </c>
      <c r="CR20" s="932">
        <f ca="1">IF($L$4&lt;=$B$10,$B$9,IF($L$4&lt;=$B$11,$B$10,IF($L$4&lt;=$B$12,$B$11,IF($L$4&lt;=$B$13,$B$12,IF($L$4&lt;=$B$14,$B$13)))))</f>
        <v>37</v>
      </c>
    </row>
    <row r="21" spans="2:96" ht="12" customHeight="1">
      <c r="B21" s="389">
        <v>-15</v>
      </c>
      <c r="C21" s="291">
        <v>-0.4</v>
      </c>
      <c r="D21" s="291">
        <f t="shared" si="36"/>
        <v>-0.57999999999999996</v>
      </c>
      <c r="E21" s="390">
        <f t="shared" si="37"/>
        <v>0.17999999999999994</v>
      </c>
      <c r="F21" s="391"/>
      <c r="G21" s="392"/>
      <c r="H21" s="389">
        <v>-15</v>
      </c>
      <c r="I21" s="291">
        <v>-0.56000000000000005</v>
      </c>
      <c r="J21" s="291">
        <f t="shared" si="38"/>
        <v>-0.51</v>
      </c>
      <c r="K21" s="390">
        <f t="shared" si="39"/>
        <v>5.0000000000000044E-2</v>
      </c>
      <c r="L21" s="391"/>
      <c r="M21" s="392"/>
      <c r="N21" s="389">
        <v>-15</v>
      </c>
      <c r="O21" s="291">
        <v>-0.44</v>
      </c>
      <c r="P21" s="291">
        <f t="shared" si="40"/>
        <v>-0.41</v>
      </c>
      <c r="Q21" s="390">
        <f t="shared" si="41"/>
        <v>3.0000000000000027E-2</v>
      </c>
      <c r="R21" s="391"/>
      <c r="S21" s="377"/>
      <c r="T21" s="389">
        <v>-15</v>
      </c>
      <c r="U21" s="291">
        <f t="shared" si="42"/>
        <v>-1.23</v>
      </c>
      <c r="V21" s="291"/>
      <c r="W21" s="390">
        <f t="shared" si="43"/>
        <v>9.0000000000000011E-2</v>
      </c>
      <c r="X21" s="391"/>
      <c r="Y21" s="377"/>
      <c r="Z21" s="389">
        <v>-15</v>
      </c>
      <c r="AA21" s="291">
        <f t="shared" si="44"/>
        <v>0.05</v>
      </c>
      <c r="AB21" s="291">
        <v>9.9999999999999995E-7</v>
      </c>
      <c r="AC21" s="390">
        <f t="shared" si="45"/>
        <v>4.9999000000000002E-2</v>
      </c>
      <c r="AD21" s="391"/>
      <c r="AE21" s="377"/>
      <c r="AF21" s="389">
        <v>-15</v>
      </c>
      <c r="AG21" s="291">
        <f t="shared" si="46"/>
        <v>0.05</v>
      </c>
      <c r="AH21" s="291">
        <v>9.9999999999999995E-7</v>
      </c>
      <c r="AI21" s="390">
        <f t="shared" si="47"/>
        <v>4.9999000000000002E-2</v>
      </c>
      <c r="AJ21" s="391"/>
      <c r="AK21" s="377"/>
      <c r="AL21" s="389">
        <v>-15</v>
      </c>
      <c r="AM21" s="291">
        <f t="shared" si="48"/>
        <v>0.44</v>
      </c>
      <c r="AN21" s="291"/>
      <c r="AO21" s="390">
        <f t="shared" si="49"/>
        <v>8.3333333333333329E-2</v>
      </c>
      <c r="AP21" s="391"/>
      <c r="AQ21" s="377"/>
      <c r="AR21" s="389">
        <v>-15</v>
      </c>
      <c r="AS21" s="291">
        <f t="shared" si="50"/>
        <v>0.33</v>
      </c>
      <c r="AT21" s="291"/>
      <c r="AU21" s="390">
        <f t="shared" si="51"/>
        <v>0.08</v>
      </c>
      <c r="AV21" s="391"/>
      <c r="AW21" s="377"/>
      <c r="AX21" s="389">
        <v>-15</v>
      </c>
      <c r="AY21" s="291">
        <f t="shared" si="52"/>
        <v>9.9999999999999995E-7</v>
      </c>
      <c r="AZ21" s="291"/>
      <c r="BA21" s="390">
        <f t="shared" si="53"/>
        <v>0.26333333333333336</v>
      </c>
      <c r="BB21" s="391"/>
      <c r="BC21" s="377"/>
      <c r="BD21" s="389">
        <v>-15</v>
      </c>
      <c r="BE21" s="291">
        <f t="shared" si="54"/>
        <v>-0.72</v>
      </c>
      <c r="BF21" s="291"/>
      <c r="BG21" s="390">
        <f t="shared" si="55"/>
        <v>9.3333333333333338E-2</v>
      </c>
      <c r="BH21" s="391"/>
      <c r="BI21" s="377"/>
      <c r="BJ21" s="389">
        <v>-15</v>
      </c>
      <c r="BK21" s="291">
        <f t="shared" si="56"/>
        <v>9.9999999999999995E-7</v>
      </c>
      <c r="BL21" s="291"/>
      <c r="BM21" s="390">
        <f t="shared" si="57"/>
        <v>0.26333333333333336</v>
      </c>
      <c r="BN21" s="391"/>
      <c r="BO21" s="377"/>
      <c r="BP21" s="389">
        <v>-15</v>
      </c>
      <c r="BQ21" s="291">
        <f t="shared" si="58"/>
        <v>-1.04</v>
      </c>
      <c r="BR21" s="291"/>
      <c r="BS21" s="390">
        <f t="shared" si="59"/>
        <v>8.3333333333333329E-2</v>
      </c>
      <c r="BT21" s="391"/>
      <c r="BU21" s="377"/>
      <c r="BV21" s="389">
        <v>-15</v>
      </c>
      <c r="BW21" s="291">
        <f t="shared" si="60"/>
        <v>-1.18</v>
      </c>
      <c r="BX21" s="291"/>
      <c r="BY21" s="390">
        <f t="shared" si="61"/>
        <v>9.0000000000000011E-2</v>
      </c>
      <c r="BZ21" s="391"/>
      <c r="CA21" s="377"/>
      <c r="CB21" s="389">
        <v>-15</v>
      </c>
      <c r="CC21" s="291">
        <f t="shared" si="33"/>
        <v>-1.1000000000000001</v>
      </c>
      <c r="CD21" s="291">
        <f t="shared" ref="CD21:CD31" si="65">CD36</f>
        <v>-0.7</v>
      </c>
      <c r="CE21" s="390">
        <f t="shared" si="62"/>
        <v>0.40000000000000013</v>
      </c>
      <c r="CF21" s="391"/>
      <c r="CH21" s="389">
        <v>-15</v>
      </c>
      <c r="CI21" s="291">
        <f t="shared" si="34"/>
        <v>-0.1</v>
      </c>
      <c r="CJ21" s="291">
        <f t="shared" si="34"/>
        <v>-0.24</v>
      </c>
      <c r="CK21" s="390">
        <f t="shared" si="63"/>
        <v>0.13999999999999999</v>
      </c>
      <c r="CL21" s="391"/>
      <c r="CN21" s="389">
        <v>-15</v>
      </c>
      <c r="CO21" s="291">
        <f t="shared" si="35"/>
        <v>-1.52</v>
      </c>
      <c r="CP21" s="291">
        <f t="shared" si="35"/>
        <v>-0.39</v>
      </c>
      <c r="CQ21" s="390">
        <f t="shared" si="64"/>
        <v>1.1299999999999999</v>
      </c>
      <c r="CR21" s="391"/>
    </row>
    <row r="22" spans="2:96" ht="12" customHeight="1">
      <c r="B22" s="389">
        <v>-10</v>
      </c>
      <c r="C22" s="291">
        <v>-0.33</v>
      </c>
      <c r="D22" s="291">
        <f t="shared" si="36"/>
        <v>-0.5</v>
      </c>
      <c r="E22" s="390">
        <f t="shared" si="37"/>
        <v>0.16999999999999998</v>
      </c>
      <c r="F22" s="932">
        <f ca="1">IF($L$4&lt;=$B$9,$B$9,IF($L$4&lt;=$B$10,$B$10,IF($L$4&lt;=$B$11,$B$11,IF($L$4&lt;=$B$12,$B$12,IF($L$4&lt;=$B$13,$B$13,IF($L$4&lt;=$B$14,$B$14))))))</f>
        <v>44</v>
      </c>
      <c r="G22" s="392"/>
      <c r="H22" s="389">
        <v>-10</v>
      </c>
      <c r="I22" s="291">
        <v>0</v>
      </c>
      <c r="J22" s="291">
        <f t="shared" si="38"/>
        <v>-0.42</v>
      </c>
      <c r="K22" s="390">
        <f t="shared" si="39"/>
        <v>0.18666666666666668</v>
      </c>
      <c r="L22" s="932">
        <f ca="1">IF($L$4&lt;=$B$9,$B$9,IF($L$4&lt;=$B$10,$B$10,IF($L$4&lt;=$B$11,$B$11,IF($L$4&lt;=$B$12,$B$12,IF($L$4&lt;=$B$13,$B$13,IF($L$4&lt;=$B$14,$B$14))))))</f>
        <v>44</v>
      </c>
      <c r="M22" s="392"/>
      <c r="N22" s="389">
        <v>-10</v>
      </c>
      <c r="O22" s="291">
        <v>-0.34</v>
      </c>
      <c r="P22" s="291">
        <f t="shared" si="40"/>
        <v>-0.34</v>
      </c>
      <c r="Q22" s="390">
        <f t="shared" si="41"/>
        <v>0</v>
      </c>
      <c r="R22" s="932">
        <f ca="1">IF($L$4&lt;=$B$9,$B$9,IF($L$4&lt;=$B$10,$B$10,IF($L$4&lt;=$B$11,$B$11,IF($L$4&lt;=$B$12,$B$12,IF($L$4&lt;=$B$13,$B$13,IF($L$4&lt;=$B$14,$B$14))))))</f>
        <v>44</v>
      </c>
      <c r="S22" s="396"/>
      <c r="T22" s="389">
        <v>-10</v>
      </c>
      <c r="U22" s="291">
        <f t="shared" si="42"/>
        <v>-0.99</v>
      </c>
      <c r="V22" s="291"/>
      <c r="W22" s="390">
        <f t="shared" si="43"/>
        <v>9.0000000000000011E-2</v>
      </c>
      <c r="X22" s="932">
        <f ca="1">IF($L$4&lt;=$B$9,$B$9,IF($L$4&lt;=$B$10,$B$10,IF($L$4&lt;=$B$11,$B$11,IF($L$4&lt;=$B$12,$B$12,IF($L$4&lt;=$B$13,$B$13,IF($L$4&lt;=$B$14,$B$14))))))</f>
        <v>44</v>
      </c>
      <c r="Y22" s="396"/>
      <c r="Z22" s="389">
        <v>-10</v>
      </c>
      <c r="AA22" s="291">
        <f t="shared" si="44"/>
        <v>0.08</v>
      </c>
      <c r="AB22" s="291">
        <v>-0.28000000000000003</v>
      </c>
      <c r="AC22" s="390">
        <f t="shared" si="45"/>
        <v>0.36000000000000004</v>
      </c>
      <c r="AD22" s="932">
        <f ca="1">IF($L$4&lt;=$B$9,$B$9,IF($L$4&lt;=$B$10,$B$10,IF($L$4&lt;=$B$11,$B$11,IF($L$4&lt;=$B$12,$B$12,IF($L$4&lt;=$B$13,$B$13,IF($L$4&lt;=$B$14,$B$14))))))</f>
        <v>44</v>
      </c>
      <c r="AE22" s="396"/>
      <c r="AF22" s="389">
        <v>-10</v>
      </c>
      <c r="AG22" s="291">
        <f t="shared" si="46"/>
        <v>0.08</v>
      </c>
      <c r="AH22" s="291">
        <v>0.1</v>
      </c>
      <c r="AI22" s="390">
        <f t="shared" si="47"/>
        <v>2.0000000000000004E-2</v>
      </c>
      <c r="AJ22" s="932">
        <f ca="1">IF($L$4&lt;=$B$9,$B$9,IF($L$4&lt;=$B$10,$B$10,IF($L$4&lt;=$B$11,$B$11,IF($L$4&lt;=$B$12,$B$12,IF($L$4&lt;=$B$13,$B$13,IF($L$4&lt;=$B$14,$B$14))))))</f>
        <v>44</v>
      </c>
      <c r="AK22" s="396"/>
      <c r="AL22" s="389">
        <v>-10</v>
      </c>
      <c r="AM22" s="291">
        <f t="shared" si="48"/>
        <v>0.44</v>
      </c>
      <c r="AN22" s="291"/>
      <c r="AO22" s="390">
        <f t="shared" si="49"/>
        <v>8.3333333333333329E-2</v>
      </c>
      <c r="AP22" s="932">
        <f ca="1">IF($L$4&lt;=$B$9,$B$9,IF($L$4&lt;=$B$10,$B$10,IF($L$4&lt;=$B$11,$B$11,IF($L$4&lt;=$B$12,$B$12,IF($L$4&lt;=$B$13,$B$13,IF($L$4&lt;=$B$14,$B$14))))))</f>
        <v>44</v>
      </c>
      <c r="AQ22" s="377"/>
      <c r="AR22" s="389">
        <v>-10</v>
      </c>
      <c r="AS22" s="291">
        <f t="shared" si="50"/>
        <v>0.35</v>
      </c>
      <c r="AT22" s="291"/>
      <c r="AU22" s="390">
        <f t="shared" si="51"/>
        <v>0.08</v>
      </c>
      <c r="AV22" s="932">
        <f ca="1">IF($L$4&lt;=$B$9,$B$9,IF($L$4&lt;=$B$10,$B$10,IF($L$4&lt;=$B$11,$B$11,IF($L$4&lt;=$B$12,$B$12,IF($L$4&lt;=$B$13,$B$13,IF($L$4&lt;=$B$14,$B$14))))))</f>
        <v>44</v>
      </c>
      <c r="AW22" s="377"/>
      <c r="AX22" s="389">
        <v>-10</v>
      </c>
      <c r="AY22" s="291">
        <f t="shared" si="52"/>
        <v>0.59</v>
      </c>
      <c r="AZ22" s="291"/>
      <c r="BA22" s="390">
        <f t="shared" si="53"/>
        <v>0.26333333333333336</v>
      </c>
      <c r="BB22" s="932">
        <f ca="1">IF($L$4&lt;=$B$9,$B$9,IF($L$4&lt;=$B$10,$B$10,IF($L$4&lt;=$B$11,$B$11,IF($L$4&lt;=$B$12,$B$12,IF($L$4&lt;=$B$13,$B$13,IF($L$4&lt;=$B$14,$B$14))))))</f>
        <v>44</v>
      </c>
      <c r="BC22" s="377"/>
      <c r="BD22" s="389">
        <v>-10</v>
      </c>
      <c r="BE22" s="291">
        <f t="shared" si="54"/>
        <v>-0.52</v>
      </c>
      <c r="BF22" s="291"/>
      <c r="BG22" s="390">
        <f t="shared" si="55"/>
        <v>9.3333333333333338E-2</v>
      </c>
      <c r="BH22" s="932">
        <f ca="1">IF($L$4&lt;=$B$9,$B$9,IF($L$4&lt;=$B$10,$B$10,IF($L$4&lt;=$B$11,$B$11,IF($L$4&lt;=$B$12,$B$12,IF($L$4&lt;=$B$13,$B$13,IF($L$4&lt;=$B$14,$B$14))))))</f>
        <v>44</v>
      </c>
      <c r="BI22" s="377"/>
      <c r="BJ22" s="389">
        <v>-10</v>
      </c>
      <c r="BK22" s="291">
        <f t="shared" si="56"/>
        <v>0.59</v>
      </c>
      <c r="BL22" s="291"/>
      <c r="BM22" s="390">
        <f t="shared" si="57"/>
        <v>0.26333333333333336</v>
      </c>
      <c r="BN22" s="932">
        <f ca="1">IF($L$4&lt;=$B$9,$B$9,IF($L$4&lt;=$B$10,$B$10,IF($L$4&lt;=$B$11,$B$11,IF($L$4&lt;=$B$12,$B$12,IF($L$4&lt;=$B$13,$B$13,IF($L$4&lt;=$B$14,$B$14))))))</f>
        <v>44</v>
      </c>
      <c r="BO22" s="377"/>
      <c r="BP22" s="389">
        <v>-10</v>
      </c>
      <c r="BQ22" s="291">
        <f t="shared" si="58"/>
        <v>-0.83</v>
      </c>
      <c r="BR22" s="291"/>
      <c r="BS22" s="390">
        <f t="shared" si="59"/>
        <v>8.3333333333333329E-2</v>
      </c>
      <c r="BT22" s="932">
        <f ca="1">IF($L$4&lt;=$B$9,$B$9,IF($L$4&lt;=$B$10,$B$10,IF($L$4&lt;=$B$11,$B$11,IF($L$4&lt;=$B$12,$B$12,IF($L$4&lt;=$B$13,$B$13,IF($L$4&lt;=$B$14,$B$14))))))</f>
        <v>44</v>
      </c>
      <c r="BU22" s="377"/>
      <c r="BV22" s="389">
        <v>-10</v>
      </c>
      <c r="BW22" s="291">
        <f t="shared" si="60"/>
        <v>-0.94</v>
      </c>
      <c r="BX22" s="291"/>
      <c r="BY22" s="390">
        <f t="shared" si="61"/>
        <v>9.0000000000000011E-2</v>
      </c>
      <c r="BZ22" s="932">
        <f ca="1">IF($L$4&lt;=$B$9,$B$9,IF($L$4&lt;=$B$10,$B$10,IF($L$4&lt;=$B$11,$B$11,IF($L$4&lt;=$B$12,$B$12,IF($L$4&lt;=$B$13,$B$13,IF($L$4&lt;=$B$14,$B$14))))))</f>
        <v>44</v>
      </c>
      <c r="CA22" s="377"/>
      <c r="CB22" s="389">
        <v>-10</v>
      </c>
      <c r="CC22" s="291">
        <f t="shared" si="33"/>
        <v>-1.2</v>
      </c>
      <c r="CD22" s="291">
        <f t="shared" si="65"/>
        <v>-0.7</v>
      </c>
      <c r="CE22" s="390">
        <f t="shared" si="62"/>
        <v>0.5</v>
      </c>
      <c r="CF22" s="932">
        <f ca="1">IF($L$4&lt;=$B$9,$B$9,IF($L$4&lt;=$B$10,$B$10,IF($L$4&lt;=$B$11,$B$11,IF($L$4&lt;=$B$12,$B$12,IF($L$4&lt;=$B$13,$B$13,IF($L$4&lt;=$B$14,$B$14))))))</f>
        <v>44</v>
      </c>
      <c r="CH22" s="389">
        <v>-10</v>
      </c>
      <c r="CI22" s="291">
        <f t="shared" si="34"/>
        <v>-0.05</v>
      </c>
      <c r="CJ22" s="291">
        <f t="shared" si="34"/>
        <v>-0.18</v>
      </c>
      <c r="CK22" s="390">
        <f t="shared" si="63"/>
        <v>0.13</v>
      </c>
      <c r="CL22" s="932">
        <f ca="1">IF($L$4&lt;=$B$9,$B$9,IF($L$4&lt;=$B$10,$B$10,IF($L$4&lt;=$B$11,$B$11,IF($L$4&lt;=$B$12,$B$12,IF($L$4&lt;=$B$13,$B$13,IF($L$4&lt;=$B$14,$B$14))))))</f>
        <v>44</v>
      </c>
      <c r="CN22" s="389">
        <v>-10</v>
      </c>
      <c r="CO22" s="291">
        <f t="shared" si="35"/>
        <v>-1.26</v>
      </c>
      <c r="CP22" s="291">
        <f t="shared" si="35"/>
        <v>-0.28000000000000003</v>
      </c>
      <c r="CQ22" s="390">
        <f t="shared" si="64"/>
        <v>0.98</v>
      </c>
      <c r="CR22" s="932">
        <f ca="1">IF($L$4&lt;=$B$9,$B$9,IF($L$4&lt;=$B$10,$B$10,IF($L$4&lt;=$B$11,$B$11,IF($L$4&lt;=$B$12,$B$12,IF($L$4&lt;=$B$13,$B$13,IF($L$4&lt;=$B$14,$B$14))))))</f>
        <v>44</v>
      </c>
    </row>
    <row r="23" spans="2:96" ht="13">
      <c r="B23" s="389">
        <v>9.9999999999999995E-7</v>
      </c>
      <c r="C23" s="291">
        <v>-0.2</v>
      </c>
      <c r="D23" s="291">
        <f t="shared" si="36"/>
        <v>-0.34</v>
      </c>
      <c r="E23" s="390">
        <f t="shared" si="37"/>
        <v>0.14000000000000001</v>
      </c>
      <c r="F23" s="391"/>
      <c r="G23" s="392"/>
      <c r="H23" s="389">
        <v>9.9999999999999995E-7</v>
      </c>
      <c r="I23" s="291">
        <v>-0.25</v>
      </c>
      <c r="J23" s="291">
        <f t="shared" si="38"/>
        <v>-0.26</v>
      </c>
      <c r="K23" s="390">
        <f t="shared" si="39"/>
        <v>1.0000000000000009E-2</v>
      </c>
      <c r="L23" s="391"/>
      <c r="M23" s="392"/>
      <c r="N23" s="389">
        <v>9.9999999999999995E-7</v>
      </c>
      <c r="O23" s="291">
        <v>-0.32</v>
      </c>
      <c r="P23" s="291">
        <f t="shared" si="40"/>
        <v>-0.21</v>
      </c>
      <c r="Q23" s="390">
        <f t="shared" si="41"/>
        <v>0.11000000000000001</v>
      </c>
      <c r="R23" s="391"/>
      <c r="S23" s="393"/>
      <c r="T23" s="389">
        <v>9.9999999999999995E-7</v>
      </c>
      <c r="U23" s="291">
        <f t="shared" si="42"/>
        <v>-0.34</v>
      </c>
      <c r="V23" s="291"/>
      <c r="W23" s="390">
        <f t="shared" si="43"/>
        <v>9.0000000000000011E-2</v>
      </c>
      <c r="X23" s="391"/>
      <c r="Y23" s="393"/>
      <c r="Z23" s="389">
        <v>9.9999999999999995E-7</v>
      </c>
      <c r="AA23" s="291">
        <f t="shared" si="44"/>
        <v>0.05</v>
      </c>
      <c r="AB23" s="291">
        <v>-0.06</v>
      </c>
      <c r="AC23" s="390">
        <f t="shared" si="45"/>
        <v>0.11</v>
      </c>
      <c r="AD23" s="391"/>
      <c r="AE23" s="393"/>
      <c r="AF23" s="389">
        <v>9.9999999999999995E-7</v>
      </c>
      <c r="AG23" s="291">
        <f t="shared" si="46"/>
        <v>0.06</v>
      </c>
      <c r="AH23" s="291">
        <v>0.28999999999999998</v>
      </c>
      <c r="AI23" s="390">
        <f t="shared" si="47"/>
        <v>0.22999999999999998</v>
      </c>
      <c r="AJ23" s="391"/>
      <c r="AK23" s="393"/>
      <c r="AL23" s="389">
        <v>9.9999999999999995E-7</v>
      </c>
      <c r="AM23" s="291">
        <f t="shared" si="48"/>
        <v>0.38</v>
      </c>
      <c r="AN23" s="291"/>
      <c r="AO23" s="390">
        <f t="shared" si="49"/>
        <v>8.3333333333333329E-2</v>
      </c>
      <c r="AP23" s="391"/>
      <c r="AQ23" s="377"/>
      <c r="AR23" s="389">
        <v>9.9999999999999995E-7</v>
      </c>
      <c r="AS23" s="291">
        <f t="shared" si="50"/>
        <v>0.35</v>
      </c>
      <c r="AT23" s="291"/>
      <c r="AU23" s="390">
        <f t="shared" si="51"/>
        <v>0.08</v>
      </c>
      <c r="AV23" s="391"/>
      <c r="AW23" s="377"/>
      <c r="AX23" s="389">
        <v>9.9999999999999995E-7</v>
      </c>
      <c r="AY23" s="291">
        <f t="shared" si="52"/>
        <v>0.56000000000000005</v>
      </c>
      <c r="AZ23" s="291"/>
      <c r="BA23" s="390">
        <f t="shared" si="53"/>
        <v>0.26333333333333336</v>
      </c>
      <c r="BB23" s="391"/>
      <c r="BC23" s="377"/>
      <c r="BD23" s="389">
        <v>9.9999999999999995E-7</v>
      </c>
      <c r="BE23" s="291">
        <f t="shared" si="54"/>
        <v>-0.28000000000000003</v>
      </c>
      <c r="BF23" s="291"/>
      <c r="BG23" s="390">
        <f t="shared" si="55"/>
        <v>9.3333333333333338E-2</v>
      </c>
      <c r="BH23" s="391"/>
      <c r="BI23" s="377"/>
      <c r="BJ23" s="389">
        <v>9.9999999999999995E-7</v>
      </c>
      <c r="BK23" s="291">
        <f t="shared" si="56"/>
        <v>0.56000000000000005</v>
      </c>
      <c r="BL23" s="291"/>
      <c r="BM23" s="390">
        <f t="shared" si="57"/>
        <v>0.26333333333333336</v>
      </c>
      <c r="BN23" s="391"/>
      <c r="BO23" s="377"/>
      <c r="BP23" s="389">
        <v>9.9999999999999995E-7</v>
      </c>
      <c r="BQ23" s="291">
        <f t="shared" si="58"/>
        <v>-0.56999999999999995</v>
      </c>
      <c r="BR23" s="291"/>
      <c r="BS23" s="390">
        <f t="shared" si="59"/>
        <v>8.3333333333333329E-2</v>
      </c>
      <c r="BT23" s="391"/>
      <c r="BU23" s="377"/>
      <c r="BV23" s="389">
        <v>9.9999999999999995E-7</v>
      </c>
      <c r="BW23" s="291">
        <f t="shared" si="60"/>
        <v>-0.56000000000000005</v>
      </c>
      <c r="BX23" s="291"/>
      <c r="BY23" s="390">
        <f t="shared" si="61"/>
        <v>9.0000000000000011E-2</v>
      </c>
      <c r="BZ23" s="391"/>
      <c r="CA23" s="377"/>
      <c r="CB23" s="389">
        <v>9.9999999999999995E-7</v>
      </c>
      <c r="CC23" s="291">
        <f t="shared" si="33"/>
        <v>-1.4</v>
      </c>
      <c r="CD23" s="291">
        <f t="shared" si="65"/>
        <v>-0.7</v>
      </c>
      <c r="CE23" s="390">
        <f t="shared" si="62"/>
        <v>0.7</v>
      </c>
      <c r="CF23" s="391"/>
      <c r="CH23" s="389">
        <v>9.9999999999999995E-7</v>
      </c>
      <c r="CI23" s="291">
        <f t="shared" si="34"/>
        <v>0.03</v>
      </c>
      <c r="CJ23" s="291">
        <f t="shared" si="34"/>
        <v>-0.06</v>
      </c>
      <c r="CK23" s="390">
        <f t="shared" si="63"/>
        <v>0.09</v>
      </c>
      <c r="CL23" s="391"/>
      <c r="CN23" s="389">
        <v>9.9999999999999995E-7</v>
      </c>
      <c r="CO23" s="291">
        <f t="shared" si="35"/>
        <v>-0.79</v>
      </c>
      <c r="CP23" s="291">
        <f t="shared" si="35"/>
        <v>-0.08</v>
      </c>
      <c r="CQ23" s="390">
        <f t="shared" si="64"/>
        <v>0.71000000000000008</v>
      </c>
      <c r="CR23" s="391"/>
    </row>
    <row r="24" spans="2:96" ht="13">
      <c r="B24" s="389">
        <v>2</v>
      </c>
      <c r="C24" s="291">
        <v>-0.18</v>
      </c>
      <c r="D24" s="291">
        <f t="shared" si="36"/>
        <v>-0.31</v>
      </c>
      <c r="E24" s="390">
        <f t="shared" si="37"/>
        <v>0.13</v>
      </c>
      <c r="F24" s="933">
        <f ca="1">VLOOKUP(F20,B24:E29,4)</f>
        <v>0.08</v>
      </c>
      <c r="G24" s="392"/>
      <c r="H24" s="389">
        <v>2</v>
      </c>
      <c r="I24" s="291">
        <v>-0.22</v>
      </c>
      <c r="J24" s="291">
        <f t="shared" si="38"/>
        <v>-0.23</v>
      </c>
      <c r="K24" s="390">
        <f t="shared" si="39"/>
        <v>1.0000000000000009E-2</v>
      </c>
      <c r="L24" s="933">
        <f ca="1">VLOOKUP(L20,H24:K29,4)</f>
        <v>0.09</v>
      </c>
      <c r="M24" s="392"/>
      <c r="N24" s="389">
        <v>2</v>
      </c>
      <c r="O24" s="291">
        <v>-0.32</v>
      </c>
      <c r="P24" s="291">
        <f t="shared" si="40"/>
        <v>-0.19</v>
      </c>
      <c r="Q24" s="390">
        <f t="shared" si="41"/>
        <v>0.13</v>
      </c>
      <c r="R24" s="933">
        <f ca="1">VLOOKUP(R20,N24:Q29,4)</f>
        <v>0.18000000000000002</v>
      </c>
      <c r="S24" s="396"/>
      <c r="T24" s="389">
        <v>2</v>
      </c>
      <c r="U24" s="291">
        <f t="shared" si="42"/>
        <v>-0.62</v>
      </c>
      <c r="V24" s="291"/>
      <c r="W24" s="390">
        <f t="shared" si="43"/>
        <v>9.0000000000000011E-2</v>
      </c>
      <c r="X24" s="933">
        <f ca="1">VLOOKUP(X20,T24:W29,4)</f>
        <v>9.0000000000000011E-2</v>
      </c>
      <c r="Y24" s="396"/>
      <c r="Z24" s="389">
        <v>2</v>
      </c>
      <c r="AA24" s="291">
        <f t="shared" si="44"/>
        <v>7.0000000000000007E-2</v>
      </c>
      <c r="AB24" s="291">
        <v>-0.02</v>
      </c>
      <c r="AC24" s="390">
        <f t="shared" si="45"/>
        <v>9.0000000000000011E-2</v>
      </c>
      <c r="AD24" s="933">
        <f ca="1">VLOOKUP(AD20,Z24:AC29,4)</f>
        <v>0.38999999999999996</v>
      </c>
      <c r="AE24" s="396"/>
      <c r="AF24" s="389">
        <v>2</v>
      </c>
      <c r="AG24" s="291">
        <f t="shared" si="46"/>
        <v>0.08</v>
      </c>
      <c r="AH24" s="291">
        <v>0.33</v>
      </c>
      <c r="AI24" s="390">
        <f t="shared" si="47"/>
        <v>0.25</v>
      </c>
      <c r="AJ24" s="933">
        <f ca="1">VLOOKUP(AJ20,AF24:AI29,4)</f>
        <v>0.6</v>
      </c>
      <c r="AK24" s="396"/>
      <c r="AL24" s="389">
        <v>2</v>
      </c>
      <c r="AM24" s="291">
        <f t="shared" si="48"/>
        <v>0.41</v>
      </c>
      <c r="AN24" s="291"/>
      <c r="AO24" s="390">
        <f t="shared" si="49"/>
        <v>8.3333333333333329E-2</v>
      </c>
      <c r="AP24" s="933">
        <f ca="1">VLOOKUP(AP20,AL24:AO29,4)</f>
        <v>8.3333333333333329E-2</v>
      </c>
      <c r="AQ24" s="377"/>
      <c r="AR24" s="389">
        <v>2</v>
      </c>
      <c r="AS24" s="291">
        <f t="shared" si="50"/>
        <v>0.36</v>
      </c>
      <c r="AT24" s="291"/>
      <c r="AU24" s="390">
        <f t="shared" si="51"/>
        <v>0.08</v>
      </c>
      <c r="AV24" s="933">
        <f ca="1">VLOOKUP(AV20,AR24:AU29,4)</f>
        <v>0.08</v>
      </c>
      <c r="AW24" s="377"/>
      <c r="AX24" s="389">
        <v>2</v>
      </c>
      <c r="AY24" s="291">
        <f t="shared" si="52"/>
        <v>0.55000000000000004</v>
      </c>
      <c r="AZ24" s="291"/>
      <c r="BA24" s="390">
        <f t="shared" si="53"/>
        <v>0.26333333333333336</v>
      </c>
      <c r="BB24" s="933">
        <f ca="1">VLOOKUP(BB20,AX24:BA29,4)</f>
        <v>0.26333333333333336</v>
      </c>
      <c r="BC24" s="377"/>
      <c r="BD24" s="389">
        <v>2</v>
      </c>
      <c r="BE24" s="291">
        <f t="shared" si="54"/>
        <v>-0.41</v>
      </c>
      <c r="BF24" s="291"/>
      <c r="BG24" s="390">
        <f t="shared" si="55"/>
        <v>9.3333333333333338E-2</v>
      </c>
      <c r="BH24" s="933">
        <f ca="1">VLOOKUP(BH20,BD24:BG29,4)</f>
        <v>9.3333333333333338E-2</v>
      </c>
      <c r="BI24" s="377"/>
      <c r="BJ24" s="389">
        <v>2</v>
      </c>
      <c r="BK24" s="291">
        <f t="shared" si="56"/>
        <v>0.55000000000000004</v>
      </c>
      <c r="BL24" s="291"/>
      <c r="BM24" s="390">
        <f t="shared" si="57"/>
        <v>0.26333333333333336</v>
      </c>
      <c r="BN24" s="933">
        <f ca="1">VLOOKUP(BN20,BJ24:BM29,4)</f>
        <v>0.26333333333333336</v>
      </c>
      <c r="BO24" s="377"/>
      <c r="BP24" s="389">
        <v>2</v>
      </c>
      <c r="BQ24" s="291">
        <f t="shared" si="58"/>
        <v>-0.57999999999999996</v>
      </c>
      <c r="BR24" s="291"/>
      <c r="BS24" s="390">
        <f t="shared" si="59"/>
        <v>8.3333333333333329E-2</v>
      </c>
      <c r="BT24" s="933">
        <f ca="1">VLOOKUP(BT20,BP24:BS29,4)</f>
        <v>8.3333333333333329E-2</v>
      </c>
      <c r="BU24" s="377"/>
      <c r="BV24" s="389">
        <v>2</v>
      </c>
      <c r="BW24" s="291">
        <f t="shared" si="60"/>
        <v>-0.64</v>
      </c>
      <c r="BX24" s="291"/>
      <c r="BY24" s="390">
        <f t="shared" si="61"/>
        <v>9.0000000000000011E-2</v>
      </c>
      <c r="BZ24" s="933">
        <f ca="1">VLOOKUP(BZ20,BV24:BY29,4)</f>
        <v>9.0000000000000011E-2</v>
      </c>
      <c r="CA24" s="377"/>
      <c r="CB24" s="389">
        <v>2</v>
      </c>
      <c r="CC24" s="291">
        <f t="shared" si="33"/>
        <v>0</v>
      </c>
      <c r="CD24" s="291">
        <f t="shared" si="65"/>
        <v>-0.7</v>
      </c>
      <c r="CE24" s="390">
        <f t="shared" si="62"/>
        <v>0.19999999999999998</v>
      </c>
      <c r="CF24" s="933">
        <f ca="1">VLOOKUP(CF20,CB24:CE29,4)</f>
        <v>0.19999999999999998</v>
      </c>
      <c r="CH24" s="389">
        <v>2</v>
      </c>
      <c r="CI24" s="291">
        <f t="shared" si="34"/>
        <v>0.04</v>
      </c>
      <c r="CJ24" s="291">
        <f t="shared" si="34"/>
        <v>-0.04</v>
      </c>
      <c r="CK24" s="390">
        <f t="shared" si="63"/>
        <v>0.08</v>
      </c>
      <c r="CL24" s="933">
        <f ca="1">VLOOKUP(CL20,CH24:CK29,4)</f>
        <v>4.0000000000000008E-2</v>
      </c>
      <c r="CN24" s="389">
        <v>2</v>
      </c>
      <c r="CO24" s="291">
        <f t="shared" si="35"/>
        <v>-0.7</v>
      </c>
      <c r="CP24" s="291">
        <f t="shared" si="35"/>
        <v>-0.05</v>
      </c>
      <c r="CQ24" s="390">
        <f t="shared" si="64"/>
        <v>0.64999999999999991</v>
      </c>
      <c r="CR24" s="933">
        <f ca="1">VLOOKUP(CR20,CN24:CQ29,4)</f>
        <v>3.0000000000000027E-2</v>
      </c>
    </row>
    <row r="25" spans="2:96" ht="13">
      <c r="B25" s="389">
        <v>8</v>
      </c>
      <c r="C25" s="291">
        <v>-0.11</v>
      </c>
      <c r="D25" s="291">
        <f t="shared" si="36"/>
        <v>-0.22</v>
      </c>
      <c r="E25" s="390">
        <f t="shared" si="37"/>
        <v>0.11</v>
      </c>
      <c r="F25" s="391"/>
      <c r="G25" s="392"/>
      <c r="H25" s="389">
        <v>8</v>
      </c>
      <c r="I25" s="291">
        <v>-0.13</v>
      </c>
      <c r="J25" s="291">
        <f t="shared" si="38"/>
        <v>-0.14000000000000001</v>
      </c>
      <c r="K25" s="390">
        <f t="shared" si="39"/>
        <v>1.0000000000000009E-2</v>
      </c>
      <c r="L25" s="391"/>
      <c r="M25" s="392"/>
      <c r="N25" s="389">
        <v>8</v>
      </c>
      <c r="O25" s="291">
        <v>-0.18</v>
      </c>
      <c r="P25" s="291">
        <f t="shared" si="40"/>
        <v>-0.13</v>
      </c>
      <c r="Q25" s="390">
        <f t="shared" si="41"/>
        <v>4.9999999999999989E-2</v>
      </c>
      <c r="R25" s="391"/>
      <c r="S25" s="377"/>
      <c r="T25" s="389">
        <v>8</v>
      </c>
      <c r="U25" s="291">
        <f t="shared" si="42"/>
        <v>-0.37</v>
      </c>
      <c r="V25" s="291"/>
      <c r="W25" s="390">
        <f t="shared" si="43"/>
        <v>9.0000000000000011E-2</v>
      </c>
      <c r="X25" s="391"/>
      <c r="Y25" s="377"/>
      <c r="Z25" s="389">
        <v>8</v>
      </c>
      <c r="AA25" s="291">
        <f t="shared" si="44"/>
        <v>7.0000000000000007E-2</v>
      </c>
      <c r="AB25" s="291">
        <v>0.09</v>
      </c>
      <c r="AC25" s="390">
        <f t="shared" si="45"/>
        <v>1.999999999999999E-2</v>
      </c>
      <c r="AD25" s="391"/>
      <c r="AE25" s="377"/>
      <c r="AF25" s="389">
        <v>8</v>
      </c>
      <c r="AG25" s="291">
        <f t="shared" si="46"/>
        <v>0.08</v>
      </c>
      <c r="AH25" s="291">
        <v>0.42</v>
      </c>
      <c r="AI25" s="390">
        <f t="shared" si="47"/>
        <v>0.33999999999999997</v>
      </c>
      <c r="AJ25" s="391"/>
      <c r="AK25" s="377"/>
      <c r="AL25" s="389">
        <v>8</v>
      </c>
      <c r="AM25" s="291">
        <f t="shared" si="48"/>
        <v>0.41</v>
      </c>
      <c r="AN25" s="291"/>
      <c r="AO25" s="390">
        <f t="shared" si="49"/>
        <v>8.3333333333333329E-2</v>
      </c>
      <c r="AP25" s="391"/>
      <c r="AQ25" s="377"/>
      <c r="AR25" s="389">
        <v>8</v>
      </c>
      <c r="AS25" s="291">
        <f t="shared" si="50"/>
        <v>0.35</v>
      </c>
      <c r="AT25" s="291"/>
      <c r="AU25" s="390">
        <f t="shared" si="51"/>
        <v>0.08</v>
      </c>
      <c r="AV25" s="391"/>
      <c r="AW25" s="377"/>
      <c r="AX25" s="389">
        <v>8</v>
      </c>
      <c r="AY25" s="291">
        <f t="shared" si="52"/>
        <v>0.53</v>
      </c>
      <c r="AZ25" s="291"/>
      <c r="BA25" s="390">
        <f t="shared" si="53"/>
        <v>0.26333333333333336</v>
      </c>
      <c r="BB25" s="391"/>
      <c r="BC25" s="377"/>
      <c r="BD25" s="389">
        <v>8</v>
      </c>
      <c r="BE25" s="291">
        <f t="shared" si="54"/>
        <v>-0.13</v>
      </c>
      <c r="BF25" s="291"/>
      <c r="BG25" s="390">
        <f t="shared" si="55"/>
        <v>9.3333333333333338E-2</v>
      </c>
      <c r="BH25" s="391"/>
      <c r="BI25" s="377"/>
      <c r="BJ25" s="389">
        <v>8</v>
      </c>
      <c r="BK25" s="291">
        <f t="shared" si="56"/>
        <v>0.53</v>
      </c>
      <c r="BL25" s="291"/>
      <c r="BM25" s="390">
        <f t="shared" si="57"/>
        <v>0.26333333333333336</v>
      </c>
      <c r="BN25" s="391"/>
      <c r="BO25" s="377"/>
      <c r="BP25" s="389">
        <v>8</v>
      </c>
      <c r="BQ25" s="291">
        <f t="shared" si="58"/>
        <v>-0.34</v>
      </c>
      <c r="BR25" s="291"/>
      <c r="BS25" s="390">
        <f t="shared" si="59"/>
        <v>8.3333333333333329E-2</v>
      </c>
      <c r="BT25" s="391"/>
      <c r="BU25" s="377"/>
      <c r="BV25" s="389">
        <v>8</v>
      </c>
      <c r="BW25" s="291">
        <f t="shared" si="60"/>
        <v>-0.37</v>
      </c>
      <c r="BX25" s="291"/>
      <c r="BY25" s="390">
        <f t="shared" si="61"/>
        <v>9.0000000000000011E-2</v>
      </c>
      <c r="BZ25" s="391"/>
      <c r="CA25" s="377"/>
      <c r="CB25" s="389">
        <v>8</v>
      </c>
      <c r="CC25" s="291">
        <f t="shared" si="33"/>
        <v>0</v>
      </c>
      <c r="CD25" s="291">
        <f t="shared" si="65"/>
        <v>-0.7</v>
      </c>
      <c r="CE25" s="390">
        <f t="shared" si="62"/>
        <v>0.19999999999999998</v>
      </c>
      <c r="CF25" s="391"/>
      <c r="CH25" s="389">
        <v>8</v>
      </c>
      <c r="CI25" s="291">
        <f t="shared" si="34"/>
        <v>0.08</v>
      </c>
      <c r="CJ25" s="291">
        <f t="shared" si="34"/>
        <v>0.01</v>
      </c>
      <c r="CK25" s="390">
        <f t="shared" si="63"/>
        <v>7.0000000000000007E-2</v>
      </c>
      <c r="CL25" s="391"/>
      <c r="CN25" s="389">
        <v>8</v>
      </c>
      <c r="CO25" s="291">
        <f t="shared" si="35"/>
        <v>-0.46</v>
      </c>
      <c r="CP25" s="291">
        <f t="shared" si="35"/>
        <v>0.06</v>
      </c>
      <c r="CQ25" s="390">
        <f t="shared" si="64"/>
        <v>0.52</v>
      </c>
      <c r="CR25" s="391"/>
    </row>
    <row r="26" spans="2:96" ht="13">
      <c r="B26" s="389">
        <v>37</v>
      </c>
      <c r="C26" s="291">
        <v>0.11</v>
      </c>
      <c r="D26" s="291">
        <f t="shared" si="36"/>
        <v>0.19</v>
      </c>
      <c r="E26" s="390">
        <f t="shared" si="37"/>
        <v>0.08</v>
      </c>
      <c r="F26" s="933">
        <f ca="1">VLOOKUP(F22,B24:E29,4)</f>
        <v>0.14000000000000001</v>
      </c>
      <c r="G26" s="392"/>
      <c r="H26" s="389">
        <v>37</v>
      </c>
      <c r="I26" s="291">
        <v>0.12</v>
      </c>
      <c r="J26" s="291">
        <f t="shared" si="38"/>
        <v>0.21</v>
      </c>
      <c r="K26" s="390">
        <f t="shared" si="39"/>
        <v>0.09</v>
      </c>
      <c r="L26" s="933">
        <f ca="1">VLOOKUP(L22,H24:K29,4)</f>
        <v>0.12000000000000002</v>
      </c>
      <c r="M26" s="392"/>
      <c r="N26" s="389">
        <v>37</v>
      </c>
      <c r="O26" s="291">
        <v>-0.17</v>
      </c>
      <c r="P26" s="291">
        <f t="shared" si="40"/>
        <v>0.01</v>
      </c>
      <c r="Q26" s="390">
        <f t="shared" si="41"/>
        <v>0.18000000000000002</v>
      </c>
      <c r="R26" s="933">
        <f ca="1">VLOOKUP(R22,N24:Q29,4)</f>
        <v>0.22</v>
      </c>
      <c r="S26" s="377"/>
      <c r="T26" s="389">
        <v>37</v>
      </c>
      <c r="U26" s="291">
        <f t="shared" si="42"/>
        <v>0.49</v>
      </c>
      <c r="V26" s="291"/>
      <c r="W26" s="390">
        <f t="shared" si="43"/>
        <v>9.0000000000000011E-2</v>
      </c>
      <c r="X26" s="933">
        <f ca="1">VLOOKUP(X22,T24:W29,4)</f>
        <v>9.0000000000000011E-2</v>
      </c>
      <c r="Y26" s="377"/>
      <c r="Z26" s="389">
        <v>37</v>
      </c>
      <c r="AA26" s="291">
        <f t="shared" si="44"/>
        <v>0.08</v>
      </c>
      <c r="AB26" s="291">
        <v>0.47</v>
      </c>
      <c r="AC26" s="390">
        <f t="shared" si="45"/>
        <v>0.38999999999999996</v>
      </c>
      <c r="AD26" s="933">
        <f ca="1">VLOOKUP(AD22,Z24:AC29,4)</f>
        <v>0.44</v>
      </c>
      <c r="AE26" s="377"/>
      <c r="AF26" s="389">
        <v>37</v>
      </c>
      <c r="AG26" s="291">
        <f t="shared" si="46"/>
        <v>0.09</v>
      </c>
      <c r="AH26" s="291">
        <v>0.69</v>
      </c>
      <c r="AI26" s="390">
        <f t="shared" si="47"/>
        <v>0.6</v>
      </c>
      <c r="AJ26" s="933">
        <f ca="1">VLOOKUP(AJ22,AF24:AI29,4)</f>
        <v>0.62</v>
      </c>
      <c r="AK26" s="377"/>
      <c r="AL26" s="389">
        <v>37</v>
      </c>
      <c r="AM26" s="291">
        <f t="shared" si="48"/>
        <v>0.42</v>
      </c>
      <c r="AN26" s="291"/>
      <c r="AO26" s="390">
        <f t="shared" si="49"/>
        <v>8.3333333333333329E-2</v>
      </c>
      <c r="AP26" s="933">
        <f ca="1">VLOOKUP(AP22,AL24:AO29,4)</f>
        <v>8.3333333333333329E-2</v>
      </c>
      <c r="AQ26" s="377"/>
      <c r="AR26" s="389">
        <v>37</v>
      </c>
      <c r="AS26" s="291">
        <f t="shared" si="50"/>
        <v>0.33</v>
      </c>
      <c r="AT26" s="291"/>
      <c r="AU26" s="390">
        <f t="shared" si="51"/>
        <v>0.08</v>
      </c>
      <c r="AV26" s="933">
        <f ca="1">VLOOKUP(AV22,AR24:AU29,4)</f>
        <v>0.08</v>
      </c>
      <c r="AW26" s="377"/>
      <c r="AX26" s="389">
        <v>37</v>
      </c>
      <c r="AY26" s="291">
        <f t="shared" si="52"/>
        <v>0.43</v>
      </c>
      <c r="AZ26" s="291"/>
      <c r="BA26" s="390">
        <f t="shared" si="53"/>
        <v>0.26333333333333336</v>
      </c>
      <c r="BB26" s="933">
        <f ca="1">VLOOKUP(BB22,AX24:BA29,4)</f>
        <v>0.26333333333333336</v>
      </c>
      <c r="BC26" s="377"/>
      <c r="BD26" s="389">
        <v>37</v>
      </c>
      <c r="BE26" s="291">
        <f t="shared" si="54"/>
        <v>0.65</v>
      </c>
      <c r="BF26" s="291"/>
      <c r="BG26" s="390">
        <f t="shared" si="55"/>
        <v>9.3333333333333338E-2</v>
      </c>
      <c r="BH26" s="933">
        <f ca="1">VLOOKUP(BH22,BD24:BG29,4)</f>
        <v>9.3333333333333338E-2</v>
      </c>
      <c r="BI26" s="377"/>
      <c r="BJ26" s="389">
        <v>37</v>
      </c>
      <c r="BK26" s="291">
        <f t="shared" si="56"/>
        <v>0.43</v>
      </c>
      <c r="BL26" s="291"/>
      <c r="BM26" s="390">
        <f t="shared" si="57"/>
        <v>0.26333333333333336</v>
      </c>
      <c r="BN26" s="933">
        <f ca="1">VLOOKUP(BN22,BJ24:BM29,4)</f>
        <v>0.26333333333333336</v>
      </c>
      <c r="BO26" s="377"/>
      <c r="BP26" s="389">
        <v>37</v>
      </c>
      <c r="BQ26" s="291">
        <f t="shared" si="58"/>
        <v>0.41</v>
      </c>
      <c r="BR26" s="291"/>
      <c r="BS26" s="390">
        <f t="shared" si="59"/>
        <v>8.3333333333333329E-2</v>
      </c>
      <c r="BT26" s="933">
        <f ca="1">VLOOKUP(BT22,BP24:BS29,4)</f>
        <v>8.3333333333333329E-2</v>
      </c>
      <c r="BU26" s="377"/>
      <c r="BV26" s="389">
        <v>37</v>
      </c>
      <c r="BW26" s="291">
        <f t="shared" si="60"/>
        <v>0.51</v>
      </c>
      <c r="BX26" s="291"/>
      <c r="BY26" s="390">
        <f t="shared" si="61"/>
        <v>9.0000000000000011E-2</v>
      </c>
      <c r="BZ26" s="933">
        <f ca="1">VLOOKUP(BZ22,BV24:BY29,4)</f>
        <v>9.0000000000000011E-2</v>
      </c>
      <c r="CA26" s="377"/>
      <c r="CB26" s="389">
        <v>37</v>
      </c>
      <c r="CC26" s="291">
        <f t="shared" si="33"/>
        <v>0</v>
      </c>
      <c r="CD26" s="291">
        <f t="shared" si="65"/>
        <v>-0.6</v>
      </c>
      <c r="CE26" s="390">
        <f t="shared" si="62"/>
        <v>0.19999999999999998</v>
      </c>
      <c r="CF26" s="933">
        <f ca="1">VLOOKUP(CF22,CB24:CE29,4)</f>
        <v>0.19999999999999998</v>
      </c>
      <c r="CH26" s="389">
        <v>37</v>
      </c>
      <c r="CI26" s="291">
        <f t="shared" si="34"/>
        <v>0.23</v>
      </c>
      <c r="CJ26" s="291">
        <f t="shared" si="34"/>
        <v>0.19</v>
      </c>
      <c r="CK26" s="390">
        <f t="shared" si="63"/>
        <v>4.0000000000000008E-2</v>
      </c>
      <c r="CL26" s="933">
        <f ca="1">VLOOKUP(CL22,CH24:CK29,4)</f>
        <v>4.0000000000000008E-2</v>
      </c>
      <c r="CN26" s="389">
        <v>37</v>
      </c>
      <c r="CO26" s="291">
        <f t="shared" si="35"/>
        <v>0.42</v>
      </c>
      <c r="CP26" s="291">
        <f t="shared" si="35"/>
        <v>0.45</v>
      </c>
      <c r="CQ26" s="390">
        <f t="shared" si="64"/>
        <v>3.0000000000000027E-2</v>
      </c>
      <c r="CR26" s="933">
        <f ca="1">VLOOKUP(CR22,CN24:CQ29,4)</f>
        <v>4.9999999999999933E-2</v>
      </c>
    </row>
    <row r="27" spans="2:96" ht="13">
      <c r="B27" s="389">
        <v>44</v>
      </c>
      <c r="C27" s="291">
        <v>0.14000000000000001</v>
      </c>
      <c r="D27" s="291">
        <f t="shared" si="36"/>
        <v>0.28000000000000003</v>
      </c>
      <c r="E27" s="390">
        <f t="shared" si="37"/>
        <v>0.14000000000000001</v>
      </c>
      <c r="F27" s="934"/>
      <c r="G27" s="392"/>
      <c r="H27" s="389">
        <v>44</v>
      </c>
      <c r="I27" s="291">
        <v>0.15</v>
      </c>
      <c r="J27" s="291">
        <f t="shared" si="38"/>
        <v>0.27</v>
      </c>
      <c r="K27" s="390">
        <f t="shared" si="39"/>
        <v>0.12000000000000002</v>
      </c>
      <c r="L27" s="934"/>
      <c r="M27" s="392"/>
      <c r="N27" s="389">
        <v>44</v>
      </c>
      <c r="O27" s="291">
        <v>-0.2</v>
      </c>
      <c r="P27" s="291">
        <f t="shared" si="40"/>
        <v>0.02</v>
      </c>
      <c r="Q27" s="390">
        <f t="shared" si="41"/>
        <v>0.22</v>
      </c>
      <c r="R27" s="934"/>
      <c r="S27" s="377"/>
      <c r="T27" s="389">
        <v>44</v>
      </c>
      <c r="U27" s="291">
        <f t="shared" si="42"/>
        <v>0.61</v>
      </c>
      <c r="V27" s="291"/>
      <c r="W27" s="390">
        <f t="shared" si="43"/>
        <v>9.0000000000000011E-2</v>
      </c>
      <c r="X27" s="934"/>
      <c r="Y27" s="377"/>
      <c r="Z27" s="389">
        <v>44</v>
      </c>
      <c r="AA27" s="291">
        <f t="shared" si="44"/>
        <v>0.08</v>
      </c>
      <c r="AB27" s="291">
        <v>0.52</v>
      </c>
      <c r="AC27" s="390">
        <f t="shared" si="45"/>
        <v>0.44</v>
      </c>
      <c r="AD27" s="934"/>
      <c r="AE27" s="377"/>
      <c r="AF27" s="389">
        <v>44</v>
      </c>
      <c r="AG27" s="291">
        <f t="shared" si="46"/>
        <v>0.1</v>
      </c>
      <c r="AH27" s="291">
        <v>0.72</v>
      </c>
      <c r="AI27" s="390">
        <f t="shared" si="47"/>
        <v>0.62</v>
      </c>
      <c r="AJ27" s="934"/>
      <c r="AK27" s="377"/>
      <c r="AL27" s="389">
        <v>44</v>
      </c>
      <c r="AM27" s="291">
        <f t="shared" si="48"/>
        <v>0.42</v>
      </c>
      <c r="AN27" s="291"/>
      <c r="AO27" s="390">
        <f t="shared" si="49"/>
        <v>8.3333333333333329E-2</v>
      </c>
      <c r="AP27" s="934"/>
      <c r="AQ27" s="377"/>
      <c r="AR27" s="389">
        <v>44</v>
      </c>
      <c r="AS27" s="291">
        <f t="shared" si="50"/>
        <v>0.33</v>
      </c>
      <c r="AT27" s="291"/>
      <c r="AU27" s="390">
        <f t="shared" si="51"/>
        <v>0.08</v>
      </c>
      <c r="AV27" s="934"/>
      <c r="AW27" s="377"/>
      <c r="AX27" s="389">
        <v>44</v>
      </c>
      <c r="AY27" s="291">
        <f t="shared" si="52"/>
        <v>0.41</v>
      </c>
      <c r="AZ27" s="291"/>
      <c r="BA27" s="390">
        <f t="shared" si="53"/>
        <v>0.26333333333333336</v>
      </c>
      <c r="BB27" s="934"/>
      <c r="BC27" s="377"/>
      <c r="BD27" s="389">
        <v>44</v>
      </c>
      <c r="BE27" s="291">
        <f t="shared" si="54"/>
        <v>0.72</v>
      </c>
      <c r="BF27" s="291"/>
      <c r="BG27" s="390">
        <f t="shared" si="55"/>
        <v>9.3333333333333338E-2</v>
      </c>
      <c r="BH27" s="934"/>
      <c r="BI27" s="377"/>
      <c r="BJ27" s="389">
        <v>44</v>
      </c>
      <c r="BK27" s="291">
        <f t="shared" si="56"/>
        <v>0.41</v>
      </c>
      <c r="BL27" s="291"/>
      <c r="BM27" s="390">
        <f t="shared" si="57"/>
        <v>0.26333333333333336</v>
      </c>
      <c r="BN27" s="934"/>
      <c r="BO27" s="377"/>
      <c r="BP27" s="389">
        <v>44</v>
      </c>
      <c r="BQ27" s="291">
        <f t="shared" si="58"/>
        <v>0.51</v>
      </c>
      <c r="BR27" s="291"/>
      <c r="BS27" s="390">
        <f t="shared" si="59"/>
        <v>8.3333333333333329E-2</v>
      </c>
      <c r="BT27" s="934"/>
      <c r="BU27" s="377"/>
      <c r="BV27" s="389">
        <v>44</v>
      </c>
      <c r="BW27" s="291">
        <f t="shared" si="60"/>
        <v>0.63</v>
      </c>
      <c r="BX27" s="291"/>
      <c r="BY27" s="390">
        <f t="shared" si="61"/>
        <v>9.0000000000000011E-2</v>
      </c>
      <c r="BZ27" s="934"/>
      <c r="CA27" s="377"/>
      <c r="CB27" s="389">
        <v>44</v>
      </c>
      <c r="CC27" s="291">
        <f t="shared" si="33"/>
        <v>0</v>
      </c>
      <c r="CD27" s="291">
        <f t="shared" si="65"/>
        <v>-0.7</v>
      </c>
      <c r="CE27" s="390">
        <f t="shared" si="62"/>
        <v>0.19999999999999998</v>
      </c>
      <c r="CF27" s="934"/>
      <c r="CH27" s="389">
        <v>44</v>
      </c>
      <c r="CI27" s="291">
        <f t="shared" si="34"/>
        <v>0.25</v>
      </c>
      <c r="CJ27" s="291">
        <f t="shared" si="34"/>
        <v>0.21</v>
      </c>
      <c r="CK27" s="390">
        <f t="shared" si="63"/>
        <v>4.0000000000000008E-2</v>
      </c>
      <c r="CL27" s="934"/>
      <c r="CN27" s="389">
        <v>44</v>
      </c>
      <c r="CO27" s="291">
        <f t="shared" si="35"/>
        <v>0.56999999999999995</v>
      </c>
      <c r="CP27" s="291">
        <f t="shared" si="35"/>
        <v>0.52</v>
      </c>
      <c r="CQ27" s="390">
        <f t="shared" si="64"/>
        <v>4.9999999999999933E-2</v>
      </c>
      <c r="CR27" s="934"/>
    </row>
    <row r="28" spans="2:96" ht="13">
      <c r="B28" s="389">
        <v>50</v>
      </c>
      <c r="C28" s="291">
        <v>0.16</v>
      </c>
      <c r="D28" s="291">
        <f t="shared" si="36"/>
        <v>0.35</v>
      </c>
      <c r="E28" s="390">
        <f t="shared" si="37"/>
        <v>0.18999999999999997</v>
      </c>
      <c r="F28" s="935">
        <f ca="1">(((F26-F24)/(F22-F20))*(F19-F20))+F24</f>
        <v>8.1628571428571411E-2</v>
      </c>
      <c r="G28" s="392"/>
      <c r="H28" s="389">
        <v>50</v>
      </c>
      <c r="I28" s="291">
        <v>0.16</v>
      </c>
      <c r="J28" s="291">
        <f t="shared" si="38"/>
        <v>0.33</v>
      </c>
      <c r="K28" s="390">
        <f t="shared" si="39"/>
        <v>0.17</v>
      </c>
      <c r="L28" s="935">
        <f ca="1">(((L26-L24)/(L22-L20))*(L19-L20))+L24</f>
        <v>9.0814285714285709E-2</v>
      </c>
      <c r="M28" s="392"/>
      <c r="N28" s="389">
        <v>50</v>
      </c>
      <c r="O28" s="291">
        <v>0.16</v>
      </c>
      <c r="P28" s="291">
        <f t="shared" si="40"/>
        <v>0.01</v>
      </c>
      <c r="Q28" s="390">
        <f t="shared" si="41"/>
        <v>0.15</v>
      </c>
      <c r="R28" s="935">
        <f ca="1">(((R26-R24)/(R22-R20))*(R19-R20))+R24</f>
        <v>0.18108571428571429</v>
      </c>
      <c r="S28" s="377"/>
      <c r="T28" s="389">
        <v>50</v>
      </c>
      <c r="U28" s="291">
        <f t="shared" si="42"/>
        <v>0.69</v>
      </c>
      <c r="V28" s="291"/>
      <c r="W28" s="390">
        <f t="shared" si="43"/>
        <v>9.0000000000000011E-2</v>
      </c>
      <c r="X28" s="935">
        <f ca="1">(((X26-X24)/(X22-X20))*(X19-X20))+X24</f>
        <v>9.0000000000000011E-2</v>
      </c>
      <c r="Y28" s="377"/>
      <c r="Z28" s="389">
        <v>50</v>
      </c>
      <c r="AA28" s="291">
        <f t="shared" si="44"/>
        <v>0.09</v>
      </c>
      <c r="AB28" s="291">
        <v>0.55000000000000004</v>
      </c>
      <c r="AC28" s="390">
        <f t="shared" si="45"/>
        <v>0.46000000000000008</v>
      </c>
      <c r="AD28" s="935">
        <f ca="1">(((AD26-AD24)/(AD22-AD20))*(AD19-AD20))+AD24</f>
        <v>0.39135714285714279</v>
      </c>
      <c r="AE28" s="377"/>
      <c r="AF28" s="389">
        <v>50</v>
      </c>
      <c r="AG28" s="291">
        <f t="shared" si="46"/>
        <v>0.11</v>
      </c>
      <c r="AH28" s="291">
        <v>0.73</v>
      </c>
      <c r="AI28" s="390">
        <f t="shared" si="47"/>
        <v>0.62</v>
      </c>
      <c r="AJ28" s="935">
        <f ca="1">(((AJ26-AJ24)/(AJ22-AJ20))*(AJ19-AJ20))+AJ24</f>
        <v>0.60054285714285716</v>
      </c>
      <c r="AK28" s="377"/>
      <c r="AL28" s="389">
        <v>50</v>
      </c>
      <c r="AM28" s="291">
        <f t="shared" si="48"/>
        <v>0.43</v>
      </c>
      <c r="AN28" s="291"/>
      <c r="AO28" s="390">
        <f t="shared" si="49"/>
        <v>8.3333333333333329E-2</v>
      </c>
      <c r="AP28" s="935">
        <f ca="1">(((AP26-AP24)/(AP22-AP20))*(AP19-AP20))+AP24</f>
        <v>8.3333333333333329E-2</v>
      </c>
      <c r="AQ28" s="377"/>
      <c r="AR28" s="389">
        <v>50</v>
      </c>
      <c r="AS28" s="291">
        <f t="shared" si="50"/>
        <v>0.34</v>
      </c>
      <c r="AT28" s="291"/>
      <c r="AU28" s="390">
        <f t="shared" si="51"/>
        <v>0.08</v>
      </c>
      <c r="AV28" s="935">
        <f ca="1">(((AV26-AV24)/(AV22-AV20))*(AV19-AV20))+AV24</f>
        <v>0.08</v>
      </c>
      <c r="AW28" s="377"/>
      <c r="AX28" s="389">
        <v>50</v>
      </c>
      <c r="AY28" s="291">
        <f t="shared" si="52"/>
        <v>0.39</v>
      </c>
      <c r="AZ28" s="291"/>
      <c r="BA28" s="390">
        <f t="shared" si="53"/>
        <v>0.26333333333333336</v>
      </c>
      <c r="BB28" s="935">
        <f ca="1">(((BB26-BB24)/(BB22-BB20))*(BB19-BB20))+BB24</f>
        <v>0.26333333333333336</v>
      </c>
      <c r="BC28" s="377"/>
      <c r="BD28" s="389">
        <v>50</v>
      </c>
      <c r="BE28" s="291">
        <f t="shared" si="54"/>
        <v>0.76</v>
      </c>
      <c r="BF28" s="291"/>
      <c r="BG28" s="390">
        <f t="shared" si="55"/>
        <v>9.3333333333333338E-2</v>
      </c>
      <c r="BH28" s="935">
        <f ca="1">(((BH26-BH24)/(BH22-BH20))*(BH19-BH20))+BH24</f>
        <v>9.3333333333333338E-2</v>
      </c>
      <c r="BI28" s="377"/>
      <c r="BJ28" s="389">
        <v>50</v>
      </c>
      <c r="BK28" s="291">
        <f t="shared" si="56"/>
        <v>0.39</v>
      </c>
      <c r="BL28" s="291"/>
      <c r="BM28" s="390">
        <f t="shared" si="57"/>
        <v>0.26333333333333336</v>
      </c>
      <c r="BN28" s="935">
        <f ca="1">(((BN26-BN24)/(BN22-BN20))*(BN19-BN20))+BN24</f>
        <v>0.26333333333333336</v>
      </c>
      <c r="BO28" s="377"/>
      <c r="BP28" s="389">
        <v>50</v>
      </c>
      <c r="BQ28" s="291">
        <f t="shared" si="58"/>
        <v>0.56999999999999995</v>
      </c>
      <c r="BR28" s="291"/>
      <c r="BS28" s="390">
        <f t="shared" si="59"/>
        <v>8.3333333333333329E-2</v>
      </c>
      <c r="BT28" s="935">
        <f ca="1">(((BT26-BT24)/(BT22-BT20))*(BT19-BT20))+BT24</f>
        <v>8.3333333333333329E-2</v>
      </c>
      <c r="BU28" s="377"/>
      <c r="BV28" s="389">
        <v>50</v>
      </c>
      <c r="BW28" s="291">
        <f t="shared" si="60"/>
        <v>0.71</v>
      </c>
      <c r="BX28" s="291"/>
      <c r="BY28" s="390">
        <f t="shared" si="61"/>
        <v>9.0000000000000011E-2</v>
      </c>
      <c r="BZ28" s="935">
        <f ca="1">(((BZ26-BZ24)/(BZ22-BZ20))*(BZ19-BZ20))+BZ24</f>
        <v>9.0000000000000011E-2</v>
      </c>
      <c r="CA28" s="377"/>
      <c r="CB28" s="389">
        <v>50</v>
      </c>
      <c r="CC28" s="291">
        <f t="shared" si="33"/>
        <v>-1</v>
      </c>
      <c r="CD28" s="291">
        <f t="shared" si="65"/>
        <v>-0.7</v>
      </c>
      <c r="CE28" s="390">
        <f t="shared" si="62"/>
        <v>0.30000000000000004</v>
      </c>
      <c r="CF28" s="935">
        <f ca="1">(((CF26-CF24)/(CF22-CF20))*(CF19-CF20))+CF24</f>
        <v>0.19999999999999998</v>
      </c>
      <c r="CH28" s="389">
        <v>50</v>
      </c>
      <c r="CI28" s="291">
        <f t="shared" si="34"/>
        <v>0.27</v>
      </c>
      <c r="CJ28" s="291">
        <f t="shared" si="34"/>
        <v>0.22</v>
      </c>
      <c r="CK28" s="390">
        <f t="shared" si="63"/>
        <v>5.0000000000000017E-2</v>
      </c>
      <c r="CL28" s="935">
        <f ca="1">(((CL26-CL24)/(CL22-CL20))*(CL19-CL20))+CL24</f>
        <v>4.0000000000000008E-2</v>
      </c>
      <c r="CN28" s="389">
        <v>50</v>
      </c>
      <c r="CO28" s="291">
        <f t="shared" si="35"/>
        <v>0.67</v>
      </c>
      <c r="CP28" s="291">
        <f t="shared" si="35"/>
        <v>0.56999999999999995</v>
      </c>
      <c r="CQ28" s="390">
        <f t="shared" si="64"/>
        <v>0.10000000000000009</v>
      </c>
      <c r="CR28" s="935">
        <f ca="1">(((CR26-CR24)/(CR22-CR20))*(CR19-CR20))+CR24</f>
        <v>3.054285714285716E-2</v>
      </c>
    </row>
    <row r="29" spans="2:96" ht="13">
      <c r="B29" s="389">
        <v>100</v>
      </c>
      <c r="C29" s="291">
        <v>0.23</v>
      </c>
      <c r="D29" s="291">
        <f t="shared" si="36"/>
        <v>0.74</v>
      </c>
      <c r="E29" s="390">
        <f t="shared" si="37"/>
        <v>0.51</v>
      </c>
      <c r="F29" s="391"/>
      <c r="G29" s="392"/>
      <c r="H29" s="389">
        <v>100</v>
      </c>
      <c r="I29" s="291">
        <v>0.03</v>
      </c>
      <c r="J29" s="291">
        <f t="shared" si="38"/>
        <v>0.59</v>
      </c>
      <c r="K29" s="390">
        <f t="shared" si="39"/>
        <v>0.55999999999999994</v>
      </c>
      <c r="L29" s="391"/>
      <c r="M29" s="392"/>
      <c r="N29" s="389">
        <v>100</v>
      </c>
      <c r="O29" s="291">
        <v>-0.11</v>
      </c>
      <c r="P29" s="291">
        <f t="shared" si="40"/>
        <v>-0.14000000000000001</v>
      </c>
      <c r="Q29" s="390">
        <f t="shared" si="41"/>
        <v>3.0000000000000013E-2</v>
      </c>
      <c r="R29" s="391"/>
      <c r="S29" s="377"/>
      <c r="T29" s="389">
        <v>100</v>
      </c>
      <c r="U29" s="291">
        <f t="shared" si="42"/>
        <v>0.67</v>
      </c>
      <c r="V29" s="291"/>
      <c r="W29" s="390">
        <f t="shared" si="43"/>
        <v>9.0000000000000011E-2</v>
      </c>
      <c r="X29" s="391"/>
      <c r="Y29" s="377"/>
      <c r="Z29" s="389">
        <v>100</v>
      </c>
      <c r="AA29" s="291">
        <f t="shared" si="44"/>
        <v>0.21</v>
      </c>
      <c r="AB29" s="291">
        <v>0.54</v>
      </c>
      <c r="AC29" s="390">
        <f t="shared" si="45"/>
        <v>0.33000000000000007</v>
      </c>
      <c r="AD29" s="391"/>
      <c r="AE29" s="377"/>
      <c r="AF29" s="389">
        <v>100</v>
      </c>
      <c r="AG29" s="291">
        <f t="shared" si="46"/>
        <v>0.22</v>
      </c>
      <c r="AH29" s="291">
        <v>0.52</v>
      </c>
      <c r="AI29" s="390">
        <f t="shared" si="47"/>
        <v>0.30000000000000004</v>
      </c>
      <c r="AJ29" s="391"/>
      <c r="AK29" s="377"/>
      <c r="AL29" s="389">
        <v>100</v>
      </c>
      <c r="AM29" s="291">
        <f t="shared" si="48"/>
        <v>0.54</v>
      </c>
      <c r="AN29" s="291"/>
      <c r="AO29" s="390">
        <f t="shared" si="49"/>
        <v>8.3333333333333329E-2</v>
      </c>
      <c r="AP29" s="391"/>
      <c r="AQ29" s="377"/>
      <c r="AR29" s="389">
        <v>100</v>
      </c>
      <c r="AS29" s="291">
        <f t="shared" si="50"/>
        <v>0.45</v>
      </c>
      <c r="AT29" s="291"/>
      <c r="AU29" s="390">
        <f t="shared" si="51"/>
        <v>0.08</v>
      </c>
      <c r="AV29" s="391"/>
      <c r="AW29" s="377"/>
      <c r="AX29" s="389">
        <v>100</v>
      </c>
      <c r="AY29" s="291">
        <f t="shared" si="52"/>
        <v>0.19</v>
      </c>
      <c r="AZ29" s="291"/>
      <c r="BA29" s="390">
        <f t="shared" si="53"/>
        <v>0.26333333333333336</v>
      </c>
      <c r="BB29" s="391"/>
      <c r="BC29" s="377"/>
      <c r="BD29" s="389">
        <v>100</v>
      </c>
      <c r="BE29" s="291">
        <f t="shared" si="54"/>
        <v>0.26</v>
      </c>
      <c r="BF29" s="291"/>
      <c r="BG29" s="390">
        <f t="shared" si="55"/>
        <v>9.3333333333333338E-2</v>
      </c>
      <c r="BH29" s="391"/>
      <c r="BI29" s="377"/>
      <c r="BJ29" s="389">
        <v>100</v>
      </c>
      <c r="BK29" s="291">
        <f t="shared" si="56"/>
        <v>0.19</v>
      </c>
      <c r="BL29" s="291"/>
      <c r="BM29" s="390">
        <f t="shared" si="57"/>
        <v>0.26333333333333336</v>
      </c>
      <c r="BN29" s="391"/>
      <c r="BO29" s="377"/>
      <c r="BP29" s="389">
        <v>100</v>
      </c>
      <c r="BQ29" s="291">
        <f t="shared" si="58"/>
        <v>0.39</v>
      </c>
      <c r="BR29" s="291"/>
      <c r="BS29" s="390">
        <f t="shared" si="59"/>
        <v>8.3333333333333329E-2</v>
      </c>
      <c r="BT29" s="391"/>
      <c r="BU29" s="377"/>
      <c r="BV29" s="389">
        <v>100</v>
      </c>
      <c r="BW29" s="291">
        <f t="shared" si="60"/>
        <v>0.64</v>
      </c>
      <c r="BX29" s="291"/>
      <c r="BY29" s="390">
        <f t="shared" si="61"/>
        <v>9.0000000000000011E-2</v>
      </c>
      <c r="BZ29" s="391"/>
      <c r="CA29" s="377"/>
      <c r="CB29" s="389">
        <v>100</v>
      </c>
      <c r="CC29" s="291">
        <f t="shared" si="33"/>
        <v>-1.6</v>
      </c>
      <c r="CD29" s="291">
        <f t="shared" si="65"/>
        <v>-0.7</v>
      </c>
      <c r="CE29" s="390">
        <f t="shared" si="62"/>
        <v>0.90000000000000013</v>
      </c>
      <c r="CF29" s="391"/>
      <c r="CH29" s="389">
        <v>100</v>
      </c>
      <c r="CI29" s="291">
        <f t="shared" si="34"/>
        <v>0.31</v>
      </c>
      <c r="CJ29" s="291">
        <f t="shared" si="34"/>
        <v>0.23</v>
      </c>
      <c r="CK29" s="390">
        <f t="shared" si="63"/>
        <v>7.9999999999999988E-2</v>
      </c>
      <c r="CL29" s="391"/>
      <c r="CN29" s="389">
        <v>100</v>
      </c>
      <c r="CO29" s="291">
        <f t="shared" si="35"/>
        <v>0.95</v>
      </c>
      <c r="CP29" s="291">
        <f t="shared" si="35"/>
        <v>0.81</v>
      </c>
      <c r="CQ29" s="390">
        <f t="shared" si="64"/>
        <v>0.1399999999999999</v>
      </c>
      <c r="CR29" s="391"/>
    </row>
    <row r="30" spans="2:96" ht="13">
      <c r="B30" s="389">
        <v>150</v>
      </c>
      <c r="C30" s="291">
        <v>0.28000000000000003</v>
      </c>
      <c r="D30" s="291">
        <f t="shared" si="36"/>
        <v>0.71</v>
      </c>
      <c r="E30" s="390">
        <f t="shared" si="37"/>
        <v>0.42999999999999994</v>
      </c>
      <c r="F30" s="391"/>
      <c r="G30" s="392"/>
      <c r="H30" s="389">
        <v>150</v>
      </c>
      <c r="I30" s="291">
        <v>-0.06</v>
      </c>
      <c r="J30" s="291">
        <f t="shared" si="38"/>
        <v>0.56000000000000005</v>
      </c>
      <c r="K30" s="390">
        <f t="shared" si="39"/>
        <v>0.62000000000000011</v>
      </c>
      <c r="L30" s="391"/>
      <c r="M30" s="392"/>
      <c r="N30" s="389">
        <v>150</v>
      </c>
      <c r="O30" s="291">
        <v>-0.44</v>
      </c>
      <c r="P30" s="291">
        <f t="shared" si="40"/>
        <v>-0.27</v>
      </c>
      <c r="Q30" s="390">
        <f t="shared" si="41"/>
        <v>0.16999999999999998</v>
      </c>
      <c r="R30" s="391"/>
      <c r="S30" s="377"/>
      <c r="T30" s="389">
        <v>150</v>
      </c>
      <c r="U30" s="291">
        <f t="shared" si="42"/>
        <v>-0.12</v>
      </c>
      <c r="V30" s="291"/>
      <c r="W30" s="390">
        <f t="shared" si="43"/>
        <v>9.0000000000000011E-2</v>
      </c>
      <c r="X30" s="391"/>
      <c r="Y30" s="377"/>
      <c r="Z30" s="389">
        <v>150</v>
      </c>
      <c r="AA30" s="291">
        <f t="shared" si="44"/>
        <v>0.4</v>
      </c>
      <c r="AB30" s="291">
        <v>0.18</v>
      </c>
      <c r="AC30" s="390">
        <f t="shared" si="45"/>
        <v>0.22000000000000003</v>
      </c>
      <c r="AD30" s="391"/>
      <c r="AE30" s="377"/>
      <c r="AF30" s="389">
        <v>150</v>
      </c>
      <c r="AG30" s="291">
        <f t="shared" si="46"/>
        <v>0.42</v>
      </c>
      <c r="AH30" s="291">
        <v>9.9999999999999995E-7</v>
      </c>
      <c r="AI30" s="390">
        <f t="shared" si="47"/>
        <v>0.41999900000000001</v>
      </c>
      <c r="AJ30" s="391"/>
      <c r="AK30" s="377"/>
      <c r="AL30" s="389">
        <v>150</v>
      </c>
      <c r="AM30" s="291">
        <f t="shared" si="48"/>
        <v>0.72</v>
      </c>
      <c r="AN30" s="291"/>
      <c r="AO30" s="390">
        <f t="shared" si="49"/>
        <v>8.3333333333333329E-2</v>
      </c>
      <c r="AP30" s="391"/>
      <c r="AQ30" s="377"/>
      <c r="AR30" s="389">
        <v>150</v>
      </c>
      <c r="AS30" s="291">
        <f t="shared" si="50"/>
        <v>0.66</v>
      </c>
      <c r="AT30" s="291"/>
      <c r="AU30" s="390">
        <f t="shared" si="51"/>
        <v>0.08</v>
      </c>
      <c r="AV30" s="391"/>
      <c r="AW30" s="377"/>
      <c r="AX30" s="389">
        <v>150</v>
      </c>
      <c r="AY30" s="291">
        <f t="shared" si="52"/>
        <v>-0.03</v>
      </c>
      <c r="AZ30" s="291"/>
      <c r="BA30" s="390">
        <f t="shared" si="53"/>
        <v>0.26333333333333336</v>
      </c>
      <c r="BB30" s="391"/>
      <c r="BC30" s="377"/>
      <c r="BD30" s="389">
        <v>150</v>
      </c>
      <c r="BE30" s="291">
        <f t="shared" si="54"/>
        <v>-0.57999999999999996</v>
      </c>
      <c r="BF30" s="291"/>
      <c r="BG30" s="390">
        <f t="shared" si="55"/>
        <v>9.3333333333333338E-2</v>
      </c>
      <c r="BH30" s="391"/>
      <c r="BI30" s="377"/>
      <c r="BJ30" s="389">
        <v>150</v>
      </c>
      <c r="BK30" s="291">
        <f t="shared" si="56"/>
        <v>-0.03</v>
      </c>
      <c r="BL30" s="291"/>
      <c r="BM30" s="390">
        <f t="shared" si="57"/>
        <v>0.26333333333333336</v>
      </c>
      <c r="BN30" s="391"/>
      <c r="BO30" s="377"/>
      <c r="BP30" s="389">
        <v>150</v>
      </c>
      <c r="BQ30" s="291">
        <f t="shared" si="58"/>
        <v>-0.36</v>
      </c>
      <c r="BR30" s="291"/>
      <c r="BS30" s="390">
        <f t="shared" si="59"/>
        <v>8.3333333333333329E-2</v>
      </c>
      <c r="BT30" s="391"/>
      <c r="BU30" s="377"/>
      <c r="BV30" s="389">
        <v>150</v>
      </c>
      <c r="BW30" s="291">
        <f t="shared" si="60"/>
        <v>-0.28000000000000003</v>
      </c>
      <c r="BX30" s="291"/>
      <c r="BY30" s="390">
        <f t="shared" si="61"/>
        <v>9.0000000000000011E-2</v>
      </c>
      <c r="BZ30" s="391"/>
      <c r="CA30" s="377"/>
      <c r="CB30" s="389">
        <v>150</v>
      </c>
      <c r="CC30" s="291">
        <f t="shared" si="33"/>
        <v>-1.7</v>
      </c>
      <c r="CD30" s="291">
        <f t="shared" si="65"/>
        <v>-0.7</v>
      </c>
      <c r="CE30" s="390">
        <f t="shared" si="62"/>
        <v>1</v>
      </c>
      <c r="CF30" s="391"/>
      <c r="CH30" s="389">
        <v>150</v>
      </c>
      <c r="CI30" s="291">
        <f t="shared" si="34"/>
        <v>0.3</v>
      </c>
      <c r="CJ30" s="291">
        <f t="shared" si="34"/>
        <v>0.22</v>
      </c>
      <c r="CK30" s="390">
        <f t="shared" si="63"/>
        <v>7.9999999999999988E-2</v>
      </c>
      <c r="CL30" s="391"/>
      <c r="CN30" s="389">
        <v>150</v>
      </c>
      <c r="CO30" s="291">
        <f t="shared" si="35"/>
        <v>0.49</v>
      </c>
      <c r="CP30" s="291">
        <f t="shared" si="35"/>
        <v>0.87</v>
      </c>
      <c r="CQ30" s="390">
        <f t="shared" si="64"/>
        <v>0.38</v>
      </c>
      <c r="CR30" s="391"/>
    </row>
    <row r="31" spans="2:96" ht="13">
      <c r="B31" s="389">
        <v>200</v>
      </c>
      <c r="C31" s="291">
        <v>0.56000000000000005</v>
      </c>
      <c r="D31" s="291">
        <f t="shared" si="36"/>
        <v>0.13</v>
      </c>
      <c r="E31" s="390">
        <f t="shared" si="37"/>
        <v>0.43000000000000005</v>
      </c>
      <c r="F31" s="391"/>
      <c r="G31" s="392"/>
      <c r="H31" s="389">
        <v>200</v>
      </c>
      <c r="I31" s="291">
        <v>0.45</v>
      </c>
      <c r="J31" s="291">
        <f t="shared" si="38"/>
        <v>0.28000000000000003</v>
      </c>
      <c r="K31" s="390">
        <f t="shared" si="39"/>
        <v>0.16999999999999998</v>
      </c>
      <c r="L31" s="391"/>
      <c r="M31" s="392"/>
      <c r="N31" s="389">
        <v>200</v>
      </c>
      <c r="O31" s="291">
        <v>-0.1</v>
      </c>
      <c r="P31" s="291">
        <f t="shared" si="40"/>
        <v>0.05</v>
      </c>
      <c r="Q31" s="390">
        <f t="shared" si="41"/>
        <v>0.15000000000000002</v>
      </c>
      <c r="R31" s="391"/>
      <c r="S31" s="377"/>
      <c r="T31" s="389">
        <v>200</v>
      </c>
      <c r="U31" s="291">
        <f t="shared" si="42"/>
        <v>-1.01</v>
      </c>
      <c r="V31" s="291"/>
      <c r="W31" s="390">
        <f t="shared" si="43"/>
        <v>9.0000000000000011E-2</v>
      </c>
      <c r="X31" s="391"/>
      <c r="Y31" s="377"/>
      <c r="Z31" s="389">
        <v>200</v>
      </c>
      <c r="AA31" s="291">
        <f t="shared" si="44"/>
        <v>0.64</v>
      </c>
      <c r="AB31" s="291">
        <v>-0.25</v>
      </c>
      <c r="AC31" s="390">
        <f t="shared" si="45"/>
        <v>0.89</v>
      </c>
      <c r="AD31" s="391"/>
      <c r="AE31" s="377"/>
      <c r="AF31" s="389">
        <v>200</v>
      </c>
      <c r="AG31" s="291">
        <f t="shared" si="46"/>
        <v>0.66</v>
      </c>
      <c r="AH31" s="291">
        <v>-0.47</v>
      </c>
      <c r="AI31" s="390">
        <f t="shared" si="47"/>
        <v>1.1299999999999999</v>
      </c>
      <c r="AJ31" s="391"/>
      <c r="AK31" s="377"/>
      <c r="AL31" s="389">
        <v>200</v>
      </c>
      <c r="AM31" s="291">
        <f t="shared" si="48"/>
        <v>0.96</v>
      </c>
      <c r="AN31" s="291"/>
      <c r="AO31" s="390">
        <f t="shared" si="49"/>
        <v>8.3333333333333329E-2</v>
      </c>
      <c r="AP31" s="391"/>
      <c r="AQ31" s="377"/>
      <c r="AR31" s="389">
        <v>200</v>
      </c>
      <c r="AS31" s="291">
        <f t="shared" si="50"/>
        <v>0.9</v>
      </c>
      <c r="AT31" s="291"/>
      <c r="AU31" s="390">
        <f t="shared" si="51"/>
        <v>0.08</v>
      </c>
      <c r="AV31" s="391"/>
      <c r="AW31" s="377"/>
      <c r="AX31" s="389">
        <v>200</v>
      </c>
      <c r="AY31" s="291">
        <f t="shared" si="52"/>
        <v>-0.28000000000000003</v>
      </c>
      <c r="AZ31" s="291"/>
      <c r="BA31" s="390">
        <f t="shared" si="53"/>
        <v>0.26333333333333336</v>
      </c>
      <c r="BB31" s="391"/>
      <c r="BC31" s="377"/>
      <c r="BD31" s="389">
        <v>200</v>
      </c>
      <c r="BE31" s="291">
        <f t="shared" si="54"/>
        <v>-0.38</v>
      </c>
      <c r="BF31" s="291"/>
      <c r="BG31" s="390">
        <f t="shared" si="55"/>
        <v>9.3333333333333338E-2</v>
      </c>
      <c r="BH31" s="391"/>
      <c r="BI31" s="377"/>
      <c r="BJ31" s="389">
        <v>200</v>
      </c>
      <c r="BK31" s="291">
        <f t="shared" si="56"/>
        <v>-0.28000000000000003</v>
      </c>
      <c r="BL31" s="291"/>
      <c r="BM31" s="390">
        <f t="shared" si="57"/>
        <v>0.26333333333333336</v>
      </c>
      <c r="BN31" s="391"/>
      <c r="BO31" s="377"/>
      <c r="BP31" s="389">
        <v>200</v>
      </c>
      <c r="BQ31" s="291">
        <f t="shared" si="58"/>
        <v>-0.85</v>
      </c>
      <c r="BR31" s="291"/>
      <c r="BS31" s="390">
        <f t="shared" si="59"/>
        <v>8.3333333333333329E-2</v>
      </c>
      <c r="BT31" s="391"/>
      <c r="BU31" s="377"/>
      <c r="BV31" s="389">
        <v>200</v>
      </c>
      <c r="BW31" s="291">
        <f t="shared" si="60"/>
        <v>-1.34</v>
      </c>
      <c r="BX31" s="291"/>
      <c r="BY31" s="390">
        <f t="shared" si="61"/>
        <v>9.0000000000000011E-2</v>
      </c>
      <c r="BZ31" s="391"/>
      <c r="CA31" s="377"/>
      <c r="CB31" s="389">
        <v>200</v>
      </c>
      <c r="CC31" s="291">
        <f t="shared" si="33"/>
        <v>-0.9</v>
      </c>
      <c r="CD31" s="291">
        <f t="shared" si="65"/>
        <v>-0.6</v>
      </c>
      <c r="CE31" s="390">
        <f t="shared" si="62"/>
        <v>0.30000000000000004</v>
      </c>
      <c r="CF31" s="391"/>
      <c r="CH31" s="389">
        <v>200</v>
      </c>
      <c r="CI31" s="291">
        <f t="shared" si="34"/>
        <v>0.34</v>
      </c>
      <c r="CJ31" s="291">
        <f t="shared" si="34"/>
        <v>0.47</v>
      </c>
      <c r="CK31" s="390">
        <f t="shared" si="63"/>
        <v>0.12999999999999995</v>
      </c>
      <c r="CL31" s="391"/>
      <c r="CN31" s="389">
        <v>200</v>
      </c>
      <c r="CO31" s="291">
        <f t="shared" si="35"/>
        <v>-0.26</v>
      </c>
      <c r="CP31" s="291">
        <f t="shared" si="35"/>
        <v>0.99</v>
      </c>
      <c r="CQ31" s="390">
        <f t="shared" si="64"/>
        <v>1.25</v>
      </c>
      <c r="CR31" s="391"/>
    </row>
    <row r="32" spans="2:96" s="377" customFormat="1" ht="13">
      <c r="B32" s="397"/>
      <c r="C32" s="378"/>
      <c r="D32" s="378"/>
      <c r="E32" s="395"/>
      <c r="F32" s="392"/>
      <c r="G32" s="392"/>
      <c r="H32" s="397"/>
      <c r="I32" s="378"/>
      <c r="J32" s="378"/>
      <c r="K32" s="395"/>
      <c r="L32" s="379"/>
      <c r="M32" s="392"/>
      <c r="N32" s="397"/>
      <c r="O32" s="378"/>
      <c r="P32" s="378"/>
      <c r="Q32" s="395"/>
      <c r="R32" s="379"/>
      <c r="T32" s="397"/>
      <c r="U32" s="378"/>
      <c r="V32" s="378"/>
      <c r="W32" s="395"/>
      <c r="X32" s="379"/>
      <c r="Z32" s="397"/>
      <c r="AA32" s="378"/>
      <c r="AB32" s="378"/>
      <c r="AC32" s="395"/>
      <c r="AD32" s="379"/>
      <c r="AF32" s="397"/>
      <c r="AG32" s="378"/>
      <c r="AH32" s="378"/>
      <c r="AI32" s="395"/>
      <c r="AJ32" s="379"/>
      <c r="AL32" s="397"/>
      <c r="AM32" s="378"/>
      <c r="AN32" s="378"/>
      <c r="AO32" s="395"/>
      <c r="AP32" s="379"/>
      <c r="AR32" s="397"/>
      <c r="AS32" s="378"/>
      <c r="AT32" s="378"/>
      <c r="AU32" s="395"/>
      <c r="AV32" s="379"/>
      <c r="AX32" s="397"/>
      <c r="AY32" s="378"/>
      <c r="AZ32" s="378"/>
      <c r="BA32" s="395"/>
      <c r="BB32" s="379"/>
      <c r="BD32" s="397"/>
      <c r="BE32" s="378"/>
      <c r="BF32" s="378"/>
      <c r="BG32" s="395"/>
      <c r="BH32" s="379"/>
      <c r="BJ32" s="397"/>
      <c r="BK32" s="378"/>
      <c r="BL32" s="378"/>
      <c r="BM32" s="395"/>
      <c r="BN32" s="379"/>
      <c r="BP32" s="397"/>
      <c r="BQ32" s="378"/>
      <c r="BR32" s="378"/>
      <c r="BS32" s="395"/>
      <c r="BT32" s="379"/>
      <c r="BV32" s="397"/>
      <c r="BW32" s="378"/>
      <c r="BX32" s="378"/>
      <c r="BY32" s="395"/>
      <c r="BZ32" s="379"/>
      <c r="CB32" s="397"/>
      <c r="CC32" s="378"/>
      <c r="CD32" s="378"/>
      <c r="CE32" s="395"/>
      <c r="CF32" s="379"/>
      <c r="CH32" s="397"/>
      <c r="CI32" s="378"/>
      <c r="CJ32" s="378"/>
      <c r="CK32" s="395"/>
      <c r="CL32" s="379"/>
      <c r="CN32" s="397"/>
      <c r="CO32" s="378"/>
      <c r="CP32" s="378"/>
      <c r="CQ32" s="395"/>
      <c r="CR32" s="379"/>
    </row>
    <row r="33" spans="2:96" ht="24" customHeight="1">
      <c r="B33" s="1198" t="s">
        <v>388</v>
      </c>
      <c r="C33" s="1200" t="str">
        <f>C18</f>
        <v>Thermocouple Data Logger, Merek : MADGETECH, Model : OctTemp 2000, SN : P40270</v>
      </c>
      <c r="D33" s="1200"/>
      <c r="E33" s="1200"/>
      <c r="F33" s="380" t="s">
        <v>648</v>
      </c>
      <c r="G33" s="381"/>
      <c r="H33" s="1198" t="s">
        <v>388</v>
      </c>
      <c r="I33" s="1200" t="str">
        <f>I18</f>
        <v>Thermocouple Data Logger, Merek : MADGETECH, Model : OctTemp 2000, SN : P41878</v>
      </c>
      <c r="J33" s="1200"/>
      <c r="K33" s="1200"/>
      <c r="L33" s="380" t="s">
        <v>648</v>
      </c>
      <c r="M33" s="381"/>
      <c r="N33" s="1198" t="s">
        <v>388</v>
      </c>
      <c r="O33" s="1200" t="str">
        <f>O18</f>
        <v>Mobile Corder, Merek : Yokogawa, Model : GP 10, SN : S5T810599</v>
      </c>
      <c r="P33" s="1203"/>
      <c r="Q33" s="1200"/>
      <c r="R33" s="380" t="s">
        <v>648</v>
      </c>
      <c r="S33" s="377"/>
      <c r="T33" s="1198" t="s">
        <v>388</v>
      </c>
      <c r="U33" s="1200" t="str">
        <f>U18</f>
        <v>Wireless Temperature Recorder, Merek : HIOKI, Model : LR 8510, SN : 200936000</v>
      </c>
      <c r="V33" s="1203"/>
      <c r="W33" s="1200"/>
      <c r="X33" s="380" t="s">
        <v>648</v>
      </c>
      <c r="Y33" s="377"/>
      <c r="Z33" s="1198" t="s">
        <v>388</v>
      </c>
      <c r="AA33" s="1200" t="str">
        <f>AA18</f>
        <v>Wireless Temperature Recorder, Merek : HIOKI, Model : LR 8510, SN : 200936001</v>
      </c>
      <c r="AB33" s="1203"/>
      <c r="AC33" s="1200"/>
      <c r="AD33" s="380" t="s">
        <v>648</v>
      </c>
      <c r="AE33" s="377"/>
      <c r="AF33" s="1198" t="s">
        <v>388</v>
      </c>
      <c r="AG33" s="1200" t="str">
        <f>AG18</f>
        <v>Wireless Temperature Recorder, Merek : HIOKI, Model : LR 8510, SN : 200821397</v>
      </c>
      <c r="AH33" s="1203"/>
      <c r="AI33" s="1200"/>
      <c r="AJ33" s="380" t="s">
        <v>648</v>
      </c>
      <c r="AK33" s="377"/>
      <c r="AL33" s="1198" t="s">
        <v>388</v>
      </c>
      <c r="AM33" s="1200" t="str">
        <f>AM18</f>
        <v>Wireless Temperature Recorder, Merek : HIOKI, Model : LR 8510, SN : 210411983</v>
      </c>
      <c r="AN33" s="1203"/>
      <c r="AO33" s="1200"/>
      <c r="AP33" s="380" t="s">
        <v>648</v>
      </c>
      <c r="AQ33" s="377"/>
      <c r="AR33" s="1198" t="s">
        <v>388</v>
      </c>
      <c r="AS33" s="1200" t="str">
        <f>AS18</f>
        <v>Wireless Temperature Recorder, Merek : HIOKI, Model : LR 8510, SN : 210411984</v>
      </c>
      <c r="AT33" s="1203"/>
      <c r="AU33" s="1200"/>
      <c r="AV33" s="380" t="s">
        <v>648</v>
      </c>
      <c r="AW33" s="377"/>
      <c r="AX33" s="1198" t="s">
        <v>388</v>
      </c>
      <c r="AY33" s="1200" t="str">
        <f>AY18</f>
        <v>Wireless Temperature Recorder, Merek : HIOKI, Model : LR 8510, SN : 210411985</v>
      </c>
      <c r="AZ33" s="1203"/>
      <c r="BA33" s="1200"/>
      <c r="BB33" s="380" t="s">
        <v>648</v>
      </c>
      <c r="BC33" s="377"/>
      <c r="BD33" s="1198" t="s">
        <v>388</v>
      </c>
      <c r="BE33" s="1200" t="str">
        <f>BE18</f>
        <v>Wireless Temperature Recorder, Merek : HIOKI, Model : LR 8510, SN : 210746054</v>
      </c>
      <c r="BF33" s="1203"/>
      <c r="BG33" s="1200"/>
      <c r="BH33" s="380" t="s">
        <v>648</v>
      </c>
      <c r="BI33" s="377"/>
      <c r="BJ33" s="1198" t="s">
        <v>388</v>
      </c>
      <c r="BK33" s="1200" t="str">
        <f>BK18</f>
        <v>Wireless Temperature Recorder, Merek : HIOKI, Model : LR 8510, SN : 210746055</v>
      </c>
      <c r="BL33" s="1203"/>
      <c r="BM33" s="1200"/>
      <c r="BN33" s="380" t="s">
        <v>648</v>
      </c>
      <c r="BO33" s="377"/>
      <c r="BP33" s="1198" t="s">
        <v>388</v>
      </c>
      <c r="BQ33" s="1200" t="str">
        <f>BQ18</f>
        <v>Wireless Temperature Recorder, Merek : HIOKI, Model : LR 8510, SN : 210746056</v>
      </c>
      <c r="BR33" s="1203"/>
      <c r="BS33" s="1200"/>
      <c r="BT33" s="380" t="s">
        <v>648</v>
      </c>
      <c r="BU33" s="377"/>
      <c r="BV33" s="1198" t="s">
        <v>388</v>
      </c>
      <c r="BW33" s="1200" t="str">
        <f>BW18</f>
        <v>Wireless Temperature Recorder, Merek : HIOKI, Model : LR 8510, SN : 200821396</v>
      </c>
      <c r="BX33" s="1203"/>
      <c r="BY33" s="1200"/>
      <c r="BZ33" s="380" t="s">
        <v>648</v>
      </c>
      <c r="CA33" s="377"/>
      <c r="CB33" s="1198" t="s">
        <v>388</v>
      </c>
      <c r="CC33" s="1200" t="str">
        <f>CC18</f>
        <v>Reference Thermometer, Merek : APPA, Model : APPA51, SN : 03002948</v>
      </c>
      <c r="CD33" s="1203"/>
      <c r="CE33" s="1200"/>
      <c r="CF33" s="380" t="s">
        <v>648</v>
      </c>
      <c r="CH33" s="1198" t="s">
        <v>388</v>
      </c>
      <c r="CI33" s="1200" t="str">
        <f t="shared" ref="CI33:CJ46" si="66">CI18</f>
        <v>Reference Thermometer, Merek : FLUKE, Model : 1524, SN : 1803038</v>
      </c>
      <c r="CJ33" s="1203"/>
      <c r="CK33" s="1200"/>
      <c r="CL33" s="380" t="s">
        <v>648</v>
      </c>
      <c r="CN33" s="1198" t="s">
        <v>388</v>
      </c>
      <c r="CO33" s="1200" t="str">
        <f t="shared" ref="CO33:CP46" si="67">CO18</f>
        <v>Reference Thermometer, Merek : FLUKE, Model : 1524, SN : 1803037</v>
      </c>
      <c r="CP33" s="1203"/>
      <c r="CQ33" s="1200"/>
      <c r="CR33" s="380" t="s">
        <v>648</v>
      </c>
    </row>
    <row r="34" spans="2:96" ht="13">
      <c r="B34" s="1199"/>
      <c r="C34" s="387">
        <f>C19</f>
        <v>2021</v>
      </c>
      <c r="D34" s="387">
        <f>D19</f>
        <v>2022</v>
      </c>
      <c r="E34" s="384" t="s">
        <v>386</v>
      </c>
      <c r="F34" s="388">
        <f ca="1">$B$290</f>
        <v>37.19</v>
      </c>
      <c r="G34" s="385"/>
      <c r="H34" s="1199"/>
      <c r="I34" s="386">
        <f>I19</f>
        <v>2021</v>
      </c>
      <c r="J34" s="387">
        <f>J19</f>
        <v>2022</v>
      </c>
      <c r="K34" s="384" t="s">
        <v>386</v>
      </c>
      <c r="L34" s="388">
        <f ca="1">$B$290</f>
        <v>37.19</v>
      </c>
      <c r="M34" s="385"/>
      <c r="N34" s="1199"/>
      <c r="O34" s="386">
        <f>O4</f>
        <v>2021</v>
      </c>
      <c r="P34" s="387">
        <f>P4</f>
        <v>2023</v>
      </c>
      <c r="Q34" s="384" t="s">
        <v>386</v>
      </c>
      <c r="R34" s="388">
        <f ca="1">$B$290</f>
        <v>37.19</v>
      </c>
      <c r="S34" s="377"/>
      <c r="T34" s="1199"/>
      <c r="U34" s="386">
        <f>U19</f>
        <v>2021</v>
      </c>
      <c r="V34" s="387"/>
      <c r="W34" s="384" t="s">
        <v>386</v>
      </c>
      <c r="X34" s="388">
        <f ca="1">$B$290</f>
        <v>37.19</v>
      </c>
      <c r="Y34" s="377"/>
      <c r="Z34" s="1199"/>
      <c r="AA34" s="386">
        <f>AA19</f>
        <v>2023</v>
      </c>
      <c r="AB34" s="387">
        <f>AB19</f>
        <v>2021</v>
      </c>
      <c r="AC34" s="384" t="s">
        <v>386</v>
      </c>
      <c r="AD34" s="388">
        <f ca="1">$B$290</f>
        <v>37.19</v>
      </c>
      <c r="AE34" s="377"/>
      <c r="AF34" s="1199"/>
      <c r="AG34" s="386">
        <f>AG19</f>
        <v>2023</v>
      </c>
      <c r="AH34" s="386">
        <f>AH19</f>
        <v>2021</v>
      </c>
      <c r="AI34" s="384" t="s">
        <v>386</v>
      </c>
      <c r="AJ34" s="388">
        <f ca="1">$B$290</f>
        <v>37.19</v>
      </c>
      <c r="AK34" s="377"/>
      <c r="AL34" s="1199"/>
      <c r="AM34" s="386">
        <f>AM19</f>
        <v>2021</v>
      </c>
      <c r="AN34" s="387"/>
      <c r="AO34" s="384" t="s">
        <v>386</v>
      </c>
      <c r="AP34" s="388">
        <f ca="1">$B$290</f>
        <v>37.19</v>
      </c>
      <c r="AQ34" s="377"/>
      <c r="AR34" s="1199"/>
      <c r="AS34" s="386">
        <f>AS19</f>
        <v>2021</v>
      </c>
      <c r="AT34" s="387"/>
      <c r="AU34" s="384" t="s">
        <v>386</v>
      </c>
      <c r="AV34" s="388">
        <f ca="1">$B$290</f>
        <v>37.19</v>
      </c>
      <c r="AW34" s="377"/>
      <c r="AX34" s="1199"/>
      <c r="AY34" s="386">
        <f>AY19</f>
        <v>2021</v>
      </c>
      <c r="AZ34" s="387"/>
      <c r="BA34" s="384" t="s">
        <v>386</v>
      </c>
      <c r="BB34" s="388">
        <f ca="1">$B$290</f>
        <v>37.19</v>
      </c>
      <c r="BC34" s="377"/>
      <c r="BD34" s="1199"/>
      <c r="BE34" s="386">
        <f>BE19</f>
        <v>2021</v>
      </c>
      <c r="BF34" s="387"/>
      <c r="BG34" s="384" t="s">
        <v>386</v>
      </c>
      <c r="BH34" s="388">
        <f ca="1">$B$290</f>
        <v>37.19</v>
      </c>
      <c r="BI34" s="377"/>
      <c r="BJ34" s="1199"/>
      <c r="BK34" s="386">
        <f>BK19</f>
        <v>2021</v>
      </c>
      <c r="BL34" s="387"/>
      <c r="BM34" s="384" t="s">
        <v>386</v>
      </c>
      <c r="BN34" s="388">
        <f ca="1">$B$290</f>
        <v>37.19</v>
      </c>
      <c r="BO34" s="377"/>
      <c r="BP34" s="1199"/>
      <c r="BQ34" s="386">
        <f>BQ19</f>
        <v>2021</v>
      </c>
      <c r="BR34" s="387"/>
      <c r="BS34" s="384" t="s">
        <v>386</v>
      </c>
      <c r="BT34" s="388">
        <f ca="1">$B$290</f>
        <v>37.19</v>
      </c>
      <c r="BU34" s="377"/>
      <c r="BV34" s="1199"/>
      <c r="BW34" s="386">
        <f>BW19</f>
        <v>2022</v>
      </c>
      <c r="BX34" s="387"/>
      <c r="BY34" s="384" t="s">
        <v>386</v>
      </c>
      <c r="BZ34" s="388">
        <f ca="1">$B$290</f>
        <v>37.19</v>
      </c>
      <c r="CA34" s="377"/>
      <c r="CB34" s="1199"/>
      <c r="CC34" s="386">
        <f>CC19</f>
        <v>2022</v>
      </c>
      <c r="CD34" s="387">
        <f>CD49</f>
        <v>2020</v>
      </c>
      <c r="CE34" s="384" t="s">
        <v>386</v>
      </c>
      <c r="CF34" s="388">
        <f ca="1">$B$290</f>
        <v>37.19</v>
      </c>
      <c r="CH34" s="1199"/>
      <c r="CI34" s="386">
        <f t="shared" si="66"/>
        <v>2021</v>
      </c>
      <c r="CJ34" s="387">
        <f>CJ19</f>
        <v>2019</v>
      </c>
      <c r="CK34" s="384" t="s">
        <v>386</v>
      </c>
      <c r="CL34" s="388">
        <f ca="1">$B$290</f>
        <v>37.19</v>
      </c>
      <c r="CN34" s="1199"/>
      <c r="CO34" s="386">
        <f t="shared" si="67"/>
        <v>2021</v>
      </c>
      <c r="CP34" s="387">
        <f>CP19</f>
        <v>2020</v>
      </c>
      <c r="CQ34" s="384" t="s">
        <v>386</v>
      </c>
      <c r="CR34" s="388">
        <f ca="1">$B$290</f>
        <v>37.19</v>
      </c>
    </row>
    <row r="35" spans="2:96" ht="13">
      <c r="B35" s="389">
        <v>-20</v>
      </c>
      <c r="C35" s="291">
        <v>-0.43</v>
      </c>
      <c r="D35" s="291">
        <f t="shared" ref="D35:D46" si="68">C175</f>
        <v>-0.6</v>
      </c>
      <c r="E35" s="390">
        <f t="shared" ref="E35:E46" si="69">IF(OR(C35=0,D35=0),$C$187/3,((MAX(C35:D35)-(MIN(C35:D35)))))</f>
        <v>0.16999999999999998</v>
      </c>
      <c r="F35" s="932">
        <f ca="1">IF($L$4&lt;=$B$10,$B$9,IF($L$4&lt;=$B$11,$B$10,IF($L$4&lt;=$B$12,$B$11,IF($L$4&lt;=$B$13,$B$12,IF($L$4&lt;=$B$14,$B$13)))))</f>
        <v>37</v>
      </c>
      <c r="G35" s="392"/>
      <c r="H35" s="389">
        <v>-20</v>
      </c>
      <c r="I35" s="291">
        <v>-0.77</v>
      </c>
      <c r="J35" s="291">
        <f t="shared" ref="J35:J46" si="70">D175</f>
        <v>-0.48</v>
      </c>
      <c r="K35" s="390">
        <f t="shared" ref="K35:K46" si="71">IF(OR(I35=0,J35=0),$D$187/3,((MAX(I35:J35)-(MIN(I35:J35)))))</f>
        <v>0.29000000000000004</v>
      </c>
      <c r="L35" s="932">
        <f ca="1">IF($L$4&lt;=$B$10,$B$9,IF($L$4&lt;=$B$11,$B$10,IF($L$4&lt;=$B$12,$B$11,IF($L$4&lt;=$B$13,$B$12,IF($L$4&lt;=$B$14,$B$13)))))</f>
        <v>37</v>
      </c>
      <c r="M35" s="392"/>
      <c r="N35" s="389">
        <v>-20</v>
      </c>
      <c r="O35" s="291">
        <v>9.9999999999999995E-7</v>
      </c>
      <c r="P35" s="291">
        <f t="shared" ref="P35:P46" si="72">E175</f>
        <v>-0.47</v>
      </c>
      <c r="Q35" s="390">
        <f t="shared" ref="Q35:Q46" si="73">IF(OR(O35=0,P35=0),$E$187/3,((MAX(O35:P35)-(MIN(O35:P35)))))</f>
        <v>0.47000099999999995</v>
      </c>
      <c r="R35" s="932">
        <f ca="1">IF($L$4&lt;=$B$10,$B$9,IF($L$4&lt;=$B$11,$B$10,IF($L$4&lt;=$B$12,$B$11,IF($L$4&lt;=$B$13,$B$12,IF($L$4&lt;=$B$14,$B$13)))))</f>
        <v>37</v>
      </c>
      <c r="S35" s="377"/>
      <c r="T35" s="389">
        <v>-20</v>
      </c>
      <c r="U35" s="291">
        <f t="shared" ref="U35:U46" si="74">F175</f>
        <v>-1.45</v>
      </c>
      <c r="V35" s="291"/>
      <c r="W35" s="390">
        <f t="shared" ref="W35:W46" si="75">IF(OR(U35=0,V35=0),$F$187/3,((MAX(U35:V35)-(MIN(U35:V35)))))</f>
        <v>8.3333333333333329E-2</v>
      </c>
      <c r="X35" s="932">
        <f ca="1">IF($L$4&lt;=$B$10,$B$9,IF($L$4&lt;=$B$11,$B$10,IF($L$4&lt;=$B$12,$B$11,IF($L$4&lt;=$B$13,$B$12,IF($L$4&lt;=$B$14,$B$13)))))</f>
        <v>37</v>
      </c>
      <c r="Y35" s="377"/>
      <c r="Z35" s="389">
        <v>-20</v>
      </c>
      <c r="AA35" s="291">
        <f t="shared" ref="AA35:AA46" si="76">G175</f>
        <v>0.05</v>
      </c>
      <c r="AB35" s="291">
        <v>-0.39</v>
      </c>
      <c r="AC35" s="390">
        <f t="shared" ref="AC35:AC46" si="77">IF(OR(AA35=0,AB35=0),$G$187/3,((MAX(AA35:AB35)-(MIN(AA35:AB35)))))</f>
        <v>0.44</v>
      </c>
      <c r="AD35" s="932">
        <f ca="1">IF($L$4&lt;=$B$10,$B$9,IF($L$4&lt;=$B$11,$B$10,IF($L$4&lt;=$B$12,$B$11,IF($L$4&lt;=$B$13,$B$12,IF($L$4&lt;=$B$14,$B$13)))))</f>
        <v>37</v>
      </c>
      <c r="AE35" s="377"/>
      <c r="AF35" s="389">
        <v>-20</v>
      </c>
      <c r="AG35" s="291">
        <f t="shared" ref="AG35:AG46" si="78">H175</f>
        <v>0.05</v>
      </c>
      <c r="AH35" s="291">
        <v>0.01</v>
      </c>
      <c r="AI35" s="390">
        <f t="shared" ref="AI35:AI46" si="79">IF(OR(AG35=0,AH35=0),$H$187/3,((MAX(AG35:AH35)-(MIN(AG35:AH35)))))</f>
        <v>0.04</v>
      </c>
      <c r="AJ35" s="932">
        <f ca="1">IF($L$4&lt;=$B$10,$B$9,IF($L$4&lt;=$B$11,$B$10,IF($L$4&lt;=$B$12,$B$11,IF($L$4&lt;=$B$13,$B$12,IF($L$4&lt;=$B$14,$B$13)))))</f>
        <v>37</v>
      </c>
      <c r="AK35" s="377"/>
      <c r="AL35" s="389">
        <v>-20</v>
      </c>
      <c r="AM35" s="291">
        <f t="shared" ref="AM35:AM46" si="80">I175</f>
        <v>0.43</v>
      </c>
      <c r="AN35" s="291"/>
      <c r="AO35" s="390">
        <f t="shared" ref="AO35:AO46" si="81">IF(OR(AM35=0,AN35=0),$I$187/3,((MAX(AM35:AN35)-(MIN(AM35:AN35)))))</f>
        <v>0.08</v>
      </c>
      <c r="AP35" s="932">
        <f ca="1">IF($L$4&lt;=$B$10,$B$9,IF($L$4&lt;=$B$11,$B$10,IF($L$4&lt;=$B$12,$B$11,IF($L$4&lt;=$B$13,$B$12,IF($L$4&lt;=$B$14,$B$13)))))</f>
        <v>37</v>
      </c>
      <c r="AQ35" s="377"/>
      <c r="AR35" s="389">
        <v>-20</v>
      </c>
      <c r="AS35" s="291">
        <f t="shared" ref="AS35:AS46" si="82">J175</f>
        <v>0.33</v>
      </c>
      <c r="AT35" s="291"/>
      <c r="AU35" s="390">
        <f t="shared" ref="AU35:AU46" si="83">IF(OR(AS35=0,AT35=0),$J$187/3,((MAX(AS35:AT35)-(MIN(AS35:AT35)))))</f>
        <v>0.08</v>
      </c>
      <c r="AV35" s="932">
        <f ca="1">IF($L$4&lt;=$B$10,$B$9,IF($L$4&lt;=$B$11,$B$10,IF($L$4&lt;=$B$12,$B$11,IF($L$4&lt;=$B$13,$B$12,IF($L$4&lt;=$B$14,$B$13)))))</f>
        <v>37</v>
      </c>
      <c r="AW35" s="377"/>
      <c r="AX35" s="389">
        <v>-20</v>
      </c>
      <c r="AY35" s="291">
        <f t="shared" ref="AY35:AY46" si="84">K175</f>
        <v>0.57999999999999996</v>
      </c>
      <c r="AZ35" s="291"/>
      <c r="BA35" s="390">
        <f t="shared" ref="BA35:BA46" si="85">IF(OR(AY35=0,AZ35=0),$K$187/3,((MAX(AY35:AZ35)-(MIN(AY35:AZ35)))))</f>
        <v>0.26333333333333336</v>
      </c>
      <c r="BB35" s="932">
        <f ca="1">IF($L$4&lt;=$B$10,$B$9,IF($L$4&lt;=$B$11,$B$10,IF($L$4&lt;=$B$12,$B$11,IF($L$4&lt;=$B$13,$B$12,IF($L$4&lt;=$B$14,$B$13)))))</f>
        <v>37</v>
      </c>
      <c r="BC35" s="377"/>
      <c r="BD35" s="389">
        <v>-20</v>
      </c>
      <c r="BE35" s="291">
        <f t="shared" ref="BE35:BE46" si="86">L175</f>
        <v>-0.93</v>
      </c>
      <c r="BF35" s="291"/>
      <c r="BG35" s="390">
        <f t="shared" ref="BG35:BG46" si="87">IF(OR(BE35=0,BF35=0),$L$187/3,((MAX(BE35:BF35)-(MIN(BE35:BF35)))))</f>
        <v>9.0000000000000011E-2</v>
      </c>
      <c r="BH35" s="932">
        <f ca="1">IF($L$4&lt;=$B$10,$B$9,IF($L$4&lt;=$B$11,$B$10,IF($L$4&lt;=$B$12,$B$11,IF($L$4&lt;=$B$13,$B$12,IF($L$4&lt;=$B$14,$B$13)))))</f>
        <v>37</v>
      </c>
      <c r="BI35" s="377"/>
      <c r="BJ35" s="389">
        <v>-20</v>
      </c>
      <c r="BK35" s="291">
        <f t="shared" ref="BK35:BK46" si="88">M175</f>
        <v>0.57999999999999996</v>
      </c>
      <c r="BL35" s="291"/>
      <c r="BM35" s="390">
        <f t="shared" ref="BM35:BM46" si="89">IF(OR(BK35=0,BL35=0),$M$187/3,((MAX(BK35:BL35)-(MIN(BK35:BL35)))))</f>
        <v>0.26333333333333336</v>
      </c>
      <c r="BN35" s="932">
        <f ca="1">IF($L$4&lt;=$B$10,$B$9,IF($L$4&lt;=$B$11,$B$10,IF($L$4&lt;=$B$12,$B$11,IF($L$4&lt;=$B$13,$B$12,IF($L$4&lt;=$B$14,$B$13)))))</f>
        <v>37</v>
      </c>
      <c r="BO35" s="377"/>
      <c r="BP35" s="389">
        <v>-20</v>
      </c>
      <c r="BQ35" s="291">
        <f t="shared" ref="BQ35:BQ46" si="90">N175</f>
        <v>-1.33</v>
      </c>
      <c r="BR35" s="291"/>
      <c r="BS35" s="390">
        <f t="shared" ref="BS35:BS46" si="91">IF(OR(BQ35=0,BR35=0),$N$187/3,((MAX(BQ35:BR35)-(MIN(BQ35:BR35)))))</f>
        <v>8.3333333333333329E-2</v>
      </c>
      <c r="BT35" s="932">
        <f ca="1">IF($L$4&lt;=$B$10,$B$9,IF($L$4&lt;=$B$11,$B$10,IF($L$4&lt;=$B$12,$B$11,IF($L$4&lt;=$B$13,$B$12,IF($L$4&lt;=$B$14,$B$13)))))</f>
        <v>37</v>
      </c>
      <c r="BU35" s="377"/>
      <c r="BV35" s="389">
        <v>-20</v>
      </c>
      <c r="BW35" s="291">
        <f t="shared" ref="BW35:BW46" si="92">O175</f>
        <v>-1.47</v>
      </c>
      <c r="BX35" s="291"/>
      <c r="BY35" s="390">
        <f t="shared" ref="BY35:BY46" si="93">IF(OR(BW35=0,BX35=0),$O$187/3,((MAX(BW35:BX35)-(MIN(BW35:BX35)))))</f>
        <v>9.0000000000000011E-2</v>
      </c>
      <c r="BZ35" s="932">
        <f ca="1">IF($L$4&lt;=$B$10,$B$9,IF($L$4&lt;=$B$11,$B$10,IF($L$4&lt;=$B$12,$B$11,IF($L$4&lt;=$B$13,$B$12,IF($L$4&lt;=$B$14,$B$13)))))</f>
        <v>37</v>
      </c>
      <c r="CA35" s="377"/>
      <c r="CB35" s="389">
        <v>-20</v>
      </c>
      <c r="CC35" s="291">
        <f t="shared" ref="CC35:CC46" si="94">CC5</f>
        <v>-1.1000000000000001</v>
      </c>
      <c r="CD35" s="291">
        <f>CD50</f>
        <v>-0.7</v>
      </c>
      <c r="CE35" s="390">
        <f t="shared" ref="CE35:CE46" si="95">CE20</f>
        <v>0.40000000000000013</v>
      </c>
      <c r="CF35" s="932">
        <f ca="1">IF($L$4&lt;=$B$10,$B$9,IF($L$4&lt;=$B$11,$B$10,IF($L$4&lt;=$B$12,$B$11,IF($L$4&lt;=$B$13,$B$12,IF($L$4&lt;=$B$14,$B$13)))))</f>
        <v>37</v>
      </c>
      <c r="CH35" s="389">
        <v>-20</v>
      </c>
      <c r="CI35" s="291">
        <f t="shared" si="66"/>
        <v>-0.15</v>
      </c>
      <c r="CJ35" s="291">
        <f>CJ20</f>
        <v>-0.32</v>
      </c>
      <c r="CK35" s="390">
        <f t="shared" ref="CK35:CK46" si="96">CK20</f>
        <v>0.17</v>
      </c>
      <c r="CL35" s="932">
        <f ca="1">IF($L$4&lt;=$B$10,$B$9,IF($L$4&lt;=$B$11,$B$10,IF($L$4&lt;=$B$12,$B$11,IF($L$4&lt;=$B$13,$B$12,IF($L$4&lt;=$B$14,$B$13)))))</f>
        <v>37</v>
      </c>
      <c r="CN35" s="389">
        <v>-20</v>
      </c>
      <c r="CO35" s="291">
        <f t="shared" si="67"/>
        <v>-1.8</v>
      </c>
      <c r="CP35" s="291">
        <f>CP20</f>
        <v>-0.51</v>
      </c>
      <c r="CQ35" s="390">
        <f t="shared" ref="CQ35:CQ46" si="97">CQ20</f>
        <v>1.29</v>
      </c>
      <c r="CR35" s="932">
        <f ca="1">IF($L$4&lt;=$B$10,$B$9,IF($L$4&lt;=$B$11,$B$10,IF($L$4&lt;=$B$12,$B$11,IF($L$4&lt;=$B$13,$B$12,IF($L$4&lt;=$B$14,$B$13)))))</f>
        <v>37</v>
      </c>
    </row>
    <row r="36" spans="2:96" ht="13">
      <c r="B36" s="389">
        <v>-15</v>
      </c>
      <c r="C36" s="291">
        <v>-0.34</v>
      </c>
      <c r="D36" s="291">
        <f t="shared" si="68"/>
        <v>-0.53</v>
      </c>
      <c r="E36" s="390">
        <f t="shared" si="69"/>
        <v>0.19</v>
      </c>
      <c r="F36" s="391"/>
      <c r="G36" s="392"/>
      <c r="H36" s="389">
        <v>-15</v>
      </c>
      <c r="I36" s="291">
        <v>-0.63</v>
      </c>
      <c r="J36" s="291">
        <f t="shared" si="70"/>
        <v>-0.41</v>
      </c>
      <c r="K36" s="390">
        <f t="shared" si="71"/>
        <v>0.22000000000000003</v>
      </c>
      <c r="L36" s="391"/>
      <c r="M36" s="392"/>
      <c r="N36" s="389">
        <v>-15</v>
      </c>
      <c r="O36" s="291">
        <v>-0.56000000000000005</v>
      </c>
      <c r="P36" s="291">
        <f t="shared" si="72"/>
        <v>-0.39</v>
      </c>
      <c r="Q36" s="390">
        <f t="shared" si="73"/>
        <v>0.17000000000000004</v>
      </c>
      <c r="R36" s="391"/>
      <c r="S36" s="377"/>
      <c r="T36" s="389">
        <v>-15</v>
      </c>
      <c r="U36" s="291">
        <f t="shared" si="74"/>
        <v>-1.23</v>
      </c>
      <c r="V36" s="291"/>
      <c r="W36" s="390">
        <f t="shared" si="75"/>
        <v>8.3333333333333329E-2</v>
      </c>
      <c r="X36" s="391"/>
      <c r="Y36" s="377"/>
      <c r="Z36" s="389">
        <v>-15</v>
      </c>
      <c r="AA36" s="291">
        <f t="shared" si="76"/>
        <v>0.1</v>
      </c>
      <c r="AB36" s="291">
        <v>9.9999999999999995E-7</v>
      </c>
      <c r="AC36" s="390">
        <f t="shared" si="77"/>
        <v>9.9999000000000005E-2</v>
      </c>
      <c r="AD36" s="391"/>
      <c r="AE36" s="377"/>
      <c r="AF36" s="389">
        <v>-15</v>
      </c>
      <c r="AG36" s="291">
        <f t="shared" si="78"/>
        <v>0.09</v>
      </c>
      <c r="AH36" s="291">
        <v>9.9999999999999995E-7</v>
      </c>
      <c r="AI36" s="390">
        <f t="shared" si="79"/>
        <v>8.9998999999999996E-2</v>
      </c>
      <c r="AJ36" s="391"/>
      <c r="AK36" s="377"/>
      <c r="AL36" s="389">
        <v>-15</v>
      </c>
      <c r="AM36" s="291">
        <f t="shared" si="80"/>
        <v>0.45</v>
      </c>
      <c r="AN36" s="291"/>
      <c r="AO36" s="390">
        <f t="shared" si="81"/>
        <v>0.08</v>
      </c>
      <c r="AP36" s="391"/>
      <c r="AQ36" s="377"/>
      <c r="AR36" s="389">
        <v>-15</v>
      </c>
      <c r="AS36" s="291">
        <f t="shared" si="82"/>
        <v>0.36</v>
      </c>
      <c r="AT36" s="291"/>
      <c r="AU36" s="390">
        <f t="shared" si="83"/>
        <v>0.08</v>
      </c>
      <c r="AV36" s="391"/>
      <c r="AW36" s="377"/>
      <c r="AX36" s="389">
        <v>-15</v>
      </c>
      <c r="AY36" s="291">
        <f t="shared" si="84"/>
        <v>9.9999999999999995E-7</v>
      </c>
      <c r="AZ36" s="291"/>
      <c r="BA36" s="390">
        <f t="shared" si="85"/>
        <v>0.26333333333333336</v>
      </c>
      <c r="BB36" s="391"/>
      <c r="BC36" s="377"/>
      <c r="BD36" s="389">
        <v>-15</v>
      </c>
      <c r="BE36" s="291">
        <f t="shared" si="86"/>
        <v>-0.69</v>
      </c>
      <c r="BF36" s="291"/>
      <c r="BG36" s="390">
        <f t="shared" si="87"/>
        <v>9.0000000000000011E-2</v>
      </c>
      <c r="BH36" s="391"/>
      <c r="BI36" s="377"/>
      <c r="BJ36" s="389">
        <v>-15</v>
      </c>
      <c r="BK36" s="291">
        <f t="shared" si="88"/>
        <v>9.9999999999999995E-7</v>
      </c>
      <c r="BL36" s="291"/>
      <c r="BM36" s="390">
        <f t="shared" si="89"/>
        <v>0.26333333333333336</v>
      </c>
      <c r="BN36" s="391"/>
      <c r="BO36" s="377"/>
      <c r="BP36" s="389">
        <v>-15</v>
      </c>
      <c r="BQ36" s="291">
        <f t="shared" si="90"/>
        <v>-1.08</v>
      </c>
      <c r="BR36" s="291"/>
      <c r="BS36" s="390">
        <f t="shared" si="91"/>
        <v>8.3333333333333329E-2</v>
      </c>
      <c r="BT36" s="391"/>
      <c r="BU36" s="377"/>
      <c r="BV36" s="389">
        <v>-15</v>
      </c>
      <c r="BW36" s="291">
        <f t="shared" si="92"/>
        <v>-1.22</v>
      </c>
      <c r="BX36" s="291"/>
      <c r="BY36" s="390">
        <f t="shared" si="93"/>
        <v>9.0000000000000011E-2</v>
      </c>
      <c r="BZ36" s="391"/>
      <c r="CA36" s="377"/>
      <c r="CB36" s="389">
        <v>-15</v>
      </c>
      <c r="CC36" s="291">
        <f t="shared" si="94"/>
        <v>-1.1000000000000001</v>
      </c>
      <c r="CD36" s="291">
        <f t="shared" ref="CD36:CD46" si="98">CD51</f>
        <v>-0.7</v>
      </c>
      <c r="CE36" s="390">
        <f t="shared" si="95"/>
        <v>0.40000000000000013</v>
      </c>
      <c r="CF36" s="391"/>
      <c r="CH36" s="389">
        <v>-15</v>
      </c>
      <c r="CI36" s="291">
        <f t="shared" si="66"/>
        <v>-0.1</v>
      </c>
      <c r="CJ36" s="291">
        <f t="shared" si="66"/>
        <v>-0.24</v>
      </c>
      <c r="CK36" s="390">
        <f t="shared" si="96"/>
        <v>0.13999999999999999</v>
      </c>
      <c r="CL36" s="391"/>
      <c r="CN36" s="389">
        <v>-15</v>
      </c>
      <c r="CO36" s="291">
        <f t="shared" si="67"/>
        <v>-1.52</v>
      </c>
      <c r="CP36" s="291">
        <f t="shared" si="67"/>
        <v>-0.39</v>
      </c>
      <c r="CQ36" s="390">
        <f t="shared" si="97"/>
        <v>1.1299999999999999</v>
      </c>
      <c r="CR36" s="391"/>
    </row>
    <row r="37" spans="2:96" ht="13">
      <c r="B37" s="389">
        <v>-10</v>
      </c>
      <c r="C37" s="291">
        <v>-0.27</v>
      </c>
      <c r="D37" s="291">
        <f t="shared" si="68"/>
        <v>-0.46</v>
      </c>
      <c r="E37" s="390">
        <f t="shared" si="69"/>
        <v>0.19</v>
      </c>
      <c r="F37" s="932">
        <f ca="1">IF($L$4&lt;=$B$9,$B$9,IF($L$4&lt;=$B$10,$B$10,IF($L$4&lt;=$B$11,$B$11,IF($L$4&lt;=$B$12,$B$12,IF($L$4&lt;=$B$13,$B$13,IF($L$4&lt;=$B$14,$B$14))))))</f>
        <v>44</v>
      </c>
      <c r="G37" s="392"/>
      <c r="H37" s="389">
        <v>-10</v>
      </c>
      <c r="I37" s="291">
        <v>0</v>
      </c>
      <c r="J37" s="291">
        <f t="shared" si="70"/>
        <v>-0.35</v>
      </c>
      <c r="K37" s="390">
        <f t="shared" si="71"/>
        <v>0.18666666666666668</v>
      </c>
      <c r="L37" s="932">
        <f ca="1">IF($L$4&lt;=$B$9,$B$9,IF($L$4&lt;=$B$10,$B$10,IF($L$4&lt;=$B$11,$B$11,IF($L$4&lt;=$B$12,$B$12,IF($L$4&lt;=$B$13,$B$13,IF($L$4&lt;=$B$14,$B$14))))))</f>
        <v>44</v>
      </c>
      <c r="M37" s="392"/>
      <c r="N37" s="389">
        <v>-10</v>
      </c>
      <c r="O37" s="291">
        <v>-0.46</v>
      </c>
      <c r="P37" s="291">
        <f t="shared" si="72"/>
        <v>-0.32</v>
      </c>
      <c r="Q37" s="390">
        <f t="shared" si="73"/>
        <v>0.14000000000000001</v>
      </c>
      <c r="R37" s="932">
        <f ca="1">IF($L$4&lt;=$B$9,$B$9,IF($L$4&lt;=$B$10,$B$10,IF($L$4&lt;=$B$11,$B$11,IF($L$4&lt;=$B$12,$B$12,IF($L$4&lt;=$B$13,$B$13,IF($L$4&lt;=$B$14,$B$14))))))</f>
        <v>44</v>
      </c>
      <c r="S37" s="377"/>
      <c r="T37" s="389">
        <v>-10</v>
      </c>
      <c r="U37" s="291">
        <f t="shared" si="74"/>
        <v>-0.98</v>
      </c>
      <c r="V37" s="291"/>
      <c r="W37" s="390">
        <f t="shared" si="75"/>
        <v>8.3333333333333329E-2</v>
      </c>
      <c r="X37" s="932">
        <f ca="1">IF($L$4&lt;=$B$9,$B$9,IF($L$4&lt;=$B$10,$B$10,IF($L$4&lt;=$B$11,$B$11,IF($L$4&lt;=$B$12,$B$12,IF($L$4&lt;=$B$13,$B$13,IF($L$4&lt;=$B$14,$B$14))))))</f>
        <v>44</v>
      </c>
      <c r="Y37" s="377"/>
      <c r="Z37" s="389">
        <v>-10</v>
      </c>
      <c r="AA37" s="291">
        <f t="shared" si="76"/>
        <v>0.13</v>
      </c>
      <c r="AB37" s="291">
        <v>-0.14000000000000001</v>
      </c>
      <c r="AC37" s="390">
        <f t="shared" si="77"/>
        <v>0.27</v>
      </c>
      <c r="AD37" s="932">
        <f ca="1">IF($L$4&lt;=$B$9,$B$9,IF($L$4&lt;=$B$10,$B$10,IF($L$4&lt;=$B$11,$B$11,IF($L$4&lt;=$B$12,$B$12,IF($L$4&lt;=$B$13,$B$13,IF($L$4&lt;=$B$14,$B$14))))))</f>
        <v>44</v>
      </c>
      <c r="AE37" s="377"/>
      <c r="AF37" s="389">
        <v>-10</v>
      </c>
      <c r="AG37" s="291">
        <f t="shared" si="78"/>
        <v>0.12</v>
      </c>
      <c r="AH37" s="291">
        <v>0.19</v>
      </c>
      <c r="AI37" s="390">
        <f t="shared" si="79"/>
        <v>7.0000000000000007E-2</v>
      </c>
      <c r="AJ37" s="932">
        <f ca="1">IF($L$4&lt;=$B$9,$B$9,IF($L$4&lt;=$B$10,$B$10,IF($L$4&lt;=$B$11,$B$11,IF($L$4&lt;=$B$12,$B$12,IF($L$4&lt;=$B$13,$B$13,IF($L$4&lt;=$B$14,$B$14))))))</f>
        <v>44</v>
      </c>
      <c r="AK37" s="377"/>
      <c r="AL37" s="389">
        <v>-10</v>
      </c>
      <c r="AM37" s="291">
        <f t="shared" si="80"/>
        <v>0.46</v>
      </c>
      <c r="AN37" s="291"/>
      <c r="AO37" s="390">
        <f t="shared" si="81"/>
        <v>0.08</v>
      </c>
      <c r="AP37" s="932">
        <f ca="1">IF($L$4&lt;=$B$9,$B$9,IF($L$4&lt;=$B$10,$B$10,IF($L$4&lt;=$B$11,$B$11,IF($L$4&lt;=$B$12,$B$12,IF($L$4&lt;=$B$13,$B$13,IF($L$4&lt;=$B$14,$B$14))))))</f>
        <v>44</v>
      </c>
      <c r="AQ37" s="377"/>
      <c r="AR37" s="389">
        <v>-10</v>
      </c>
      <c r="AS37" s="291">
        <f t="shared" si="82"/>
        <v>0.37</v>
      </c>
      <c r="AT37" s="291"/>
      <c r="AU37" s="390">
        <f t="shared" si="83"/>
        <v>0.08</v>
      </c>
      <c r="AV37" s="932">
        <f ca="1">IF($L$4&lt;=$B$9,$B$9,IF($L$4&lt;=$B$10,$B$10,IF($L$4&lt;=$B$11,$B$11,IF($L$4&lt;=$B$12,$B$12,IF($L$4&lt;=$B$13,$B$13,IF($L$4&lt;=$B$14,$B$14))))))</f>
        <v>44</v>
      </c>
      <c r="AW37" s="377"/>
      <c r="AX37" s="389">
        <v>-10</v>
      </c>
      <c r="AY37" s="291">
        <f t="shared" si="84"/>
        <v>0.55000000000000004</v>
      </c>
      <c r="AZ37" s="291"/>
      <c r="BA37" s="390">
        <f t="shared" si="85"/>
        <v>0.26333333333333336</v>
      </c>
      <c r="BB37" s="932">
        <f ca="1">IF($L$4&lt;=$B$9,$B$9,IF($L$4&lt;=$B$10,$B$10,IF($L$4&lt;=$B$11,$B$11,IF($L$4&lt;=$B$12,$B$12,IF($L$4&lt;=$B$13,$B$13,IF($L$4&lt;=$B$14,$B$14))))))</f>
        <v>44</v>
      </c>
      <c r="BC37" s="377"/>
      <c r="BD37" s="389">
        <v>-10</v>
      </c>
      <c r="BE37" s="291">
        <f t="shared" si="86"/>
        <v>-0.52</v>
      </c>
      <c r="BF37" s="291"/>
      <c r="BG37" s="390">
        <f t="shared" si="87"/>
        <v>9.0000000000000011E-2</v>
      </c>
      <c r="BH37" s="932">
        <f ca="1">IF($L$4&lt;=$B$9,$B$9,IF($L$4&lt;=$B$10,$B$10,IF($L$4&lt;=$B$11,$B$11,IF($L$4&lt;=$B$12,$B$12,IF($L$4&lt;=$B$13,$B$13,IF($L$4&lt;=$B$14,$B$14))))))</f>
        <v>44</v>
      </c>
      <c r="BI37" s="377"/>
      <c r="BJ37" s="389">
        <v>-10</v>
      </c>
      <c r="BK37" s="291">
        <f t="shared" si="88"/>
        <v>0.55000000000000004</v>
      </c>
      <c r="BL37" s="291"/>
      <c r="BM37" s="390">
        <f t="shared" si="89"/>
        <v>0.26333333333333336</v>
      </c>
      <c r="BN37" s="932">
        <f ca="1">IF($L$4&lt;=$B$9,$B$9,IF($L$4&lt;=$B$10,$B$10,IF($L$4&lt;=$B$11,$B$11,IF($L$4&lt;=$B$12,$B$12,IF($L$4&lt;=$B$13,$B$13,IF($L$4&lt;=$B$14,$B$14))))))</f>
        <v>44</v>
      </c>
      <c r="BO37" s="377"/>
      <c r="BP37" s="389">
        <v>-10</v>
      </c>
      <c r="BQ37" s="291">
        <f t="shared" si="90"/>
        <v>-0.86</v>
      </c>
      <c r="BR37" s="291"/>
      <c r="BS37" s="390">
        <f t="shared" si="91"/>
        <v>8.3333333333333329E-2</v>
      </c>
      <c r="BT37" s="932">
        <f ca="1">IF($L$4&lt;=$B$9,$B$9,IF($L$4&lt;=$B$10,$B$10,IF($L$4&lt;=$B$11,$B$11,IF($L$4&lt;=$B$12,$B$12,IF($L$4&lt;=$B$13,$B$13,IF($L$4&lt;=$B$14,$B$14))))))</f>
        <v>44</v>
      </c>
      <c r="BU37" s="377"/>
      <c r="BV37" s="389">
        <v>-10</v>
      </c>
      <c r="BW37" s="291">
        <f t="shared" si="92"/>
        <v>-0.99</v>
      </c>
      <c r="BX37" s="291"/>
      <c r="BY37" s="390">
        <f t="shared" si="93"/>
        <v>9.0000000000000011E-2</v>
      </c>
      <c r="BZ37" s="932">
        <f ca="1">IF($L$4&lt;=$B$9,$B$9,IF($L$4&lt;=$B$10,$B$10,IF($L$4&lt;=$B$11,$B$11,IF($L$4&lt;=$B$12,$B$12,IF($L$4&lt;=$B$13,$B$13,IF($L$4&lt;=$B$14,$B$14))))))</f>
        <v>44</v>
      </c>
      <c r="CA37" s="377"/>
      <c r="CB37" s="389">
        <v>-10</v>
      </c>
      <c r="CC37" s="291">
        <f t="shared" si="94"/>
        <v>-1.2</v>
      </c>
      <c r="CD37" s="291">
        <f t="shared" si="98"/>
        <v>-0.7</v>
      </c>
      <c r="CE37" s="390">
        <f t="shared" si="95"/>
        <v>0.5</v>
      </c>
      <c r="CF37" s="932">
        <f ca="1">IF($L$4&lt;=$B$9,$B$9,IF($L$4&lt;=$B$10,$B$10,IF($L$4&lt;=$B$11,$B$11,IF($L$4&lt;=$B$12,$B$12,IF($L$4&lt;=$B$13,$B$13,IF($L$4&lt;=$B$14,$B$14))))))</f>
        <v>44</v>
      </c>
      <c r="CH37" s="389">
        <v>-10</v>
      </c>
      <c r="CI37" s="291">
        <f t="shared" si="66"/>
        <v>-0.05</v>
      </c>
      <c r="CJ37" s="291">
        <f t="shared" si="66"/>
        <v>-0.18</v>
      </c>
      <c r="CK37" s="390">
        <f t="shared" si="96"/>
        <v>0.13</v>
      </c>
      <c r="CL37" s="932">
        <f ca="1">IF($L$4&lt;=$B$9,$B$9,IF($L$4&lt;=$B$10,$B$10,IF($L$4&lt;=$B$11,$B$11,IF($L$4&lt;=$B$12,$B$12,IF($L$4&lt;=$B$13,$B$13,IF($L$4&lt;=$B$14,$B$14))))))</f>
        <v>44</v>
      </c>
      <c r="CN37" s="389">
        <v>-10</v>
      </c>
      <c r="CO37" s="291">
        <f t="shared" si="67"/>
        <v>-1.26</v>
      </c>
      <c r="CP37" s="291">
        <f t="shared" si="67"/>
        <v>-0.28000000000000003</v>
      </c>
      <c r="CQ37" s="390">
        <f t="shared" si="97"/>
        <v>0.98</v>
      </c>
      <c r="CR37" s="932">
        <f ca="1">IF($L$4&lt;=$B$9,$B$9,IF($L$4&lt;=$B$10,$B$10,IF($L$4&lt;=$B$11,$B$11,IF($L$4&lt;=$B$12,$B$12,IF($L$4&lt;=$B$13,$B$13,IF($L$4&lt;=$B$14,$B$14))))))</f>
        <v>44</v>
      </c>
    </row>
    <row r="38" spans="2:96" ht="13">
      <c r="B38" s="389">
        <v>9.9999999999999995E-7</v>
      </c>
      <c r="C38" s="291">
        <v>-0.13</v>
      </c>
      <c r="D38" s="291">
        <f t="shared" si="68"/>
        <v>-0.32</v>
      </c>
      <c r="E38" s="390">
        <f t="shared" si="69"/>
        <v>0.19</v>
      </c>
      <c r="F38" s="391"/>
      <c r="G38" s="392"/>
      <c r="H38" s="389">
        <v>9.9999999999999995E-7</v>
      </c>
      <c r="I38" s="291">
        <v>-0.28999999999999998</v>
      </c>
      <c r="J38" s="291">
        <f t="shared" si="70"/>
        <v>-0.23</v>
      </c>
      <c r="K38" s="390">
        <f t="shared" si="71"/>
        <v>5.999999999999997E-2</v>
      </c>
      <c r="L38" s="391"/>
      <c r="M38" s="392"/>
      <c r="N38" s="389">
        <v>9.9999999999999995E-7</v>
      </c>
      <c r="O38" s="291">
        <v>-0.38</v>
      </c>
      <c r="P38" s="291">
        <f t="shared" si="72"/>
        <v>-0.2</v>
      </c>
      <c r="Q38" s="390">
        <f t="shared" si="73"/>
        <v>0.18</v>
      </c>
      <c r="R38" s="391"/>
      <c r="S38" s="377"/>
      <c r="T38" s="389">
        <v>9.9999999999999995E-7</v>
      </c>
      <c r="U38" s="291">
        <f t="shared" si="74"/>
        <v>-0.32</v>
      </c>
      <c r="V38" s="291"/>
      <c r="W38" s="390">
        <f t="shared" si="75"/>
        <v>8.3333333333333329E-2</v>
      </c>
      <c r="X38" s="391"/>
      <c r="Y38" s="377"/>
      <c r="Z38" s="389">
        <v>9.9999999999999995E-7</v>
      </c>
      <c r="AA38" s="291">
        <f t="shared" si="76"/>
        <v>0.1</v>
      </c>
      <c r="AB38" s="291">
        <v>7.0000000000000007E-2</v>
      </c>
      <c r="AC38" s="390">
        <f t="shared" si="77"/>
        <v>0.03</v>
      </c>
      <c r="AD38" s="391"/>
      <c r="AE38" s="377"/>
      <c r="AF38" s="389">
        <v>9.9999999999999995E-7</v>
      </c>
      <c r="AG38" s="291">
        <f t="shared" si="78"/>
        <v>0.1</v>
      </c>
      <c r="AH38" s="291">
        <v>0.34</v>
      </c>
      <c r="AI38" s="390">
        <f t="shared" si="79"/>
        <v>0.24000000000000002</v>
      </c>
      <c r="AJ38" s="391"/>
      <c r="AK38" s="377"/>
      <c r="AL38" s="389">
        <v>9.9999999999999995E-7</v>
      </c>
      <c r="AM38" s="291">
        <f t="shared" si="80"/>
        <v>0.4</v>
      </c>
      <c r="AN38" s="291"/>
      <c r="AO38" s="390">
        <f t="shared" si="81"/>
        <v>0.08</v>
      </c>
      <c r="AP38" s="391"/>
      <c r="AQ38" s="377"/>
      <c r="AR38" s="389">
        <v>9.9999999999999995E-7</v>
      </c>
      <c r="AS38" s="291">
        <f t="shared" si="82"/>
        <v>0.37</v>
      </c>
      <c r="AT38" s="291"/>
      <c r="AU38" s="390">
        <f t="shared" si="83"/>
        <v>0.08</v>
      </c>
      <c r="AV38" s="391"/>
      <c r="AW38" s="377"/>
      <c r="AX38" s="389">
        <v>9.9999999999999995E-7</v>
      </c>
      <c r="AY38" s="291">
        <f t="shared" si="84"/>
        <v>0.52</v>
      </c>
      <c r="AZ38" s="291"/>
      <c r="BA38" s="390">
        <f t="shared" si="85"/>
        <v>0.26333333333333336</v>
      </c>
      <c r="BB38" s="391"/>
      <c r="BC38" s="377"/>
      <c r="BD38" s="389">
        <v>9.9999999999999995E-7</v>
      </c>
      <c r="BE38" s="291">
        <f t="shared" si="86"/>
        <v>-0.26</v>
      </c>
      <c r="BF38" s="291"/>
      <c r="BG38" s="390">
        <f t="shared" si="87"/>
        <v>9.0000000000000011E-2</v>
      </c>
      <c r="BH38" s="391"/>
      <c r="BI38" s="377"/>
      <c r="BJ38" s="389">
        <v>9.9999999999999995E-7</v>
      </c>
      <c r="BK38" s="291">
        <f t="shared" si="88"/>
        <v>0.52</v>
      </c>
      <c r="BL38" s="291"/>
      <c r="BM38" s="390">
        <f t="shared" si="89"/>
        <v>0.26333333333333336</v>
      </c>
      <c r="BN38" s="391"/>
      <c r="BO38" s="377"/>
      <c r="BP38" s="389">
        <v>9.9999999999999995E-7</v>
      </c>
      <c r="BQ38" s="291">
        <f t="shared" si="90"/>
        <v>-0.59</v>
      </c>
      <c r="BR38" s="291"/>
      <c r="BS38" s="390">
        <f t="shared" si="91"/>
        <v>8.3333333333333329E-2</v>
      </c>
      <c r="BT38" s="391"/>
      <c r="BU38" s="377"/>
      <c r="BV38" s="389">
        <v>9.9999999999999995E-7</v>
      </c>
      <c r="BW38" s="291">
        <f t="shared" si="92"/>
        <v>-0.6</v>
      </c>
      <c r="BX38" s="291"/>
      <c r="BY38" s="390">
        <f t="shared" si="93"/>
        <v>9.0000000000000011E-2</v>
      </c>
      <c r="BZ38" s="391"/>
      <c r="CA38" s="377"/>
      <c r="CB38" s="389">
        <v>9.9999999999999995E-7</v>
      </c>
      <c r="CC38" s="291">
        <f t="shared" si="94"/>
        <v>-1.4</v>
      </c>
      <c r="CD38" s="291">
        <f t="shared" si="98"/>
        <v>-0.7</v>
      </c>
      <c r="CE38" s="390">
        <f t="shared" si="95"/>
        <v>0.7</v>
      </c>
      <c r="CF38" s="391"/>
      <c r="CH38" s="389">
        <v>9.9999999999999995E-7</v>
      </c>
      <c r="CI38" s="291">
        <f t="shared" si="66"/>
        <v>0.03</v>
      </c>
      <c r="CJ38" s="291">
        <f t="shared" si="66"/>
        <v>-0.06</v>
      </c>
      <c r="CK38" s="390">
        <f t="shared" si="96"/>
        <v>0.09</v>
      </c>
      <c r="CL38" s="391"/>
      <c r="CN38" s="389">
        <v>9.9999999999999995E-7</v>
      </c>
      <c r="CO38" s="291">
        <f t="shared" si="67"/>
        <v>-0.79</v>
      </c>
      <c r="CP38" s="291">
        <f t="shared" si="67"/>
        <v>-0.08</v>
      </c>
      <c r="CQ38" s="390">
        <f t="shared" si="97"/>
        <v>0.71000000000000008</v>
      </c>
      <c r="CR38" s="391"/>
    </row>
    <row r="39" spans="2:96" ht="13">
      <c r="B39" s="389">
        <v>2</v>
      </c>
      <c r="C39" s="291">
        <v>-0.11</v>
      </c>
      <c r="D39" s="291">
        <f t="shared" si="68"/>
        <v>-0.28999999999999998</v>
      </c>
      <c r="E39" s="390">
        <f t="shared" si="69"/>
        <v>0.18</v>
      </c>
      <c r="F39" s="933">
        <f ca="1">VLOOKUP(F35,B39:E44,4)</f>
        <v>0</v>
      </c>
      <c r="G39" s="392"/>
      <c r="H39" s="389">
        <v>2</v>
      </c>
      <c r="I39" s="291">
        <v>-0.25</v>
      </c>
      <c r="J39" s="291">
        <f t="shared" si="70"/>
        <v>-0.2</v>
      </c>
      <c r="K39" s="390">
        <f t="shared" si="71"/>
        <v>4.9999999999999989E-2</v>
      </c>
      <c r="L39" s="933">
        <f ca="1">VLOOKUP(L35,H39:K44,4)</f>
        <v>9.9999999999999811E-3</v>
      </c>
      <c r="M39" s="392"/>
      <c r="N39" s="389">
        <v>2</v>
      </c>
      <c r="O39" s="291">
        <v>-0.37</v>
      </c>
      <c r="P39" s="291">
        <f t="shared" si="72"/>
        <v>-0.18</v>
      </c>
      <c r="Q39" s="390">
        <f t="shared" si="73"/>
        <v>0.19</v>
      </c>
      <c r="R39" s="933">
        <f ca="1">VLOOKUP(R35,N39:Q44,4)</f>
        <v>9.3333333333333338E-2</v>
      </c>
      <c r="S39" s="377"/>
      <c r="T39" s="389">
        <v>2</v>
      </c>
      <c r="U39" s="291">
        <f t="shared" si="74"/>
        <v>-0.56000000000000005</v>
      </c>
      <c r="V39" s="291"/>
      <c r="W39" s="390">
        <f t="shared" si="75"/>
        <v>8.3333333333333329E-2</v>
      </c>
      <c r="X39" s="933">
        <f ca="1">VLOOKUP(X35,T39:W44,4)</f>
        <v>8.3333333333333329E-2</v>
      </c>
      <c r="Y39" s="377"/>
      <c r="Z39" s="389">
        <v>2</v>
      </c>
      <c r="AA39" s="291">
        <f t="shared" si="76"/>
        <v>0.12</v>
      </c>
      <c r="AB39" s="291">
        <v>0.11</v>
      </c>
      <c r="AC39" s="390">
        <f t="shared" si="77"/>
        <v>9.999999999999995E-3</v>
      </c>
      <c r="AD39" s="933">
        <f ca="1">VLOOKUP(AD35,Z39:AC44,4)</f>
        <v>0.46000000000000008</v>
      </c>
      <c r="AE39" s="377"/>
      <c r="AF39" s="389">
        <v>2</v>
      </c>
      <c r="AG39" s="291">
        <f t="shared" si="78"/>
        <v>0.12</v>
      </c>
      <c r="AH39" s="291">
        <v>0.37</v>
      </c>
      <c r="AI39" s="390">
        <f t="shared" si="79"/>
        <v>0.25</v>
      </c>
      <c r="AJ39" s="933">
        <f ca="1">VLOOKUP(AJ35,AF39:AI44,4)</f>
        <v>0.52</v>
      </c>
      <c r="AK39" s="377"/>
      <c r="AL39" s="389">
        <v>2</v>
      </c>
      <c r="AM39" s="291">
        <f t="shared" si="80"/>
        <v>0.43</v>
      </c>
      <c r="AN39" s="291"/>
      <c r="AO39" s="390">
        <f t="shared" si="81"/>
        <v>0.08</v>
      </c>
      <c r="AP39" s="933">
        <f ca="1">VLOOKUP(AP35,AL39:AO44,4)</f>
        <v>0.08</v>
      </c>
      <c r="AQ39" s="377"/>
      <c r="AR39" s="389">
        <v>2</v>
      </c>
      <c r="AS39" s="291">
        <f t="shared" si="82"/>
        <v>0.37</v>
      </c>
      <c r="AT39" s="291"/>
      <c r="AU39" s="390">
        <f t="shared" si="83"/>
        <v>0.08</v>
      </c>
      <c r="AV39" s="933">
        <f ca="1">VLOOKUP(AV35,AR39:AU44,4)</f>
        <v>0.08</v>
      </c>
      <c r="AW39" s="377"/>
      <c r="AX39" s="389">
        <v>2</v>
      </c>
      <c r="AY39" s="291">
        <f t="shared" si="84"/>
        <v>0.52</v>
      </c>
      <c r="AZ39" s="291"/>
      <c r="BA39" s="390">
        <f t="shared" si="85"/>
        <v>0.26333333333333336</v>
      </c>
      <c r="BB39" s="933">
        <f ca="1">VLOOKUP(BB35,AX39:BA44,4)</f>
        <v>0.26333333333333336</v>
      </c>
      <c r="BC39" s="377"/>
      <c r="BD39" s="389">
        <v>2</v>
      </c>
      <c r="BE39" s="291">
        <f t="shared" si="86"/>
        <v>-0.35</v>
      </c>
      <c r="BF39" s="291"/>
      <c r="BG39" s="390">
        <f t="shared" si="87"/>
        <v>9.0000000000000011E-2</v>
      </c>
      <c r="BH39" s="933">
        <f ca="1">VLOOKUP(BH35,BD39:BG44,4)</f>
        <v>9.0000000000000011E-2</v>
      </c>
      <c r="BI39" s="377"/>
      <c r="BJ39" s="389">
        <v>2</v>
      </c>
      <c r="BK39" s="291">
        <f t="shared" si="88"/>
        <v>0.52</v>
      </c>
      <c r="BL39" s="291"/>
      <c r="BM39" s="390">
        <f t="shared" si="89"/>
        <v>0.26333333333333336</v>
      </c>
      <c r="BN39" s="933">
        <f ca="1">VLOOKUP(BN35,BJ39:BM44,4)</f>
        <v>0.26333333333333336</v>
      </c>
      <c r="BO39" s="377"/>
      <c r="BP39" s="389">
        <v>2</v>
      </c>
      <c r="BQ39" s="291">
        <f t="shared" si="90"/>
        <v>-0.56999999999999995</v>
      </c>
      <c r="BR39" s="291"/>
      <c r="BS39" s="390">
        <f t="shared" si="91"/>
        <v>8.3333333333333329E-2</v>
      </c>
      <c r="BT39" s="933">
        <f ca="1">VLOOKUP(BT35,BP39:BS44,4)</f>
        <v>8.3333333333333329E-2</v>
      </c>
      <c r="BU39" s="377"/>
      <c r="BV39" s="389">
        <v>2</v>
      </c>
      <c r="BW39" s="291">
        <f t="shared" si="92"/>
        <v>-0.67</v>
      </c>
      <c r="BX39" s="291"/>
      <c r="BY39" s="390">
        <f t="shared" si="93"/>
        <v>9.0000000000000011E-2</v>
      </c>
      <c r="BZ39" s="933">
        <f ca="1">VLOOKUP(BZ35,BV39:BY44,4)</f>
        <v>9.0000000000000011E-2</v>
      </c>
      <c r="CA39" s="377"/>
      <c r="CB39" s="389">
        <v>2</v>
      </c>
      <c r="CC39" s="291">
        <f t="shared" si="94"/>
        <v>0</v>
      </c>
      <c r="CD39" s="291">
        <f t="shared" si="98"/>
        <v>-0.7</v>
      </c>
      <c r="CE39" s="390">
        <f t="shared" si="95"/>
        <v>0.19999999999999998</v>
      </c>
      <c r="CF39" s="933">
        <f ca="1">VLOOKUP(CF35,CB39:CE44,4)</f>
        <v>0.19999999999999998</v>
      </c>
      <c r="CH39" s="389">
        <v>2</v>
      </c>
      <c r="CI39" s="291">
        <f t="shared" si="66"/>
        <v>0.04</v>
      </c>
      <c r="CJ39" s="291">
        <f t="shared" si="66"/>
        <v>-0.04</v>
      </c>
      <c r="CK39" s="390">
        <f t="shared" si="96"/>
        <v>0.08</v>
      </c>
      <c r="CL39" s="933">
        <f ca="1">VLOOKUP(CL35,CH39:CK44,4)</f>
        <v>4.0000000000000008E-2</v>
      </c>
      <c r="CN39" s="389">
        <v>2</v>
      </c>
      <c r="CO39" s="291">
        <f t="shared" si="67"/>
        <v>-0.7</v>
      </c>
      <c r="CP39" s="291">
        <f t="shared" si="67"/>
        <v>-0.05</v>
      </c>
      <c r="CQ39" s="390">
        <f t="shared" si="97"/>
        <v>0.64999999999999991</v>
      </c>
      <c r="CR39" s="933">
        <f ca="1">VLOOKUP(CR35,CN39:CQ44,4)</f>
        <v>3.0000000000000027E-2</v>
      </c>
    </row>
    <row r="40" spans="2:96" ht="13">
      <c r="B40" s="389">
        <v>8</v>
      </c>
      <c r="C40" s="291">
        <v>-0.04</v>
      </c>
      <c r="D40" s="291">
        <f t="shared" si="68"/>
        <v>-0.2</v>
      </c>
      <c r="E40" s="390">
        <f t="shared" si="69"/>
        <v>0.16</v>
      </c>
      <c r="F40" s="391"/>
      <c r="G40" s="392"/>
      <c r="H40" s="389">
        <v>8</v>
      </c>
      <c r="I40" s="291">
        <v>-0.15</v>
      </c>
      <c r="J40" s="291">
        <f t="shared" si="70"/>
        <v>-0.13</v>
      </c>
      <c r="K40" s="390">
        <f t="shared" si="71"/>
        <v>1.999999999999999E-2</v>
      </c>
      <c r="L40" s="391"/>
      <c r="M40" s="392"/>
      <c r="N40" s="389">
        <v>8</v>
      </c>
      <c r="O40" s="291">
        <v>-0.22</v>
      </c>
      <c r="P40" s="291">
        <f t="shared" si="72"/>
        <v>-0.13</v>
      </c>
      <c r="Q40" s="390">
        <f t="shared" si="73"/>
        <v>0.09</v>
      </c>
      <c r="R40" s="391"/>
      <c r="S40" s="377"/>
      <c r="T40" s="389">
        <v>8</v>
      </c>
      <c r="U40" s="291">
        <f t="shared" si="74"/>
        <v>-0.32</v>
      </c>
      <c r="V40" s="291"/>
      <c r="W40" s="390">
        <f t="shared" si="75"/>
        <v>8.3333333333333329E-2</v>
      </c>
      <c r="X40" s="391"/>
      <c r="Y40" s="377"/>
      <c r="Z40" s="389">
        <v>8</v>
      </c>
      <c r="AA40" s="291">
        <f t="shared" si="76"/>
        <v>0.11</v>
      </c>
      <c r="AB40" s="291">
        <v>0.21</v>
      </c>
      <c r="AC40" s="390">
        <f t="shared" si="77"/>
        <v>9.9999999999999992E-2</v>
      </c>
      <c r="AD40" s="391"/>
      <c r="AE40" s="377"/>
      <c r="AF40" s="389">
        <v>8</v>
      </c>
      <c r="AG40" s="291">
        <f t="shared" si="78"/>
        <v>0.12</v>
      </c>
      <c r="AH40" s="291">
        <v>0.44</v>
      </c>
      <c r="AI40" s="390">
        <f t="shared" si="79"/>
        <v>0.32</v>
      </c>
      <c r="AJ40" s="391"/>
      <c r="AK40" s="377"/>
      <c r="AL40" s="389">
        <v>8</v>
      </c>
      <c r="AM40" s="291">
        <f t="shared" si="80"/>
        <v>0.42</v>
      </c>
      <c r="AN40" s="291"/>
      <c r="AO40" s="390">
        <f t="shared" si="81"/>
        <v>0.08</v>
      </c>
      <c r="AP40" s="391"/>
      <c r="AQ40" s="377"/>
      <c r="AR40" s="389">
        <v>8</v>
      </c>
      <c r="AS40" s="291">
        <f t="shared" si="82"/>
        <v>0.36</v>
      </c>
      <c r="AT40" s="291"/>
      <c r="AU40" s="390">
        <f t="shared" si="83"/>
        <v>0.08</v>
      </c>
      <c r="AV40" s="391"/>
      <c r="AW40" s="377"/>
      <c r="AX40" s="389">
        <v>8</v>
      </c>
      <c r="AY40" s="291">
        <f t="shared" si="84"/>
        <v>0.5</v>
      </c>
      <c r="AZ40" s="291"/>
      <c r="BA40" s="390">
        <f t="shared" si="85"/>
        <v>0.26333333333333336</v>
      </c>
      <c r="BB40" s="391"/>
      <c r="BC40" s="377"/>
      <c r="BD40" s="389">
        <v>8</v>
      </c>
      <c r="BE40" s="291">
        <f t="shared" si="86"/>
        <v>-0.1</v>
      </c>
      <c r="BF40" s="291"/>
      <c r="BG40" s="390">
        <f t="shared" si="87"/>
        <v>9.0000000000000011E-2</v>
      </c>
      <c r="BH40" s="391"/>
      <c r="BI40" s="377"/>
      <c r="BJ40" s="389">
        <v>8</v>
      </c>
      <c r="BK40" s="291">
        <f t="shared" si="88"/>
        <v>0.5</v>
      </c>
      <c r="BL40" s="291"/>
      <c r="BM40" s="390">
        <f t="shared" si="89"/>
        <v>0.26333333333333336</v>
      </c>
      <c r="BN40" s="391"/>
      <c r="BO40" s="377"/>
      <c r="BP40" s="389">
        <v>8</v>
      </c>
      <c r="BQ40" s="291">
        <f t="shared" si="90"/>
        <v>-0.34</v>
      </c>
      <c r="BR40" s="291"/>
      <c r="BS40" s="390">
        <f t="shared" si="91"/>
        <v>8.3333333333333329E-2</v>
      </c>
      <c r="BT40" s="391"/>
      <c r="BU40" s="377"/>
      <c r="BV40" s="389">
        <v>8</v>
      </c>
      <c r="BW40" s="291">
        <f t="shared" si="92"/>
        <v>-0.39</v>
      </c>
      <c r="BX40" s="291"/>
      <c r="BY40" s="390">
        <f t="shared" si="93"/>
        <v>9.0000000000000011E-2</v>
      </c>
      <c r="BZ40" s="391"/>
      <c r="CA40" s="377"/>
      <c r="CB40" s="389">
        <v>8</v>
      </c>
      <c r="CC40" s="291">
        <f t="shared" si="94"/>
        <v>0</v>
      </c>
      <c r="CD40" s="291">
        <f t="shared" si="98"/>
        <v>-0.7</v>
      </c>
      <c r="CE40" s="390">
        <f t="shared" si="95"/>
        <v>0.19999999999999998</v>
      </c>
      <c r="CF40" s="391"/>
      <c r="CH40" s="389">
        <v>8</v>
      </c>
      <c r="CI40" s="291">
        <f t="shared" si="66"/>
        <v>0.08</v>
      </c>
      <c r="CJ40" s="291">
        <f t="shared" si="66"/>
        <v>0.01</v>
      </c>
      <c r="CK40" s="390">
        <f t="shared" si="96"/>
        <v>7.0000000000000007E-2</v>
      </c>
      <c r="CL40" s="391"/>
      <c r="CN40" s="389">
        <v>8</v>
      </c>
      <c r="CO40" s="291">
        <f t="shared" si="67"/>
        <v>-0.46</v>
      </c>
      <c r="CP40" s="291">
        <f t="shared" si="67"/>
        <v>0.06</v>
      </c>
      <c r="CQ40" s="390">
        <f t="shared" si="97"/>
        <v>0.52</v>
      </c>
      <c r="CR40" s="391"/>
    </row>
    <row r="41" spans="2:96" ht="13">
      <c r="B41" s="389">
        <v>37</v>
      </c>
      <c r="C41" s="291">
        <v>0.19</v>
      </c>
      <c r="D41" s="291">
        <f t="shared" si="68"/>
        <v>0.19</v>
      </c>
      <c r="E41" s="390">
        <f t="shared" si="69"/>
        <v>0</v>
      </c>
      <c r="F41" s="933">
        <f ca="1">VLOOKUP(F37,B39:E44,4)</f>
        <v>5.0000000000000017E-2</v>
      </c>
      <c r="G41" s="392"/>
      <c r="H41" s="389">
        <v>37</v>
      </c>
      <c r="I41" s="291">
        <v>0.17</v>
      </c>
      <c r="J41" s="291">
        <f t="shared" si="70"/>
        <v>0.18</v>
      </c>
      <c r="K41" s="390">
        <f t="shared" si="71"/>
        <v>9.9999999999999811E-3</v>
      </c>
      <c r="L41" s="933">
        <f ca="1">VLOOKUP(L37,H39:K44,4)</f>
        <v>4.0000000000000008E-2</v>
      </c>
      <c r="M41" s="392"/>
      <c r="N41" s="389">
        <v>37</v>
      </c>
      <c r="O41" s="291">
        <v>-0.13</v>
      </c>
      <c r="P41" s="291">
        <f t="shared" si="72"/>
        <v>0</v>
      </c>
      <c r="Q41" s="390">
        <f t="shared" si="73"/>
        <v>9.3333333333333338E-2</v>
      </c>
      <c r="R41" s="933">
        <f ca="1">VLOOKUP(R37,N39:Q44,4)</f>
        <v>9.3333333333333338E-2</v>
      </c>
      <c r="S41" s="377"/>
      <c r="T41" s="389">
        <v>37</v>
      </c>
      <c r="U41" s="291">
        <f t="shared" si="74"/>
        <v>0.49</v>
      </c>
      <c r="V41" s="291"/>
      <c r="W41" s="390">
        <f t="shared" si="75"/>
        <v>8.3333333333333329E-2</v>
      </c>
      <c r="X41" s="933">
        <f ca="1">VLOOKUP(X37,T39:W44,4)</f>
        <v>8.3333333333333329E-2</v>
      </c>
      <c r="Y41" s="377"/>
      <c r="Z41" s="389">
        <v>37</v>
      </c>
      <c r="AA41" s="291">
        <f t="shared" si="76"/>
        <v>0.1</v>
      </c>
      <c r="AB41" s="291">
        <v>0.56000000000000005</v>
      </c>
      <c r="AC41" s="390">
        <f t="shared" si="77"/>
        <v>0.46000000000000008</v>
      </c>
      <c r="AD41" s="933">
        <f ca="1">VLOOKUP(AD37,Z39:AC44,4)</f>
        <v>0.5</v>
      </c>
      <c r="AE41" s="377"/>
      <c r="AF41" s="389">
        <v>37</v>
      </c>
      <c r="AG41" s="291">
        <f t="shared" si="78"/>
        <v>0.12</v>
      </c>
      <c r="AH41" s="291">
        <v>0.64</v>
      </c>
      <c r="AI41" s="390">
        <f t="shared" si="79"/>
        <v>0.52</v>
      </c>
      <c r="AJ41" s="933">
        <f ca="1">VLOOKUP(AJ37,AF39:AI44,4)</f>
        <v>0.52</v>
      </c>
      <c r="AK41" s="377"/>
      <c r="AL41" s="389">
        <v>37</v>
      </c>
      <c r="AM41" s="291">
        <f t="shared" si="80"/>
        <v>0.42</v>
      </c>
      <c r="AN41" s="291"/>
      <c r="AO41" s="390">
        <f t="shared" si="81"/>
        <v>0.08</v>
      </c>
      <c r="AP41" s="933">
        <f ca="1">VLOOKUP(AP37,AL39:AO44,4)</f>
        <v>0.08</v>
      </c>
      <c r="AQ41" s="377"/>
      <c r="AR41" s="389">
        <v>37</v>
      </c>
      <c r="AS41" s="291">
        <f t="shared" si="82"/>
        <v>0.32</v>
      </c>
      <c r="AT41" s="291"/>
      <c r="AU41" s="390">
        <f t="shared" si="83"/>
        <v>0.08</v>
      </c>
      <c r="AV41" s="933">
        <f ca="1">VLOOKUP(AV37,AR39:AU44,4)</f>
        <v>0.08</v>
      </c>
      <c r="AW41" s="377"/>
      <c r="AX41" s="389">
        <v>37</v>
      </c>
      <c r="AY41" s="291">
        <f t="shared" si="84"/>
        <v>0.41</v>
      </c>
      <c r="AZ41" s="291"/>
      <c r="BA41" s="390">
        <f t="shared" si="85"/>
        <v>0.26333333333333336</v>
      </c>
      <c r="BB41" s="933">
        <f ca="1">VLOOKUP(BB37,AX39:BA44,4)</f>
        <v>0.26333333333333336</v>
      </c>
      <c r="BC41" s="377"/>
      <c r="BD41" s="389">
        <v>37</v>
      </c>
      <c r="BE41" s="291">
        <f t="shared" si="86"/>
        <v>0.66</v>
      </c>
      <c r="BF41" s="291"/>
      <c r="BG41" s="390">
        <f t="shared" si="87"/>
        <v>9.0000000000000011E-2</v>
      </c>
      <c r="BH41" s="933">
        <f ca="1">VLOOKUP(BH37,BD39:BG44,4)</f>
        <v>9.0000000000000011E-2</v>
      </c>
      <c r="BI41" s="377"/>
      <c r="BJ41" s="389">
        <v>37</v>
      </c>
      <c r="BK41" s="291">
        <f t="shared" si="88"/>
        <v>0.41</v>
      </c>
      <c r="BL41" s="291"/>
      <c r="BM41" s="390">
        <f t="shared" si="89"/>
        <v>0.26333333333333336</v>
      </c>
      <c r="BN41" s="933">
        <f ca="1">VLOOKUP(BN37,BJ39:BM44,4)</f>
        <v>0.26333333333333336</v>
      </c>
      <c r="BO41" s="377"/>
      <c r="BP41" s="389">
        <v>37</v>
      </c>
      <c r="BQ41" s="291">
        <f t="shared" si="90"/>
        <v>0.43</v>
      </c>
      <c r="BR41" s="291"/>
      <c r="BS41" s="390">
        <f t="shared" si="91"/>
        <v>8.3333333333333329E-2</v>
      </c>
      <c r="BT41" s="933">
        <f ca="1">VLOOKUP(BT37,BP39:BS44,4)</f>
        <v>8.3333333333333329E-2</v>
      </c>
      <c r="BU41" s="377"/>
      <c r="BV41" s="389">
        <v>37</v>
      </c>
      <c r="BW41" s="291">
        <f t="shared" si="92"/>
        <v>0.53</v>
      </c>
      <c r="BX41" s="291"/>
      <c r="BY41" s="390">
        <f t="shared" si="93"/>
        <v>9.0000000000000011E-2</v>
      </c>
      <c r="BZ41" s="933">
        <f ca="1">VLOOKUP(BZ37,BV39:BY44,4)</f>
        <v>9.0000000000000011E-2</v>
      </c>
      <c r="CA41" s="377"/>
      <c r="CB41" s="389">
        <v>37</v>
      </c>
      <c r="CC41" s="291">
        <f t="shared" si="94"/>
        <v>0</v>
      </c>
      <c r="CD41" s="291">
        <f t="shared" si="98"/>
        <v>-0.6</v>
      </c>
      <c r="CE41" s="390">
        <f t="shared" si="95"/>
        <v>0.19999999999999998</v>
      </c>
      <c r="CF41" s="933">
        <f ca="1">VLOOKUP(CF37,CB39:CE44,4)</f>
        <v>0.19999999999999998</v>
      </c>
      <c r="CH41" s="389">
        <v>37</v>
      </c>
      <c r="CI41" s="291">
        <f t="shared" si="66"/>
        <v>0.23</v>
      </c>
      <c r="CJ41" s="291">
        <f t="shared" si="66"/>
        <v>0.19</v>
      </c>
      <c r="CK41" s="390">
        <f t="shared" si="96"/>
        <v>4.0000000000000008E-2</v>
      </c>
      <c r="CL41" s="933">
        <f ca="1">VLOOKUP(CL37,CH39:CK44,4)</f>
        <v>4.0000000000000008E-2</v>
      </c>
      <c r="CN41" s="389">
        <v>37</v>
      </c>
      <c r="CO41" s="291">
        <f t="shared" si="67"/>
        <v>0.42</v>
      </c>
      <c r="CP41" s="291">
        <f t="shared" si="67"/>
        <v>0.45</v>
      </c>
      <c r="CQ41" s="390">
        <f t="shared" si="97"/>
        <v>3.0000000000000027E-2</v>
      </c>
      <c r="CR41" s="933">
        <f ca="1">VLOOKUP(CR37,CN39:CQ44,4)</f>
        <v>4.9999999999999933E-2</v>
      </c>
    </row>
    <row r="42" spans="2:96" ht="13">
      <c r="B42" s="389">
        <v>44</v>
      </c>
      <c r="C42" s="291">
        <v>0.22</v>
      </c>
      <c r="D42" s="291">
        <f t="shared" si="68"/>
        <v>0.27</v>
      </c>
      <c r="E42" s="390">
        <f t="shared" si="69"/>
        <v>5.0000000000000017E-2</v>
      </c>
      <c r="F42" s="934"/>
      <c r="G42" s="392"/>
      <c r="H42" s="389">
        <v>44</v>
      </c>
      <c r="I42" s="291">
        <v>0.21</v>
      </c>
      <c r="J42" s="291">
        <f t="shared" si="70"/>
        <v>0.25</v>
      </c>
      <c r="K42" s="390">
        <f t="shared" si="71"/>
        <v>4.0000000000000008E-2</v>
      </c>
      <c r="L42" s="934"/>
      <c r="M42" s="392"/>
      <c r="N42" s="389">
        <v>44</v>
      </c>
      <c r="O42" s="291">
        <v>-0.15</v>
      </c>
      <c r="P42" s="291">
        <f t="shared" si="72"/>
        <v>0</v>
      </c>
      <c r="Q42" s="390">
        <f t="shared" si="73"/>
        <v>9.3333333333333338E-2</v>
      </c>
      <c r="R42" s="934"/>
      <c r="S42" s="377"/>
      <c r="T42" s="389">
        <v>44</v>
      </c>
      <c r="U42" s="291">
        <f t="shared" si="74"/>
        <v>0.61</v>
      </c>
      <c r="V42" s="291"/>
      <c r="W42" s="390">
        <f t="shared" si="75"/>
        <v>8.3333333333333329E-2</v>
      </c>
      <c r="X42" s="934"/>
      <c r="Y42" s="377"/>
      <c r="Z42" s="389">
        <v>44</v>
      </c>
      <c r="AA42" s="291">
        <f t="shared" si="76"/>
        <v>0.1</v>
      </c>
      <c r="AB42" s="291">
        <v>0.6</v>
      </c>
      <c r="AC42" s="390">
        <f t="shared" si="77"/>
        <v>0.5</v>
      </c>
      <c r="AD42" s="934"/>
      <c r="AE42" s="377"/>
      <c r="AF42" s="389">
        <v>44</v>
      </c>
      <c r="AG42" s="291">
        <f t="shared" si="78"/>
        <v>0.13</v>
      </c>
      <c r="AH42" s="291">
        <v>0.65</v>
      </c>
      <c r="AI42" s="390">
        <f t="shared" si="79"/>
        <v>0.52</v>
      </c>
      <c r="AJ42" s="934"/>
      <c r="AK42" s="377"/>
      <c r="AL42" s="389">
        <v>44</v>
      </c>
      <c r="AM42" s="291">
        <f t="shared" si="80"/>
        <v>0.42</v>
      </c>
      <c r="AN42" s="291"/>
      <c r="AO42" s="390">
        <f t="shared" si="81"/>
        <v>0.08</v>
      </c>
      <c r="AP42" s="934"/>
      <c r="AQ42" s="377"/>
      <c r="AR42" s="389">
        <v>44</v>
      </c>
      <c r="AS42" s="291">
        <f t="shared" si="82"/>
        <v>0.32</v>
      </c>
      <c r="AT42" s="291"/>
      <c r="AU42" s="390">
        <f t="shared" si="83"/>
        <v>0.08</v>
      </c>
      <c r="AV42" s="934"/>
      <c r="AW42" s="377"/>
      <c r="AX42" s="389">
        <v>44</v>
      </c>
      <c r="AY42" s="291">
        <f t="shared" si="84"/>
        <v>0.39</v>
      </c>
      <c r="AZ42" s="291"/>
      <c r="BA42" s="390">
        <f t="shared" si="85"/>
        <v>0.26333333333333336</v>
      </c>
      <c r="BB42" s="934"/>
      <c r="BC42" s="377"/>
      <c r="BD42" s="389">
        <v>44</v>
      </c>
      <c r="BE42" s="291">
        <f t="shared" si="86"/>
        <v>0.74</v>
      </c>
      <c r="BF42" s="291"/>
      <c r="BG42" s="390">
        <f t="shared" si="87"/>
        <v>9.0000000000000011E-2</v>
      </c>
      <c r="BH42" s="934"/>
      <c r="BI42" s="377"/>
      <c r="BJ42" s="389">
        <v>44</v>
      </c>
      <c r="BK42" s="291">
        <f t="shared" si="88"/>
        <v>0.39</v>
      </c>
      <c r="BL42" s="291"/>
      <c r="BM42" s="390">
        <f t="shared" si="89"/>
        <v>0.26333333333333336</v>
      </c>
      <c r="BN42" s="934"/>
      <c r="BO42" s="377"/>
      <c r="BP42" s="389">
        <v>44</v>
      </c>
      <c r="BQ42" s="291">
        <f t="shared" si="90"/>
        <v>0.54</v>
      </c>
      <c r="BR42" s="291"/>
      <c r="BS42" s="390">
        <f t="shared" si="91"/>
        <v>8.3333333333333329E-2</v>
      </c>
      <c r="BT42" s="934"/>
      <c r="BU42" s="377"/>
      <c r="BV42" s="389">
        <v>44</v>
      </c>
      <c r="BW42" s="291">
        <f t="shared" si="92"/>
        <v>0.66</v>
      </c>
      <c r="BX42" s="291"/>
      <c r="BY42" s="390">
        <f t="shared" si="93"/>
        <v>9.0000000000000011E-2</v>
      </c>
      <c r="BZ42" s="934"/>
      <c r="CA42" s="377"/>
      <c r="CB42" s="389">
        <v>44</v>
      </c>
      <c r="CC42" s="291">
        <f t="shared" si="94"/>
        <v>0</v>
      </c>
      <c r="CD42" s="291">
        <f t="shared" si="98"/>
        <v>-0.7</v>
      </c>
      <c r="CE42" s="390">
        <f t="shared" si="95"/>
        <v>0.19999999999999998</v>
      </c>
      <c r="CF42" s="934"/>
      <c r="CH42" s="389">
        <v>44</v>
      </c>
      <c r="CI42" s="291">
        <f t="shared" si="66"/>
        <v>0.25</v>
      </c>
      <c r="CJ42" s="291">
        <f t="shared" si="66"/>
        <v>0.21</v>
      </c>
      <c r="CK42" s="390">
        <f t="shared" si="96"/>
        <v>4.0000000000000008E-2</v>
      </c>
      <c r="CL42" s="934"/>
      <c r="CN42" s="389">
        <v>44</v>
      </c>
      <c r="CO42" s="291">
        <f t="shared" si="67"/>
        <v>0.56999999999999995</v>
      </c>
      <c r="CP42" s="291">
        <f t="shared" si="67"/>
        <v>0.52</v>
      </c>
      <c r="CQ42" s="390">
        <f t="shared" si="97"/>
        <v>4.9999999999999933E-2</v>
      </c>
      <c r="CR42" s="934"/>
    </row>
    <row r="43" spans="2:96" ht="13">
      <c r="B43" s="389">
        <v>50</v>
      </c>
      <c r="C43" s="291">
        <v>0.25</v>
      </c>
      <c r="D43" s="291">
        <f t="shared" si="68"/>
        <v>0.34</v>
      </c>
      <c r="E43" s="390">
        <f t="shared" si="69"/>
        <v>9.0000000000000024E-2</v>
      </c>
      <c r="F43" s="935">
        <f ca="1">(((F41-F39)/(F37-F35))*(F34-F35))+F39</f>
        <v>1.3571428571428413E-3</v>
      </c>
      <c r="G43" s="392"/>
      <c r="H43" s="389">
        <v>50</v>
      </c>
      <c r="I43" s="291">
        <v>0.23</v>
      </c>
      <c r="J43" s="291">
        <f t="shared" si="70"/>
        <v>0.3</v>
      </c>
      <c r="K43" s="390">
        <f t="shared" si="71"/>
        <v>6.9999999999999979E-2</v>
      </c>
      <c r="L43" s="935">
        <f ca="1">(((L41-L39)/(L37-L35))*(L34-L35))+L39</f>
        <v>1.0814285714285686E-2</v>
      </c>
      <c r="M43" s="392"/>
      <c r="N43" s="389">
        <v>50</v>
      </c>
      <c r="O43" s="291">
        <v>0.2</v>
      </c>
      <c r="P43" s="291">
        <f t="shared" si="72"/>
        <v>0</v>
      </c>
      <c r="Q43" s="390">
        <f t="shared" si="73"/>
        <v>9.3333333333333338E-2</v>
      </c>
      <c r="R43" s="935">
        <f ca="1">(((R41-R39)/(R37-R35))*(R34-R35))+R39</f>
        <v>9.3333333333333338E-2</v>
      </c>
      <c r="S43" s="377"/>
      <c r="T43" s="389">
        <v>50</v>
      </c>
      <c r="U43" s="291">
        <f t="shared" si="74"/>
        <v>0.7</v>
      </c>
      <c r="V43" s="291"/>
      <c r="W43" s="390">
        <f t="shared" si="75"/>
        <v>8.3333333333333329E-2</v>
      </c>
      <c r="X43" s="935">
        <f ca="1">(((X41-X39)/(X37-X35))*(X34-X35))+X39</f>
        <v>8.3333333333333329E-2</v>
      </c>
      <c r="Y43" s="377"/>
      <c r="Z43" s="389">
        <v>50</v>
      </c>
      <c r="AA43" s="291">
        <f t="shared" si="76"/>
        <v>0.11</v>
      </c>
      <c r="AB43" s="291">
        <v>0.64</v>
      </c>
      <c r="AC43" s="390">
        <f t="shared" si="77"/>
        <v>0.53</v>
      </c>
      <c r="AD43" s="935">
        <f ca="1">(((AD41-AD39)/(AD37-AD35))*(AD34-AD35))+AD39</f>
        <v>0.46108571428571432</v>
      </c>
      <c r="AE43" s="377"/>
      <c r="AF43" s="389">
        <v>50</v>
      </c>
      <c r="AG43" s="291">
        <f t="shared" si="78"/>
        <v>0.14000000000000001</v>
      </c>
      <c r="AH43" s="291">
        <v>0.66</v>
      </c>
      <c r="AI43" s="390">
        <f t="shared" si="79"/>
        <v>0.52</v>
      </c>
      <c r="AJ43" s="935">
        <f ca="1">(((AJ41-AJ39)/(AJ37-AJ35))*(AJ34-AJ35))+AJ39</f>
        <v>0.52</v>
      </c>
      <c r="AK43" s="377"/>
      <c r="AL43" s="389">
        <v>50</v>
      </c>
      <c r="AM43" s="291">
        <f t="shared" si="80"/>
        <v>0.43</v>
      </c>
      <c r="AN43" s="291"/>
      <c r="AO43" s="390">
        <f t="shared" si="81"/>
        <v>0.08</v>
      </c>
      <c r="AP43" s="935">
        <f ca="1">(((AP41-AP39)/(AP37-AP35))*(AP34-AP35))+AP39</f>
        <v>0.08</v>
      </c>
      <c r="AQ43" s="377"/>
      <c r="AR43" s="389">
        <v>50</v>
      </c>
      <c r="AS43" s="291">
        <f t="shared" si="82"/>
        <v>0.32</v>
      </c>
      <c r="AT43" s="291"/>
      <c r="AU43" s="390">
        <f t="shared" si="83"/>
        <v>0.08</v>
      </c>
      <c r="AV43" s="935">
        <f ca="1">(((AV41-AV39)/(AV37-AV35))*(AV34-AV35))+AV39</f>
        <v>0.08</v>
      </c>
      <c r="AW43" s="377"/>
      <c r="AX43" s="389">
        <v>50</v>
      </c>
      <c r="AY43" s="291">
        <f t="shared" si="84"/>
        <v>0.37</v>
      </c>
      <c r="AZ43" s="291"/>
      <c r="BA43" s="390">
        <f t="shared" si="85"/>
        <v>0.26333333333333336</v>
      </c>
      <c r="BB43" s="935">
        <f ca="1">(((BB41-BB39)/(BB37-BB35))*(BB34-BB35))+BB39</f>
        <v>0.26333333333333336</v>
      </c>
      <c r="BC43" s="377"/>
      <c r="BD43" s="389">
        <v>50</v>
      </c>
      <c r="BE43" s="291">
        <f t="shared" si="86"/>
        <v>0.79</v>
      </c>
      <c r="BF43" s="291"/>
      <c r="BG43" s="390">
        <f t="shared" si="87"/>
        <v>9.0000000000000011E-2</v>
      </c>
      <c r="BH43" s="935">
        <f ca="1">(((BH41-BH39)/(BH37-BH35))*(BH34-BH35))+BH39</f>
        <v>9.0000000000000011E-2</v>
      </c>
      <c r="BI43" s="377"/>
      <c r="BJ43" s="389">
        <v>50</v>
      </c>
      <c r="BK43" s="291">
        <f t="shared" si="88"/>
        <v>0.37</v>
      </c>
      <c r="BL43" s="291"/>
      <c r="BM43" s="390">
        <f t="shared" si="89"/>
        <v>0.26333333333333336</v>
      </c>
      <c r="BN43" s="935">
        <f ca="1">(((BN41-BN39)/(BN37-BN35))*(BN34-BN35))+BN39</f>
        <v>0.26333333333333336</v>
      </c>
      <c r="BO43" s="377"/>
      <c r="BP43" s="389">
        <v>50</v>
      </c>
      <c r="BQ43" s="291">
        <f t="shared" si="90"/>
        <v>0.6</v>
      </c>
      <c r="BR43" s="291"/>
      <c r="BS43" s="390">
        <f t="shared" si="91"/>
        <v>8.3333333333333329E-2</v>
      </c>
      <c r="BT43" s="935">
        <f ca="1">(((BT41-BT39)/(BT37-BT35))*(BT34-BT35))+BT39</f>
        <v>8.3333333333333329E-2</v>
      </c>
      <c r="BU43" s="377"/>
      <c r="BV43" s="389">
        <v>50</v>
      </c>
      <c r="BW43" s="291">
        <f t="shared" si="92"/>
        <v>0.75</v>
      </c>
      <c r="BX43" s="291"/>
      <c r="BY43" s="390">
        <f t="shared" si="93"/>
        <v>9.0000000000000011E-2</v>
      </c>
      <c r="BZ43" s="935">
        <f ca="1">(((BZ41-BZ39)/(BZ37-BZ35))*(BZ34-BZ35))+BZ39</f>
        <v>9.0000000000000011E-2</v>
      </c>
      <c r="CA43" s="377"/>
      <c r="CB43" s="389">
        <v>50</v>
      </c>
      <c r="CC43" s="291">
        <f t="shared" si="94"/>
        <v>-1</v>
      </c>
      <c r="CD43" s="291">
        <f t="shared" si="98"/>
        <v>-0.7</v>
      </c>
      <c r="CE43" s="390">
        <f t="shared" si="95"/>
        <v>0.30000000000000004</v>
      </c>
      <c r="CF43" s="935">
        <f ca="1">(((CF41-CF39)/(CF37-CF35))*(CF34-CF35))+CF39</f>
        <v>0.19999999999999998</v>
      </c>
      <c r="CH43" s="389">
        <v>50</v>
      </c>
      <c r="CI43" s="291">
        <f t="shared" si="66"/>
        <v>0.27</v>
      </c>
      <c r="CJ43" s="291">
        <f t="shared" si="66"/>
        <v>0.22</v>
      </c>
      <c r="CK43" s="390">
        <f t="shared" si="96"/>
        <v>5.0000000000000017E-2</v>
      </c>
      <c r="CL43" s="935">
        <f ca="1">(((CL41-CL39)/(CL37-CL35))*(CL34-CL35))+CL39</f>
        <v>4.0000000000000008E-2</v>
      </c>
      <c r="CN43" s="389">
        <v>50</v>
      </c>
      <c r="CO43" s="291">
        <f t="shared" si="67"/>
        <v>0.67</v>
      </c>
      <c r="CP43" s="291">
        <f t="shared" si="67"/>
        <v>0.56999999999999995</v>
      </c>
      <c r="CQ43" s="390">
        <f t="shared" si="97"/>
        <v>0.10000000000000009</v>
      </c>
      <c r="CR43" s="935">
        <f ca="1">(((CR41-CR39)/(CR37-CR35))*(CR34-CR35))+CR39</f>
        <v>3.054285714285716E-2</v>
      </c>
    </row>
    <row r="44" spans="2:96" ht="13">
      <c r="B44" s="389">
        <v>100</v>
      </c>
      <c r="C44" s="291">
        <v>0.3</v>
      </c>
      <c r="D44" s="291">
        <f t="shared" si="68"/>
        <v>0.77</v>
      </c>
      <c r="E44" s="390">
        <f t="shared" si="69"/>
        <v>0.47000000000000003</v>
      </c>
      <c r="F44" s="391"/>
      <c r="G44" s="392"/>
      <c r="H44" s="389">
        <v>100</v>
      </c>
      <c r="I44" s="291">
        <v>0.16</v>
      </c>
      <c r="J44" s="291">
        <f t="shared" si="70"/>
        <v>0.61</v>
      </c>
      <c r="K44" s="390">
        <f t="shared" si="71"/>
        <v>0.44999999999999996</v>
      </c>
      <c r="L44" s="391"/>
      <c r="M44" s="392"/>
      <c r="N44" s="389">
        <v>100</v>
      </c>
      <c r="O44" s="291">
        <v>-0.01</v>
      </c>
      <c r="P44" s="291">
        <f t="shared" si="72"/>
        <v>-0.16</v>
      </c>
      <c r="Q44" s="390">
        <f t="shared" si="73"/>
        <v>0.15</v>
      </c>
      <c r="R44" s="391"/>
      <c r="S44" s="377"/>
      <c r="T44" s="389">
        <v>100</v>
      </c>
      <c r="U44" s="291">
        <f t="shared" si="74"/>
        <v>0.77</v>
      </c>
      <c r="V44" s="291"/>
      <c r="W44" s="390">
        <f t="shared" si="75"/>
        <v>8.3333333333333329E-2</v>
      </c>
      <c r="X44" s="391"/>
      <c r="Y44" s="377"/>
      <c r="Z44" s="389">
        <v>100</v>
      </c>
      <c r="AA44" s="291">
        <f t="shared" si="76"/>
        <v>0.21</v>
      </c>
      <c r="AB44" s="291">
        <v>0.61</v>
      </c>
      <c r="AC44" s="390">
        <f t="shared" si="77"/>
        <v>0.4</v>
      </c>
      <c r="AD44" s="391"/>
      <c r="AE44" s="377"/>
      <c r="AF44" s="389">
        <v>100</v>
      </c>
      <c r="AG44" s="291">
        <f t="shared" si="78"/>
        <v>0.24</v>
      </c>
      <c r="AH44" s="291">
        <v>0.45</v>
      </c>
      <c r="AI44" s="390">
        <f t="shared" si="79"/>
        <v>0.21000000000000002</v>
      </c>
      <c r="AJ44" s="391"/>
      <c r="AK44" s="377"/>
      <c r="AL44" s="389">
        <v>100</v>
      </c>
      <c r="AM44" s="291">
        <f t="shared" si="80"/>
        <v>0.55000000000000004</v>
      </c>
      <c r="AN44" s="291"/>
      <c r="AO44" s="390">
        <f t="shared" si="81"/>
        <v>0.08</v>
      </c>
      <c r="AP44" s="391"/>
      <c r="AQ44" s="377"/>
      <c r="AR44" s="389">
        <v>100</v>
      </c>
      <c r="AS44" s="291">
        <f t="shared" si="82"/>
        <v>0.42</v>
      </c>
      <c r="AT44" s="291"/>
      <c r="AU44" s="390">
        <f t="shared" si="83"/>
        <v>0.08</v>
      </c>
      <c r="AV44" s="391"/>
      <c r="AW44" s="377"/>
      <c r="AX44" s="389">
        <v>100</v>
      </c>
      <c r="AY44" s="291">
        <f t="shared" si="84"/>
        <v>0.19</v>
      </c>
      <c r="AZ44" s="291"/>
      <c r="BA44" s="390">
        <f t="shared" si="85"/>
        <v>0.26333333333333336</v>
      </c>
      <c r="BB44" s="391"/>
      <c r="BC44" s="377"/>
      <c r="BD44" s="389">
        <v>100</v>
      </c>
      <c r="BE44" s="291">
        <f t="shared" si="86"/>
        <v>0.51</v>
      </c>
      <c r="BF44" s="291"/>
      <c r="BG44" s="390">
        <f t="shared" si="87"/>
        <v>9.0000000000000011E-2</v>
      </c>
      <c r="BH44" s="391"/>
      <c r="BI44" s="377"/>
      <c r="BJ44" s="389">
        <v>100</v>
      </c>
      <c r="BK44" s="291">
        <f t="shared" si="88"/>
        <v>0.19</v>
      </c>
      <c r="BL44" s="291"/>
      <c r="BM44" s="390">
        <f t="shared" si="89"/>
        <v>0.26333333333333336</v>
      </c>
      <c r="BN44" s="391"/>
      <c r="BO44" s="377"/>
      <c r="BP44" s="389">
        <v>100</v>
      </c>
      <c r="BQ44" s="291">
        <f t="shared" si="90"/>
        <v>0.56999999999999995</v>
      </c>
      <c r="BR44" s="291"/>
      <c r="BS44" s="390">
        <f t="shared" si="91"/>
        <v>8.3333333333333329E-2</v>
      </c>
      <c r="BT44" s="391"/>
      <c r="BU44" s="377"/>
      <c r="BV44" s="389">
        <v>100</v>
      </c>
      <c r="BW44" s="291">
        <f t="shared" si="92"/>
        <v>0.73</v>
      </c>
      <c r="BX44" s="291"/>
      <c r="BY44" s="390">
        <f t="shared" si="93"/>
        <v>9.0000000000000011E-2</v>
      </c>
      <c r="BZ44" s="391"/>
      <c r="CA44" s="377"/>
      <c r="CB44" s="389">
        <v>100</v>
      </c>
      <c r="CC44" s="291">
        <f t="shared" si="94"/>
        <v>-1.6</v>
      </c>
      <c r="CD44" s="291">
        <f t="shared" si="98"/>
        <v>-0.7</v>
      </c>
      <c r="CE44" s="390">
        <f t="shared" si="95"/>
        <v>0.90000000000000013</v>
      </c>
      <c r="CF44" s="391"/>
      <c r="CH44" s="389">
        <v>100</v>
      </c>
      <c r="CI44" s="291">
        <f t="shared" si="66"/>
        <v>0.31</v>
      </c>
      <c r="CJ44" s="291">
        <f t="shared" si="66"/>
        <v>0.23</v>
      </c>
      <c r="CK44" s="390">
        <f t="shared" si="96"/>
        <v>7.9999999999999988E-2</v>
      </c>
      <c r="CL44" s="391"/>
      <c r="CN44" s="389">
        <v>100</v>
      </c>
      <c r="CO44" s="291">
        <f t="shared" si="67"/>
        <v>0.95</v>
      </c>
      <c r="CP44" s="291">
        <f t="shared" si="67"/>
        <v>0.81</v>
      </c>
      <c r="CQ44" s="390">
        <f t="shared" si="97"/>
        <v>0.1399999999999999</v>
      </c>
      <c r="CR44" s="391"/>
    </row>
    <row r="45" spans="2:96" ht="13">
      <c r="B45" s="389">
        <v>150</v>
      </c>
      <c r="C45" s="291">
        <v>0.28000000000000003</v>
      </c>
      <c r="D45" s="291">
        <f t="shared" si="68"/>
        <v>0.73</v>
      </c>
      <c r="E45" s="390">
        <f t="shared" si="69"/>
        <v>0.44999999999999996</v>
      </c>
      <c r="F45" s="391"/>
      <c r="G45" s="392"/>
      <c r="H45" s="389">
        <v>150</v>
      </c>
      <c r="I45" s="291">
        <v>-0.02</v>
      </c>
      <c r="J45" s="291">
        <f t="shared" si="70"/>
        <v>0.6</v>
      </c>
      <c r="K45" s="390">
        <f t="shared" si="71"/>
        <v>0.62</v>
      </c>
      <c r="L45" s="391"/>
      <c r="M45" s="392"/>
      <c r="N45" s="389">
        <v>150</v>
      </c>
      <c r="O45" s="291">
        <v>-0.3</v>
      </c>
      <c r="P45" s="291">
        <f t="shared" si="72"/>
        <v>-0.28000000000000003</v>
      </c>
      <c r="Q45" s="390">
        <f t="shared" si="73"/>
        <v>1.9999999999999962E-2</v>
      </c>
      <c r="R45" s="391"/>
      <c r="S45" s="377"/>
      <c r="T45" s="389">
        <v>150</v>
      </c>
      <c r="U45" s="291">
        <f t="shared" si="74"/>
        <v>0.03</v>
      </c>
      <c r="V45" s="291"/>
      <c r="W45" s="390">
        <f t="shared" si="75"/>
        <v>8.3333333333333329E-2</v>
      </c>
      <c r="X45" s="391"/>
      <c r="Y45" s="377"/>
      <c r="Z45" s="389">
        <v>150</v>
      </c>
      <c r="AA45" s="291">
        <f t="shared" si="76"/>
        <v>0.39</v>
      </c>
      <c r="AB45" s="291">
        <v>0.25</v>
      </c>
      <c r="AC45" s="390">
        <f t="shared" si="77"/>
        <v>0.14000000000000001</v>
      </c>
      <c r="AD45" s="391"/>
      <c r="AE45" s="377"/>
      <c r="AF45" s="389">
        <v>150</v>
      </c>
      <c r="AG45" s="291">
        <f t="shared" si="78"/>
        <v>0.42</v>
      </c>
      <c r="AH45" s="291">
        <v>0.01</v>
      </c>
      <c r="AI45" s="390">
        <f t="shared" si="79"/>
        <v>0.41</v>
      </c>
      <c r="AJ45" s="391"/>
      <c r="AK45" s="377"/>
      <c r="AL45" s="389">
        <v>150</v>
      </c>
      <c r="AM45" s="291">
        <f t="shared" si="80"/>
        <v>0.74</v>
      </c>
      <c r="AN45" s="291"/>
      <c r="AO45" s="390">
        <f t="shared" si="81"/>
        <v>0.08</v>
      </c>
      <c r="AP45" s="391"/>
      <c r="AQ45" s="377"/>
      <c r="AR45" s="389">
        <v>150</v>
      </c>
      <c r="AS45" s="291">
        <f t="shared" si="82"/>
        <v>0.61</v>
      </c>
      <c r="AT45" s="291"/>
      <c r="AU45" s="390">
        <f t="shared" si="83"/>
        <v>0.08</v>
      </c>
      <c r="AV45" s="391"/>
      <c r="AW45" s="377"/>
      <c r="AX45" s="389">
        <v>150</v>
      </c>
      <c r="AY45" s="291">
        <f t="shared" si="84"/>
        <v>9.9999999999999995E-7</v>
      </c>
      <c r="AZ45" s="291"/>
      <c r="BA45" s="390">
        <f t="shared" si="85"/>
        <v>0.26333333333333336</v>
      </c>
      <c r="BB45" s="391"/>
      <c r="BC45" s="377"/>
      <c r="BD45" s="389">
        <v>150</v>
      </c>
      <c r="BE45" s="291">
        <f t="shared" si="86"/>
        <v>-0.2</v>
      </c>
      <c r="BF45" s="291"/>
      <c r="BG45" s="390">
        <f t="shared" si="87"/>
        <v>9.0000000000000011E-2</v>
      </c>
      <c r="BH45" s="391"/>
      <c r="BI45" s="377"/>
      <c r="BJ45" s="389">
        <v>150</v>
      </c>
      <c r="BK45" s="291">
        <f t="shared" si="88"/>
        <v>9.9999999999999995E-7</v>
      </c>
      <c r="BL45" s="291"/>
      <c r="BM45" s="390">
        <f t="shared" si="89"/>
        <v>0.26333333333333336</v>
      </c>
      <c r="BN45" s="391"/>
      <c r="BO45" s="377"/>
      <c r="BP45" s="389">
        <v>150</v>
      </c>
      <c r="BQ45" s="291">
        <f t="shared" si="90"/>
        <v>0</v>
      </c>
      <c r="BR45" s="291"/>
      <c r="BS45" s="390">
        <f t="shared" si="91"/>
        <v>8.3333333333333329E-2</v>
      </c>
      <c r="BT45" s="391"/>
      <c r="BU45" s="377"/>
      <c r="BV45" s="389">
        <v>150</v>
      </c>
      <c r="BW45" s="291">
        <f t="shared" si="92"/>
        <v>-0.11</v>
      </c>
      <c r="BX45" s="291"/>
      <c r="BY45" s="390">
        <f t="shared" si="93"/>
        <v>9.0000000000000011E-2</v>
      </c>
      <c r="BZ45" s="391"/>
      <c r="CA45" s="377"/>
      <c r="CB45" s="389">
        <v>150</v>
      </c>
      <c r="CC45" s="291">
        <f t="shared" si="94"/>
        <v>-1.7</v>
      </c>
      <c r="CD45" s="291">
        <f t="shared" si="98"/>
        <v>-0.7</v>
      </c>
      <c r="CE45" s="390">
        <f t="shared" si="95"/>
        <v>1</v>
      </c>
      <c r="CF45" s="391"/>
      <c r="CH45" s="389">
        <v>150</v>
      </c>
      <c r="CI45" s="291">
        <f t="shared" si="66"/>
        <v>0.3</v>
      </c>
      <c r="CJ45" s="291">
        <f t="shared" si="66"/>
        <v>0.22</v>
      </c>
      <c r="CK45" s="390">
        <f t="shared" si="96"/>
        <v>7.9999999999999988E-2</v>
      </c>
      <c r="CL45" s="391"/>
      <c r="CN45" s="389">
        <v>150</v>
      </c>
      <c r="CO45" s="291">
        <f t="shared" si="67"/>
        <v>0.49</v>
      </c>
      <c r="CP45" s="291">
        <f t="shared" si="67"/>
        <v>0.87</v>
      </c>
      <c r="CQ45" s="390">
        <f t="shared" si="97"/>
        <v>0.38</v>
      </c>
      <c r="CR45" s="391"/>
    </row>
    <row r="46" spans="2:96" ht="13">
      <c r="B46" s="389">
        <v>200</v>
      </c>
      <c r="C46" s="291">
        <v>0.44</v>
      </c>
      <c r="D46" s="291">
        <f t="shared" si="68"/>
        <v>0.02</v>
      </c>
      <c r="E46" s="390">
        <f t="shared" si="69"/>
        <v>0.42</v>
      </c>
      <c r="F46" s="391"/>
      <c r="G46" s="392"/>
      <c r="H46" s="389">
        <v>200</v>
      </c>
      <c r="I46" s="291">
        <v>0.16</v>
      </c>
      <c r="J46" s="291">
        <f t="shared" si="70"/>
        <v>0.18</v>
      </c>
      <c r="K46" s="390">
        <f t="shared" si="71"/>
        <v>1.999999999999999E-2</v>
      </c>
      <c r="L46" s="391"/>
      <c r="M46" s="392"/>
      <c r="N46" s="389">
        <v>200</v>
      </c>
      <c r="O46" s="291">
        <v>0.09</v>
      </c>
      <c r="P46" s="291">
        <f t="shared" si="72"/>
        <v>0.05</v>
      </c>
      <c r="Q46" s="390">
        <f t="shared" si="73"/>
        <v>3.9999999999999994E-2</v>
      </c>
      <c r="R46" s="391"/>
      <c r="S46" s="377"/>
      <c r="T46" s="389">
        <v>200</v>
      </c>
      <c r="U46" s="291">
        <f t="shared" si="74"/>
        <v>-1.03</v>
      </c>
      <c r="V46" s="291"/>
      <c r="W46" s="390">
        <f t="shared" si="75"/>
        <v>8.3333333333333329E-2</v>
      </c>
      <c r="X46" s="391"/>
      <c r="Y46" s="377"/>
      <c r="Z46" s="389">
        <v>200</v>
      </c>
      <c r="AA46" s="291">
        <f t="shared" si="76"/>
        <v>0.61</v>
      </c>
      <c r="AB46" s="291">
        <v>-0.17</v>
      </c>
      <c r="AC46" s="390">
        <f t="shared" si="77"/>
        <v>0.78</v>
      </c>
      <c r="AD46" s="391"/>
      <c r="AE46" s="377"/>
      <c r="AF46" s="389">
        <v>200</v>
      </c>
      <c r="AG46" s="291">
        <f t="shared" si="78"/>
        <v>0.71</v>
      </c>
      <c r="AH46" s="291">
        <v>-0.4</v>
      </c>
      <c r="AI46" s="390">
        <f t="shared" si="79"/>
        <v>1.1099999999999999</v>
      </c>
      <c r="AJ46" s="391"/>
      <c r="AK46" s="377"/>
      <c r="AL46" s="389">
        <v>200</v>
      </c>
      <c r="AM46" s="291">
        <f t="shared" si="80"/>
        <v>0.96</v>
      </c>
      <c r="AN46" s="291"/>
      <c r="AO46" s="390">
        <f t="shared" si="81"/>
        <v>0.08</v>
      </c>
      <c r="AP46" s="391"/>
      <c r="AQ46" s="377"/>
      <c r="AR46" s="389">
        <v>200</v>
      </c>
      <c r="AS46" s="291">
        <f t="shared" si="82"/>
        <v>0.82</v>
      </c>
      <c r="AT46" s="291"/>
      <c r="AU46" s="390">
        <f t="shared" si="83"/>
        <v>0.08</v>
      </c>
      <c r="AV46" s="391"/>
      <c r="AW46" s="377"/>
      <c r="AX46" s="389">
        <v>200</v>
      </c>
      <c r="AY46" s="291">
        <f t="shared" si="84"/>
        <v>-0.22</v>
      </c>
      <c r="AZ46" s="291"/>
      <c r="BA46" s="390">
        <f t="shared" si="85"/>
        <v>0.26333333333333336</v>
      </c>
      <c r="BB46" s="391"/>
      <c r="BC46" s="377"/>
      <c r="BD46" s="389">
        <v>200</v>
      </c>
      <c r="BE46" s="291">
        <f t="shared" si="86"/>
        <v>-0.21</v>
      </c>
      <c r="BF46" s="291"/>
      <c r="BG46" s="390">
        <f t="shared" si="87"/>
        <v>9.0000000000000011E-2</v>
      </c>
      <c r="BH46" s="391"/>
      <c r="BI46" s="377"/>
      <c r="BJ46" s="389">
        <v>200</v>
      </c>
      <c r="BK46" s="291">
        <f t="shared" si="88"/>
        <v>-0.22</v>
      </c>
      <c r="BL46" s="291"/>
      <c r="BM46" s="390">
        <f t="shared" si="89"/>
        <v>0.26333333333333336</v>
      </c>
      <c r="BN46" s="391"/>
      <c r="BO46" s="377"/>
      <c r="BP46" s="389">
        <v>200</v>
      </c>
      <c r="BQ46" s="291">
        <f t="shared" si="90"/>
        <v>-0.37</v>
      </c>
      <c r="BR46" s="291"/>
      <c r="BS46" s="390">
        <f t="shared" si="91"/>
        <v>8.3333333333333329E-2</v>
      </c>
      <c r="BT46" s="391"/>
      <c r="BU46" s="377"/>
      <c r="BV46" s="389">
        <v>200</v>
      </c>
      <c r="BW46" s="291">
        <f t="shared" si="92"/>
        <v>-1.05</v>
      </c>
      <c r="BX46" s="291"/>
      <c r="BY46" s="390">
        <f t="shared" si="93"/>
        <v>9.0000000000000011E-2</v>
      </c>
      <c r="BZ46" s="391"/>
      <c r="CA46" s="377"/>
      <c r="CB46" s="389">
        <v>200</v>
      </c>
      <c r="CC46" s="291">
        <f t="shared" si="94"/>
        <v>-0.9</v>
      </c>
      <c r="CD46" s="291">
        <f t="shared" si="98"/>
        <v>-0.6</v>
      </c>
      <c r="CE46" s="390">
        <f t="shared" si="95"/>
        <v>0.30000000000000004</v>
      </c>
      <c r="CF46" s="391"/>
      <c r="CH46" s="389">
        <v>200</v>
      </c>
      <c r="CI46" s="291">
        <f t="shared" si="66"/>
        <v>0.34</v>
      </c>
      <c r="CJ46" s="291">
        <f t="shared" si="66"/>
        <v>0.47</v>
      </c>
      <c r="CK46" s="390">
        <f t="shared" si="96"/>
        <v>0.12999999999999995</v>
      </c>
      <c r="CL46" s="391"/>
      <c r="CN46" s="389">
        <v>200</v>
      </c>
      <c r="CO46" s="291">
        <f t="shared" si="67"/>
        <v>-0.26</v>
      </c>
      <c r="CP46" s="291">
        <f t="shared" si="67"/>
        <v>0.99</v>
      </c>
      <c r="CQ46" s="390">
        <f t="shared" si="97"/>
        <v>1.25</v>
      </c>
      <c r="CR46" s="391"/>
    </row>
    <row r="47" spans="2:96" s="377" customFormat="1" ht="13">
      <c r="B47" s="397"/>
      <c r="C47" s="378"/>
      <c r="D47" s="378"/>
      <c r="E47" s="395"/>
      <c r="F47" s="392"/>
      <c r="G47" s="392"/>
      <c r="H47" s="397"/>
      <c r="I47" s="378"/>
      <c r="J47" s="378"/>
      <c r="K47" s="395"/>
      <c r="L47" s="379"/>
      <c r="M47" s="392"/>
      <c r="N47" s="397"/>
      <c r="O47" s="378"/>
      <c r="P47" s="378"/>
      <c r="Q47" s="395"/>
      <c r="R47" s="379"/>
      <c r="T47" s="397"/>
      <c r="U47" s="378"/>
      <c r="V47" s="378"/>
      <c r="W47" s="395"/>
      <c r="X47" s="379"/>
      <c r="Z47" s="397"/>
      <c r="AA47" s="378"/>
      <c r="AB47" s="378"/>
      <c r="AC47" s="395"/>
      <c r="AD47" s="379"/>
      <c r="AF47" s="397"/>
      <c r="AG47" s="378"/>
      <c r="AH47" s="378"/>
      <c r="AI47" s="395"/>
      <c r="AJ47" s="379"/>
      <c r="AL47" s="397"/>
      <c r="AM47" s="378"/>
      <c r="AN47" s="378"/>
      <c r="AO47" s="395"/>
      <c r="AP47" s="379"/>
      <c r="AR47" s="397"/>
      <c r="AS47" s="378"/>
      <c r="AT47" s="378"/>
      <c r="AU47" s="395"/>
      <c r="AV47" s="379"/>
      <c r="AX47" s="397"/>
      <c r="AY47" s="378"/>
      <c r="AZ47" s="378"/>
      <c r="BA47" s="395"/>
      <c r="BB47" s="379"/>
      <c r="BD47" s="397"/>
      <c r="BE47" s="378"/>
      <c r="BF47" s="378"/>
      <c r="BG47" s="395"/>
      <c r="BH47" s="379"/>
      <c r="BJ47" s="397"/>
      <c r="BK47" s="378"/>
      <c r="BL47" s="378"/>
      <c r="BM47" s="395"/>
      <c r="BN47" s="379"/>
      <c r="BP47" s="397"/>
      <c r="BQ47" s="378"/>
      <c r="BR47" s="378"/>
      <c r="BS47" s="395"/>
      <c r="BT47" s="379"/>
      <c r="BV47" s="397"/>
      <c r="BW47" s="378"/>
      <c r="BX47" s="378"/>
      <c r="BY47" s="395"/>
      <c r="BZ47" s="379"/>
      <c r="CB47" s="397"/>
      <c r="CC47" s="378"/>
      <c r="CD47" s="378"/>
      <c r="CE47" s="395"/>
      <c r="CF47" s="379"/>
      <c r="CH47" s="397"/>
      <c r="CI47" s="378"/>
      <c r="CJ47" s="378"/>
      <c r="CK47" s="395"/>
      <c r="CL47" s="379"/>
      <c r="CN47" s="397"/>
      <c r="CO47" s="378"/>
      <c r="CP47" s="378"/>
      <c r="CQ47" s="395"/>
      <c r="CR47" s="379"/>
    </row>
    <row r="48" spans="2:96" ht="21.75" customHeight="1">
      <c r="B48" s="1198" t="s">
        <v>389</v>
      </c>
      <c r="C48" s="1200" t="str">
        <f>C33</f>
        <v>Thermocouple Data Logger, Merek : MADGETECH, Model : OctTemp 2000, SN : P40270</v>
      </c>
      <c r="D48" s="1200"/>
      <c r="E48" s="1200"/>
      <c r="F48" s="380" t="s">
        <v>648</v>
      </c>
      <c r="G48" s="381"/>
      <c r="H48" s="1198" t="s">
        <v>389</v>
      </c>
      <c r="I48" s="1200" t="str">
        <f>I33</f>
        <v>Thermocouple Data Logger, Merek : MADGETECH, Model : OctTemp 2000, SN : P41878</v>
      </c>
      <c r="J48" s="1200"/>
      <c r="K48" s="1200"/>
      <c r="L48" s="380" t="s">
        <v>648</v>
      </c>
      <c r="M48" s="381"/>
      <c r="N48" s="1198" t="s">
        <v>389</v>
      </c>
      <c r="O48" s="1200" t="str">
        <f>O33</f>
        <v>Mobile Corder, Merek : Yokogawa, Model : GP 10, SN : S5T810599</v>
      </c>
      <c r="P48" s="1203"/>
      <c r="Q48" s="1200"/>
      <c r="R48" s="380" t="s">
        <v>648</v>
      </c>
      <c r="S48" s="377"/>
      <c r="T48" s="1198" t="s">
        <v>389</v>
      </c>
      <c r="U48" s="1200" t="str">
        <f>U33</f>
        <v>Wireless Temperature Recorder, Merek : HIOKI, Model : LR 8510, SN : 200936000</v>
      </c>
      <c r="V48" s="1203"/>
      <c r="W48" s="1200"/>
      <c r="X48" s="380" t="s">
        <v>648</v>
      </c>
      <c r="Y48" s="377"/>
      <c r="Z48" s="1198" t="s">
        <v>389</v>
      </c>
      <c r="AA48" s="1200" t="str">
        <f>AA33</f>
        <v>Wireless Temperature Recorder, Merek : HIOKI, Model : LR 8510, SN : 200936001</v>
      </c>
      <c r="AB48" s="1203"/>
      <c r="AC48" s="1200"/>
      <c r="AD48" s="380" t="s">
        <v>648</v>
      </c>
      <c r="AE48" s="377"/>
      <c r="AF48" s="1198" t="s">
        <v>389</v>
      </c>
      <c r="AG48" s="1200" t="str">
        <f>AG33</f>
        <v>Wireless Temperature Recorder, Merek : HIOKI, Model : LR 8510, SN : 200821397</v>
      </c>
      <c r="AH48" s="1203"/>
      <c r="AI48" s="1200"/>
      <c r="AJ48" s="380" t="s">
        <v>648</v>
      </c>
      <c r="AK48" s="377"/>
      <c r="AL48" s="1198" t="s">
        <v>389</v>
      </c>
      <c r="AM48" s="1200" t="str">
        <f>AM33</f>
        <v>Wireless Temperature Recorder, Merek : HIOKI, Model : LR 8510, SN : 210411983</v>
      </c>
      <c r="AN48" s="1203"/>
      <c r="AO48" s="1200"/>
      <c r="AP48" s="380" t="s">
        <v>648</v>
      </c>
      <c r="AQ48" s="377"/>
      <c r="AR48" s="1198" t="s">
        <v>389</v>
      </c>
      <c r="AS48" s="1200" t="str">
        <f>AS33</f>
        <v>Wireless Temperature Recorder, Merek : HIOKI, Model : LR 8510, SN : 210411984</v>
      </c>
      <c r="AT48" s="1203"/>
      <c r="AU48" s="1200"/>
      <c r="AV48" s="380" t="s">
        <v>648</v>
      </c>
      <c r="AW48" s="377"/>
      <c r="AX48" s="1198" t="s">
        <v>389</v>
      </c>
      <c r="AY48" s="1200" t="str">
        <f>AY33</f>
        <v>Wireless Temperature Recorder, Merek : HIOKI, Model : LR 8510, SN : 210411985</v>
      </c>
      <c r="AZ48" s="1203"/>
      <c r="BA48" s="1200"/>
      <c r="BB48" s="380" t="s">
        <v>648</v>
      </c>
      <c r="BC48" s="377"/>
      <c r="BD48" s="1198" t="s">
        <v>389</v>
      </c>
      <c r="BE48" s="1200" t="str">
        <f>BE33</f>
        <v>Wireless Temperature Recorder, Merek : HIOKI, Model : LR 8510, SN : 210746054</v>
      </c>
      <c r="BF48" s="1203"/>
      <c r="BG48" s="1200"/>
      <c r="BH48" s="380" t="s">
        <v>648</v>
      </c>
      <c r="BI48" s="377"/>
      <c r="BJ48" s="1198" t="s">
        <v>389</v>
      </c>
      <c r="BK48" s="1200" t="str">
        <f>BK33</f>
        <v>Wireless Temperature Recorder, Merek : HIOKI, Model : LR 8510, SN : 210746055</v>
      </c>
      <c r="BL48" s="1203"/>
      <c r="BM48" s="1200"/>
      <c r="BN48" s="380" t="s">
        <v>648</v>
      </c>
      <c r="BO48" s="377"/>
      <c r="BP48" s="1198" t="s">
        <v>389</v>
      </c>
      <c r="BQ48" s="1200" t="str">
        <f>BQ33</f>
        <v>Wireless Temperature Recorder, Merek : HIOKI, Model : LR 8510, SN : 210746056</v>
      </c>
      <c r="BR48" s="1203"/>
      <c r="BS48" s="1200"/>
      <c r="BT48" s="380" t="s">
        <v>648</v>
      </c>
      <c r="BU48" s="377"/>
      <c r="BV48" s="1198" t="s">
        <v>389</v>
      </c>
      <c r="BW48" s="1200" t="str">
        <f>BW33</f>
        <v>Wireless Temperature Recorder, Merek : HIOKI, Model : LR 8510, SN : 200821396</v>
      </c>
      <c r="BX48" s="1203"/>
      <c r="BY48" s="1200"/>
      <c r="BZ48" s="380" t="s">
        <v>648</v>
      </c>
      <c r="CA48" s="377"/>
      <c r="CB48" s="1198" t="s">
        <v>389</v>
      </c>
      <c r="CC48" s="1200" t="str">
        <f t="shared" ref="CC48:CC61" si="99">CC33</f>
        <v>Reference Thermometer, Merek : APPA, Model : APPA51, SN : 03002948</v>
      </c>
      <c r="CD48" s="1203"/>
      <c r="CE48" s="1200"/>
      <c r="CF48" s="380" t="s">
        <v>648</v>
      </c>
      <c r="CH48" s="1198" t="s">
        <v>389</v>
      </c>
      <c r="CI48" s="1200" t="str">
        <f t="shared" ref="CI48:CJ61" si="100">CI33</f>
        <v>Reference Thermometer, Merek : FLUKE, Model : 1524, SN : 1803038</v>
      </c>
      <c r="CJ48" s="1203"/>
      <c r="CK48" s="1200"/>
      <c r="CL48" s="380" t="s">
        <v>648</v>
      </c>
      <c r="CN48" s="1198" t="s">
        <v>389</v>
      </c>
      <c r="CO48" s="1200" t="str">
        <f t="shared" ref="CO48:CP61" si="101">CO33</f>
        <v>Reference Thermometer, Merek : FLUKE, Model : 1524, SN : 1803037</v>
      </c>
      <c r="CP48" s="1203"/>
      <c r="CQ48" s="1200"/>
      <c r="CR48" s="380" t="s">
        <v>648</v>
      </c>
    </row>
    <row r="49" spans="2:96" ht="13">
      <c r="B49" s="1199"/>
      <c r="C49" s="387">
        <f>C34</f>
        <v>2021</v>
      </c>
      <c r="D49" s="387">
        <f>D34</f>
        <v>2022</v>
      </c>
      <c r="E49" s="384" t="s">
        <v>386</v>
      </c>
      <c r="F49" s="388">
        <f ca="1">$B$290</f>
        <v>37.19</v>
      </c>
      <c r="G49" s="385"/>
      <c r="H49" s="1199"/>
      <c r="I49" s="386">
        <f>I34</f>
        <v>2021</v>
      </c>
      <c r="J49" s="387">
        <f>J34</f>
        <v>2022</v>
      </c>
      <c r="K49" s="384" t="s">
        <v>386</v>
      </c>
      <c r="L49" s="388">
        <f ca="1">$B$290</f>
        <v>37.19</v>
      </c>
      <c r="M49" s="385"/>
      <c r="N49" s="1199"/>
      <c r="O49" s="386">
        <f>O4</f>
        <v>2021</v>
      </c>
      <c r="P49" s="387">
        <f>P4</f>
        <v>2023</v>
      </c>
      <c r="Q49" s="384" t="s">
        <v>386</v>
      </c>
      <c r="R49" s="388">
        <f ca="1">$B$290</f>
        <v>37.19</v>
      </c>
      <c r="S49" s="377"/>
      <c r="T49" s="1199"/>
      <c r="U49" s="386">
        <f>U34</f>
        <v>2021</v>
      </c>
      <c r="V49" s="387"/>
      <c r="W49" s="384" t="s">
        <v>386</v>
      </c>
      <c r="X49" s="388">
        <f ca="1">$B$290</f>
        <v>37.19</v>
      </c>
      <c r="Y49" s="377"/>
      <c r="Z49" s="1199"/>
      <c r="AA49" s="386">
        <f>AA34</f>
        <v>2023</v>
      </c>
      <c r="AB49" s="387">
        <f>AB34</f>
        <v>2021</v>
      </c>
      <c r="AC49" s="384" t="s">
        <v>386</v>
      </c>
      <c r="AD49" s="388">
        <f ca="1">$B$290</f>
        <v>37.19</v>
      </c>
      <c r="AE49" s="377"/>
      <c r="AF49" s="1199"/>
      <c r="AG49" s="386">
        <f>AG34</f>
        <v>2023</v>
      </c>
      <c r="AH49" s="386">
        <f>AH34</f>
        <v>2021</v>
      </c>
      <c r="AI49" s="384" t="s">
        <v>386</v>
      </c>
      <c r="AJ49" s="388">
        <f ca="1">$B$290</f>
        <v>37.19</v>
      </c>
      <c r="AK49" s="377"/>
      <c r="AL49" s="1199"/>
      <c r="AM49" s="386">
        <f>AM34</f>
        <v>2021</v>
      </c>
      <c r="AN49" s="387"/>
      <c r="AO49" s="384" t="s">
        <v>386</v>
      </c>
      <c r="AP49" s="388">
        <f ca="1">$B$290</f>
        <v>37.19</v>
      </c>
      <c r="AQ49" s="377"/>
      <c r="AR49" s="1199"/>
      <c r="AS49" s="386">
        <f>AS34</f>
        <v>2021</v>
      </c>
      <c r="AT49" s="387"/>
      <c r="AU49" s="384" t="s">
        <v>386</v>
      </c>
      <c r="AV49" s="388">
        <f ca="1">$B$290</f>
        <v>37.19</v>
      </c>
      <c r="AW49" s="377"/>
      <c r="AX49" s="1199"/>
      <c r="AY49" s="386">
        <f>AY34</f>
        <v>2021</v>
      </c>
      <c r="AZ49" s="387"/>
      <c r="BA49" s="384" t="s">
        <v>386</v>
      </c>
      <c r="BB49" s="388">
        <f ca="1">$B$290</f>
        <v>37.19</v>
      </c>
      <c r="BC49" s="377"/>
      <c r="BD49" s="1199"/>
      <c r="BE49" s="386">
        <f>BE34</f>
        <v>2021</v>
      </c>
      <c r="BF49" s="387"/>
      <c r="BG49" s="384" t="s">
        <v>386</v>
      </c>
      <c r="BH49" s="388">
        <f ca="1">$B$290</f>
        <v>37.19</v>
      </c>
      <c r="BI49" s="377"/>
      <c r="BJ49" s="1199"/>
      <c r="BK49" s="386">
        <f>BK34</f>
        <v>2021</v>
      </c>
      <c r="BL49" s="387"/>
      <c r="BM49" s="384" t="s">
        <v>386</v>
      </c>
      <c r="BN49" s="388">
        <f ca="1">$B$290</f>
        <v>37.19</v>
      </c>
      <c r="BO49" s="377"/>
      <c r="BP49" s="1199"/>
      <c r="BQ49" s="386">
        <f>BQ34</f>
        <v>2021</v>
      </c>
      <c r="BR49" s="387"/>
      <c r="BS49" s="384" t="s">
        <v>386</v>
      </c>
      <c r="BT49" s="388">
        <f ca="1">$B$290</f>
        <v>37.19</v>
      </c>
      <c r="BU49" s="377"/>
      <c r="BV49" s="1199"/>
      <c r="BW49" s="386">
        <f>BW34</f>
        <v>2022</v>
      </c>
      <c r="BX49" s="387"/>
      <c r="BY49" s="384" t="s">
        <v>386</v>
      </c>
      <c r="BZ49" s="388">
        <f ca="1">$B$290</f>
        <v>37.19</v>
      </c>
      <c r="CA49" s="377"/>
      <c r="CB49" s="1199"/>
      <c r="CC49" s="386">
        <f t="shared" si="99"/>
        <v>2022</v>
      </c>
      <c r="CD49" s="387">
        <f>CD64</f>
        <v>2020</v>
      </c>
      <c r="CE49" s="384" t="s">
        <v>386</v>
      </c>
      <c r="CF49" s="388">
        <f ca="1">$B$290</f>
        <v>37.19</v>
      </c>
      <c r="CH49" s="1199"/>
      <c r="CI49" s="386">
        <f t="shared" si="100"/>
        <v>2021</v>
      </c>
      <c r="CJ49" s="387">
        <f>CJ34</f>
        <v>2019</v>
      </c>
      <c r="CK49" s="384" t="s">
        <v>386</v>
      </c>
      <c r="CL49" s="388">
        <f ca="1">$B$290</f>
        <v>37.19</v>
      </c>
      <c r="CN49" s="1199"/>
      <c r="CO49" s="386">
        <f t="shared" si="101"/>
        <v>2021</v>
      </c>
      <c r="CP49" s="387">
        <f>CP34</f>
        <v>2020</v>
      </c>
      <c r="CQ49" s="384" t="s">
        <v>386</v>
      </c>
      <c r="CR49" s="388">
        <f ca="1">$B$290</f>
        <v>37.19</v>
      </c>
    </row>
    <row r="50" spans="2:96" ht="13">
      <c r="B50" s="389">
        <v>-20</v>
      </c>
      <c r="C50" s="291">
        <v>-0.37</v>
      </c>
      <c r="D50" s="291">
        <f t="shared" ref="D50:D61" si="102">U175</f>
        <v>-0.59</v>
      </c>
      <c r="E50" s="390">
        <f t="shared" ref="E50:E61" si="103">IF(OR(C50=0,D50=0),$U$187/3,((MAX(C50:D50)-(MIN(C50:D50)))))</f>
        <v>0.21999999999999997</v>
      </c>
      <c r="F50" s="932">
        <f ca="1">IF($L$4&lt;=$B$10,$B$9,IF($L$4&lt;=$B$11,$B$10,IF($L$4&lt;=$B$12,$B$11,IF($L$4&lt;=$B$13,$B$12,IF($L$4&lt;=$B$14,$B$13)))))</f>
        <v>37</v>
      </c>
      <c r="G50" s="392"/>
      <c r="H50" s="389">
        <v>-20</v>
      </c>
      <c r="I50" s="291">
        <v>-0.63</v>
      </c>
      <c r="J50" s="291">
        <f t="shared" ref="J50:J61" si="104">V175</f>
        <v>-0.42</v>
      </c>
      <c r="K50" s="390">
        <f t="shared" ref="K50:K61" si="105">IF(OR(I50=0,J50=0),$V$187/3,((MAX(I50:J50)-(MIN(I50:J50)))))</f>
        <v>0.21000000000000002</v>
      </c>
      <c r="L50" s="932">
        <f ca="1">IF($L$4&lt;=$B$10,$B$9,IF($L$4&lt;=$B$11,$B$10,IF($L$4&lt;=$B$12,$B$11,IF($L$4&lt;=$B$13,$B$12,IF($L$4&lt;=$B$14,$B$13)))))</f>
        <v>37</v>
      </c>
      <c r="M50" s="392"/>
      <c r="N50" s="389">
        <v>-20</v>
      </c>
      <c r="O50" s="291">
        <v>9.9999999999999995E-7</v>
      </c>
      <c r="P50" s="291">
        <f t="shared" ref="P50:P61" si="106">W175</f>
        <v>-0.5</v>
      </c>
      <c r="Q50" s="390">
        <f t="shared" ref="Q50:Q61" si="107">IF(OR(O50=0,P50=0),$W$187/3,((MAX(O50:P50)-(MIN(O50:P50)))))</f>
        <v>0.50000100000000003</v>
      </c>
      <c r="R50" s="932">
        <f ca="1">IF($L$4&lt;=$B$10,$B$9,IF($L$4&lt;=$B$11,$B$10,IF($L$4&lt;=$B$12,$B$11,IF($L$4&lt;=$B$13,$B$12,IF($L$4&lt;=$B$14,$B$13)))))</f>
        <v>37</v>
      </c>
      <c r="S50" s="377"/>
      <c r="T50" s="389">
        <v>-20</v>
      </c>
      <c r="U50" s="291">
        <f t="shared" ref="U50:U61" si="108">X175</f>
        <v>-1.47</v>
      </c>
      <c r="V50" s="291"/>
      <c r="W50" s="390">
        <f t="shared" ref="W50:W61" si="109">IF(OR(U50=0,V50=0),$X$187/3,((MAX(U50:V50)-(MIN(U50:V50)))))</f>
        <v>8.666666666666667E-2</v>
      </c>
      <c r="X50" s="932">
        <f ca="1">IF($L$4&lt;=$B$10,$B$9,IF($L$4&lt;=$B$11,$B$10,IF($L$4&lt;=$B$12,$B$11,IF($L$4&lt;=$B$13,$B$12,IF($L$4&lt;=$B$14,$B$13)))))</f>
        <v>37</v>
      </c>
      <c r="Y50" s="377"/>
      <c r="Z50" s="389">
        <v>-20</v>
      </c>
      <c r="AA50" s="291">
        <f t="shared" ref="AA50:AA61" si="110">Y175</f>
        <v>7.0000000000000007E-2</v>
      </c>
      <c r="AB50" s="291">
        <v>-0.7</v>
      </c>
      <c r="AC50" s="390">
        <f t="shared" ref="AC50:AC61" si="111">IF(OR(AA50=0,AB50=0),$Y$187/3,((MAX(AA50:AB50)-(MIN(AA50:AB50)))))</f>
        <v>0.77</v>
      </c>
      <c r="AD50" s="932">
        <f ca="1">IF($L$4&lt;=$B$10,$B$9,IF($L$4&lt;=$B$11,$B$10,IF($L$4&lt;=$B$12,$B$11,IF($L$4&lt;=$B$13,$B$12,IF($L$4&lt;=$B$14,$B$13)))))</f>
        <v>37</v>
      </c>
      <c r="AE50" s="377"/>
      <c r="AF50" s="389">
        <v>-20</v>
      </c>
      <c r="AG50" s="291">
        <f t="shared" ref="AG50:AG61" si="112">Z175</f>
        <v>7.0000000000000007E-2</v>
      </c>
      <c r="AH50" s="291">
        <v>0.04</v>
      </c>
      <c r="AI50" s="390">
        <f t="shared" ref="AI50:AI61" si="113">IF(OR(AG50=0,AH50=0),$Z$187/3,((MAX(AG50:AH50)-(MIN(AG50:AH50)))))</f>
        <v>3.0000000000000006E-2</v>
      </c>
      <c r="AJ50" s="932">
        <f ca="1">IF($L$4&lt;=$B$10,$B$9,IF($L$4&lt;=$B$11,$B$10,IF($L$4&lt;=$B$12,$B$11,IF($L$4&lt;=$B$13,$B$12,IF($L$4&lt;=$B$14,$B$13)))))</f>
        <v>37</v>
      </c>
      <c r="AK50" s="377"/>
      <c r="AL50" s="389">
        <v>-20</v>
      </c>
      <c r="AM50" s="291">
        <f t="shared" ref="AM50:AM61" si="114">AA175</f>
        <v>0.46</v>
      </c>
      <c r="AN50" s="291"/>
      <c r="AO50" s="390">
        <f t="shared" ref="AO50:AO61" si="115">IF(OR(AM50=0,AN50=0),$AA$187/3,((MAX(AM50:AN50)-(MIN(AM50:AN50)))))</f>
        <v>8.3333333333333329E-2</v>
      </c>
      <c r="AP50" s="932">
        <f ca="1">IF($L$4&lt;=$B$10,$B$9,IF($L$4&lt;=$B$11,$B$10,IF($L$4&lt;=$B$12,$B$11,IF($L$4&lt;=$B$13,$B$12,IF($L$4&lt;=$B$14,$B$13)))))</f>
        <v>37</v>
      </c>
      <c r="AQ50" s="377"/>
      <c r="AR50" s="389">
        <v>-20</v>
      </c>
      <c r="AS50" s="291">
        <f t="shared" ref="AS50:AS61" si="116">AB175</f>
        <v>0.33</v>
      </c>
      <c r="AT50" s="291"/>
      <c r="AU50" s="390">
        <f t="shared" ref="AU50:AU61" si="117">IF(OR(AS50=0,AT50=0),$AB$187/3,((MAX(AS50:AT50)-(MIN(AS50:AT50)))))</f>
        <v>0.08</v>
      </c>
      <c r="AV50" s="932">
        <f ca="1">IF($L$4&lt;=$B$10,$B$9,IF($L$4&lt;=$B$11,$B$10,IF($L$4&lt;=$B$12,$B$11,IF($L$4&lt;=$B$13,$B$12,IF($L$4&lt;=$B$14,$B$13)))))</f>
        <v>37</v>
      </c>
      <c r="AW50" s="377"/>
      <c r="AX50" s="389">
        <v>-20</v>
      </c>
      <c r="AY50" s="291">
        <f t="shared" ref="AY50:AY61" si="118">AC175</f>
        <v>0.64</v>
      </c>
      <c r="AZ50" s="291"/>
      <c r="BA50" s="390">
        <f t="shared" ref="BA50:BA61" si="119">IF(OR(AY50=0,AZ50=0),$AC$187/3,((MAX(AY50:AZ50)-(MIN(AY50:AZ50)))))</f>
        <v>0.26333333333333336</v>
      </c>
      <c r="BB50" s="932">
        <f ca="1">IF($L$4&lt;=$B$10,$B$9,IF($L$4&lt;=$B$11,$B$10,IF($L$4&lt;=$B$12,$B$11,IF($L$4&lt;=$B$13,$B$12,IF($L$4&lt;=$B$14,$B$13)))))</f>
        <v>37</v>
      </c>
      <c r="BC50" s="377"/>
      <c r="BD50" s="389">
        <v>-20</v>
      </c>
      <c r="BE50" s="291">
        <f t="shared" ref="BE50:BE61" si="120">AD175</f>
        <v>-0.91</v>
      </c>
      <c r="BF50" s="291"/>
      <c r="BG50" s="390">
        <f t="shared" ref="BG50:BG61" si="121">IF(OR(BE50=0,BF50=0),$AD$187/3,((MAX(BE50:BF50)-(MIN(BE50:BF50)))))</f>
        <v>9.0000000000000011E-2</v>
      </c>
      <c r="BH50" s="932">
        <f ca="1">IF($L$4&lt;=$B$10,$B$9,IF($L$4&lt;=$B$11,$B$10,IF($L$4&lt;=$B$12,$B$11,IF($L$4&lt;=$B$13,$B$12,IF($L$4&lt;=$B$14,$B$13)))))</f>
        <v>37</v>
      </c>
      <c r="BI50" s="377"/>
      <c r="BJ50" s="389">
        <v>-20</v>
      </c>
      <c r="BK50" s="291">
        <f t="shared" ref="BK50:BK61" si="122">AE175</f>
        <v>0.64</v>
      </c>
      <c r="BL50" s="291"/>
      <c r="BM50" s="390">
        <f t="shared" ref="BM50:BM61" si="123">IF(OR(BK50=0,BL50=0),$AE$187/3,((MAX(BK50:BL50)-(MIN(BK50:BL50)))))</f>
        <v>0.26333333333333336</v>
      </c>
      <c r="BN50" s="932">
        <f ca="1">IF($L$4&lt;=$B$10,$B$9,IF($L$4&lt;=$B$11,$B$10,IF($L$4&lt;=$B$12,$B$11,IF($L$4&lt;=$B$13,$B$12,IF($L$4&lt;=$B$14,$B$13)))))</f>
        <v>37</v>
      </c>
      <c r="BO50" s="377"/>
      <c r="BP50" s="389">
        <v>-20</v>
      </c>
      <c r="BQ50" s="291">
        <f t="shared" ref="BQ50:BQ61" si="124">AF175</f>
        <v>-1.31</v>
      </c>
      <c r="BR50" s="291"/>
      <c r="BS50" s="390">
        <f t="shared" ref="BS50:BS61" si="125">IF(OR(BQ50=0,BR50=0),$AF$187/3,((MAX(BQ50:BR50)-(MIN(BQ50:BR50)))))</f>
        <v>8.3333333333333329E-2</v>
      </c>
      <c r="BT50" s="932">
        <f ca="1">IF($L$4&lt;=$B$10,$B$9,IF($L$4&lt;=$B$11,$B$10,IF($L$4&lt;=$B$12,$B$11,IF($L$4&lt;=$B$13,$B$12,IF($L$4&lt;=$B$14,$B$13)))))</f>
        <v>37</v>
      </c>
      <c r="BU50" s="377"/>
      <c r="BV50" s="389">
        <v>-20</v>
      </c>
      <c r="BW50" s="291">
        <f t="shared" ref="BW50:BW61" si="126">AG175</f>
        <v>-1.41</v>
      </c>
      <c r="BX50" s="291"/>
      <c r="BY50" s="390">
        <f t="shared" ref="BY50:BY61" si="127">IF(OR(BW50=0,BX50=0),$AG$187/3,((MAX(BW50:BX50)-(MIN(BW50:BX50)))))</f>
        <v>8.666666666666667E-2</v>
      </c>
      <c r="BZ50" s="932">
        <f ca="1">IF($L$4&lt;=$B$10,$B$9,IF($L$4&lt;=$B$11,$B$10,IF($L$4&lt;=$B$12,$B$11,IF($L$4&lt;=$B$13,$B$12,IF($L$4&lt;=$B$14,$B$13)))))</f>
        <v>37</v>
      </c>
      <c r="CA50" s="377"/>
      <c r="CB50" s="389">
        <v>-20</v>
      </c>
      <c r="CC50" s="291">
        <f t="shared" si="99"/>
        <v>-1.1000000000000001</v>
      </c>
      <c r="CD50" s="291">
        <f>CD80</f>
        <v>-0.7</v>
      </c>
      <c r="CE50" s="390">
        <f t="shared" ref="CE50:CE61" si="128">CE35</f>
        <v>0.40000000000000013</v>
      </c>
      <c r="CF50" s="932">
        <f ca="1">IF($L$4&lt;=$B$10,$B$9,IF($L$4&lt;=$B$11,$B$10,IF($L$4&lt;=$B$12,$B$11,IF($L$4&lt;=$B$13,$B$12,IF($L$4&lt;=$B$14,$B$13)))))</f>
        <v>37</v>
      </c>
      <c r="CH50" s="389">
        <v>-20</v>
      </c>
      <c r="CI50" s="291">
        <f t="shared" si="100"/>
        <v>-0.15</v>
      </c>
      <c r="CJ50" s="291">
        <f>CJ35</f>
        <v>-0.32</v>
      </c>
      <c r="CK50" s="390">
        <f t="shared" ref="CK50:CK61" si="129">CK35</f>
        <v>0.17</v>
      </c>
      <c r="CL50" s="932">
        <f ca="1">IF($L$4&lt;=$B$10,$B$9,IF($L$4&lt;=$B$11,$B$10,IF($L$4&lt;=$B$12,$B$11,IF($L$4&lt;=$B$13,$B$12,IF($L$4&lt;=$B$14,$B$13)))))</f>
        <v>37</v>
      </c>
      <c r="CN50" s="389">
        <v>-20</v>
      </c>
      <c r="CO50" s="291">
        <f t="shared" si="101"/>
        <v>-1.8</v>
      </c>
      <c r="CP50" s="291">
        <f>CP35</f>
        <v>-0.51</v>
      </c>
      <c r="CQ50" s="390">
        <f t="shared" ref="CQ50:CQ61" si="130">CQ35</f>
        <v>1.29</v>
      </c>
      <c r="CR50" s="932">
        <f ca="1">IF($L$4&lt;=$B$10,$B$9,IF($L$4&lt;=$B$11,$B$10,IF($L$4&lt;=$B$12,$B$11,IF($L$4&lt;=$B$13,$B$12,IF($L$4&lt;=$B$14,$B$13)))))</f>
        <v>37</v>
      </c>
    </row>
    <row r="51" spans="2:96" ht="13">
      <c r="B51" s="389">
        <v>-15</v>
      </c>
      <c r="C51" s="291">
        <v>-0.31</v>
      </c>
      <c r="D51" s="291">
        <f t="shared" si="102"/>
        <v>-0.53</v>
      </c>
      <c r="E51" s="390">
        <f t="shared" si="103"/>
        <v>0.22000000000000003</v>
      </c>
      <c r="F51" s="391"/>
      <c r="G51" s="392"/>
      <c r="H51" s="389">
        <v>-15</v>
      </c>
      <c r="I51" s="291">
        <v>-0.51</v>
      </c>
      <c r="J51" s="291">
        <f t="shared" si="104"/>
        <v>-0.37</v>
      </c>
      <c r="K51" s="390">
        <f t="shared" si="105"/>
        <v>0.14000000000000001</v>
      </c>
      <c r="L51" s="391"/>
      <c r="M51" s="392"/>
      <c r="N51" s="389">
        <v>-15</v>
      </c>
      <c r="O51" s="291">
        <v>-0.52</v>
      </c>
      <c r="P51" s="291">
        <f t="shared" si="106"/>
        <v>-0.41</v>
      </c>
      <c r="Q51" s="390">
        <f t="shared" si="107"/>
        <v>0.11000000000000004</v>
      </c>
      <c r="R51" s="391"/>
      <c r="S51" s="377"/>
      <c r="T51" s="389">
        <v>-15</v>
      </c>
      <c r="U51" s="291">
        <f t="shared" si="108"/>
        <v>-1.25</v>
      </c>
      <c r="V51" s="291"/>
      <c r="W51" s="390">
        <f t="shared" si="109"/>
        <v>8.666666666666667E-2</v>
      </c>
      <c r="X51" s="391"/>
      <c r="Y51" s="377"/>
      <c r="Z51" s="389">
        <v>-15</v>
      </c>
      <c r="AA51" s="291">
        <f t="shared" si="110"/>
        <v>0.11</v>
      </c>
      <c r="AB51" s="291">
        <v>9.9999999999999995E-7</v>
      </c>
      <c r="AC51" s="390">
        <f t="shared" si="111"/>
        <v>0.109999</v>
      </c>
      <c r="AD51" s="391"/>
      <c r="AE51" s="377"/>
      <c r="AF51" s="389">
        <v>-15</v>
      </c>
      <c r="AG51" s="291">
        <f t="shared" si="112"/>
        <v>0.11</v>
      </c>
      <c r="AH51" s="291">
        <v>9.9999999999999995E-7</v>
      </c>
      <c r="AI51" s="390">
        <f t="shared" si="113"/>
        <v>0.109999</v>
      </c>
      <c r="AJ51" s="391"/>
      <c r="AK51" s="377"/>
      <c r="AL51" s="389">
        <v>-15</v>
      </c>
      <c r="AM51" s="291">
        <f t="shared" si="114"/>
        <v>0.48</v>
      </c>
      <c r="AN51" s="291"/>
      <c r="AO51" s="390">
        <f t="shared" si="115"/>
        <v>8.3333333333333329E-2</v>
      </c>
      <c r="AP51" s="391"/>
      <c r="AQ51" s="377"/>
      <c r="AR51" s="389">
        <v>-15</v>
      </c>
      <c r="AS51" s="291">
        <f t="shared" si="116"/>
        <v>0.35</v>
      </c>
      <c r="AT51" s="291"/>
      <c r="AU51" s="390">
        <f t="shared" si="117"/>
        <v>0.08</v>
      </c>
      <c r="AV51" s="391"/>
      <c r="AW51" s="377"/>
      <c r="AX51" s="389">
        <v>-15</v>
      </c>
      <c r="AY51" s="291">
        <f t="shared" si="118"/>
        <v>9.9999999999999995E-7</v>
      </c>
      <c r="AZ51" s="291"/>
      <c r="BA51" s="390">
        <f t="shared" si="119"/>
        <v>0.26333333333333336</v>
      </c>
      <c r="BB51" s="391"/>
      <c r="BC51" s="377"/>
      <c r="BD51" s="389">
        <v>-15</v>
      </c>
      <c r="BE51" s="291">
        <f t="shared" si="120"/>
        <v>-0.67</v>
      </c>
      <c r="BF51" s="291"/>
      <c r="BG51" s="390">
        <f t="shared" si="121"/>
        <v>9.0000000000000011E-2</v>
      </c>
      <c r="BH51" s="391"/>
      <c r="BI51" s="377"/>
      <c r="BJ51" s="389">
        <v>-15</v>
      </c>
      <c r="BK51" s="291">
        <f t="shared" si="122"/>
        <v>9.9999999999999995E-7</v>
      </c>
      <c r="BL51" s="291"/>
      <c r="BM51" s="390">
        <f t="shared" si="123"/>
        <v>0.26333333333333336</v>
      </c>
      <c r="BN51" s="391"/>
      <c r="BO51" s="377"/>
      <c r="BP51" s="389">
        <v>-15</v>
      </c>
      <c r="BQ51" s="291">
        <f t="shared" si="124"/>
        <v>-1.06</v>
      </c>
      <c r="BR51" s="291"/>
      <c r="BS51" s="390">
        <f t="shared" si="125"/>
        <v>8.3333333333333329E-2</v>
      </c>
      <c r="BT51" s="391"/>
      <c r="BU51" s="377"/>
      <c r="BV51" s="389">
        <v>-15</v>
      </c>
      <c r="BW51" s="291">
        <f t="shared" si="126"/>
        <v>-1.1399999999999999</v>
      </c>
      <c r="BX51" s="291"/>
      <c r="BY51" s="390">
        <f t="shared" si="127"/>
        <v>8.666666666666667E-2</v>
      </c>
      <c r="BZ51" s="391"/>
      <c r="CA51" s="377"/>
      <c r="CB51" s="389">
        <v>-15</v>
      </c>
      <c r="CC51" s="291">
        <f t="shared" si="99"/>
        <v>-1.1000000000000001</v>
      </c>
      <c r="CD51" s="291">
        <f t="shared" ref="CD51:CD61" si="131">CD81</f>
        <v>-0.7</v>
      </c>
      <c r="CE51" s="390">
        <f t="shared" si="128"/>
        <v>0.40000000000000013</v>
      </c>
      <c r="CF51" s="391"/>
      <c r="CH51" s="389">
        <v>-15</v>
      </c>
      <c r="CI51" s="291">
        <f t="shared" si="100"/>
        <v>-0.1</v>
      </c>
      <c r="CJ51" s="291">
        <f t="shared" si="100"/>
        <v>-0.24</v>
      </c>
      <c r="CK51" s="390">
        <f t="shared" si="129"/>
        <v>0.13999999999999999</v>
      </c>
      <c r="CL51" s="391"/>
      <c r="CN51" s="389">
        <v>-15</v>
      </c>
      <c r="CO51" s="291">
        <f t="shared" si="101"/>
        <v>-1.52</v>
      </c>
      <c r="CP51" s="291">
        <f t="shared" si="101"/>
        <v>-0.39</v>
      </c>
      <c r="CQ51" s="390">
        <f t="shared" si="130"/>
        <v>1.1299999999999999</v>
      </c>
      <c r="CR51" s="391"/>
    </row>
    <row r="52" spans="2:96" ht="13">
      <c r="B52" s="389">
        <v>-10</v>
      </c>
      <c r="C52" s="291">
        <v>-0.25</v>
      </c>
      <c r="D52" s="291">
        <f t="shared" si="102"/>
        <v>-0.47</v>
      </c>
      <c r="E52" s="390">
        <f t="shared" si="103"/>
        <v>0.21999999999999997</v>
      </c>
      <c r="F52" s="932">
        <f ca="1">IF($L$4&lt;=$B$9,$B$9,IF($L$4&lt;=$B$10,$B$10,IF($L$4&lt;=$B$11,$B$11,IF($L$4&lt;=$B$12,$B$12,IF($L$4&lt;=$B$13,$B$13,IF($L$4&lt;=$B$14,$B$14))))))</f>
        <v>44</v>
      </c>
      <c r="G52" s="392"/>
      <c r="H52" s="389">
        <v>-10</v>
      </c>
      <c r="I52" s="291">
        <v>9.9999999999999995E-7</v>
      </c>
      <c r="J52" s="291">
        <f t="shared" si="104"/>
        <v>-0.31</v>
      </c>
      <c r="K52" s="390">
        <f t="shared" si="105"/>
        <v>0.31000099999999997</v>
      </c>
      <c r="L52" s="932">
        <f ca="1">IF($L$4&lt;=$B$9,$B$9,IF($L$4&lt;=$B$10,$B$10,IF($L$4&lt;=$B$11,$B$11,IF($L$4&lt;=$B$12,$B$12,IF($L$4&lt;=$B$13,$B$13,IF($L$4&lt;=$B$14,$B$14))))))</f>
        <v>44</v>
      </c>
      <c r="M52" s="392"/>
      <c r="N52" s="389">
        <v>-10</v>
      </c>
      <c r="O52" s="291">
        <v>-0.43</v>
      </c>
      <c r="P52" s="291">
        <f t="shared" si="106"/>
        <v>-0.33</v>
      </c>
      <c r="Q52" s="390">
        <f t="shared" si="107"/>
        <v>9.9999999999999978E-2</v>
      </c>
      <c r="R52" s="932">
        <f ca="1">IF($L$4&lt;=$B$9,$B$9,IF($L$4&lt;=$B$10,$B$10,IF($L$4&lt;=$B$11,$B$11,IF($L$4&lt;=$B$12,$B$12,IF($L$4&lt;=$B$13,$B$13,IF($L$4&lt;=$B$14,$B$14))))))</f>
        <v>44</v>
      </c>
      <c r="S52" s="377"/>
      <c r="T52" s="389">
        <v>-10</v>
      </c>
      <c r="U52" s="291">
        <f t="shared" si="108"/>
        <v>-1</v>
      </c>
      <c r="V52" s="291"/>
      <c r="W52" s="390">
        <f t="shared" si="109"/>
        <v>8.666666666666667E-2</v>
      </c>
      <c r="X52" s="932">
        <f ca="1">IF($L$4&lt;=$B$9,$B$9,IF($L$4&lt;=$B$10,$B$10,IF($L$4&lt;=$B$11,$B$11,IF($L$4&lt;=$B$12,$B$12,IF($L$4&lt;=$B$13,$B$13,IF($L$4&lt;=$B$14,$B$14))))))</f>
        <v>44</v>
      </c>
      <c r="Y52" s="377"/>
      <c r="Z52" s="389">
        <v>-10</v>
      </c>
      <c r="AA52" s="291">
        <f t="shared" si="110"/>
        <v>0.13</v>
      </c>
      <c r="AB52" s="291">
        <v>-0.42</v>
      </c>
      <c r="AC52" s="390">
        <f t="shared" si="111"/>
        <v>0.55000000000000004</v>
      </c>
      <c r="AD52" s="932">
        <f ca="1">IF($L$4&lt;=$B$9,$B$9,IF($L$4&lt;=$B$10,$B$10,IF($L$4&lt;=$B$11,$B$11,IF($L$4&lt;=$B$12,$B$12,IF($L$4&lt;=$B$13,$B$13,IF($L$4&lt;=$B$14,$B$14))))))</f>
        <v>44</v>
      </c>
      <c r="AE52" s="377"/>
      <c r="AF52" s="389">
        <v>-10</v>
      </c>
      <c r="AG52" s="291">
        <f t="shared" si="112"/>
        <v>0.15</v>
      </c>
      <c r="AH52" s="291">
        <v>0.21</v>
      </c>
      <c r="AI52" s="390">
        <f t="shared" si="113"/>
        <v>0.06</v>
      </c>
      <c r="AJ52" s="932">
        <f ca="1">IF($L$4&lt;=$B$9,$B$9,IF($L$4&lt;=$B$10,$B$10,IF($L$4&lt;=$B$11,$B$11,IF($L$4&lt;=$B$12,$B$12,IF($L$4&lt;=$B$13,$B$13,IF($L$4&lt;=$B$14,$B$14))))))</f>
        <v>44</v>
      </c>
      <c r="AK52" s="377"/>
      <c r="AL52" s="389">
        <v>-10</v>
      </c>
      <c r="AM52" s="291">
        <f t="shared" si="114"/>
        <v>0.48</v>
      </c>
      <c r="AN52" s="291"/>
      <c r="AO52" s="390">
        <f t="shared" si="115"/>
        <v>8.3333333333333329E-2</v>
      </c>
      <c r="AP52" s="932">
        <f ca="1">IF($L$4&lt;=$B$9,$B$9,IF($L$4&lt;=$B$10,$B$10,IF($L$4&lt;=$B$11,$B$11,IF($L$4&lt;=$B$12,$B$12,IF($L$4&lt;=$B$13,$B$13,IF($L$4&lt;=$B$14,$B$14))))))</f>
        <v>44</v>
      </c>
      <c r="AQ52" s="377"/>
      <c r="AR52" s="389">
        <v>-10</v>
      </c>
      <c r="AS52" s="291">
        <f t="shared" si="116"/>
        <v>0.36</v>
      </c>
      <c r="AT52" s="291"/>
      <c r="AU52" s="390">
        <f t="shared" si="117"/>
        <v>0.08</v>
      </c>
      <c r="AV52" s="932">
        <f ca="1">IF($L$4&lt;=$B$9,$B$9,IF($L$4&lt;=$B$10,$B$10,IF($L$4&lt;=$B$11,$B$11,IF($L$4&lt;=$B$12,$B$12,IF($L$4&lt;=$B$13,$B$13,IF($L$4&lt;=$B$14,$B$14))))))</f>
        <v>44</v>
      </c>
      <c r="AW52" s="377"/>
      <c r="AX52" s="389">
        <v>-10</v>
      </c>
      <c r="AY52" s="291">
        <f t="shared" si="118"/>
        <v>0.6</v>
      </c>
      <c r="AZ52" s="291"/>
      <c r="BA52" s="390">
        <f t="shared" si="119"/>
        <v>0.26333333333333336</v>
      </c>
      <c r="BB52" s="932">
        <f ca="1">IF($L$4&lt;=$B$9,$B$9,IF($L$4&lt;=$B$10,$B$10,IF($L$4&lt;=$B$11,$B$11,IF($L$4&lt;=$B$12,$B$12,IF($L$4&lt;=$B$13,$B$13,IF($L$4&lt;=$B$14,$B$14))))))</f>
        <v>44</v>
      </c>
      <c r="BC52" s="377"/>
      <c r="BD52" s="389">
        <v>-10</v>
      </c>
      <c r="BE52" s="291">
        <f t="shared" si="120"/>
        <v>-0.48</v>
      </c>
      <c r="BF52" s="291"/>
      <c r="BG52" s="390">
        <f t="shared" si="121"/>
        <v>9.0000000000000011E-2</v>
      </c>
      <c r="BH52" s="932">
        <f ca="1">IF($L$4&lt;=$B$9,$B$9,IF($L$4&lt;=$B$10,$B$10,IF($L$4&lt;=$B$11,$B$11,IF($L$4&lt;=$B$12,$B$12,IF($L$4&lt;=$B$13,$B$13,IF($L$4&lt;=$B$14,$B$14))))))</f>
        <v>44</v>
      </c>
      <c r="BI52" s="377"/>
      <c r="BJ52" s="389">
        <v>-10</v>
      </c>
      <c r="BK52" s="291">
        <f t="shared" si="122"/>
        <v>0.6</v>
      </c>
      <c r="BL52" s="291"/>
      <c r="BM52" s="390">
        <f t="shared" si="123"/>
        <v>0.26333333333333336</v>
      </c>
      <c r="BN52" s="932">
        <f ca="1">IF($L$4&lt;=$B$9,$B$9,IF($L$4&lt;=$B$10,$B$10,IF($L$4&lt;=$B$11,$B$11,IF($L$4&lt;=$B$12,$B$12,IF($L$4&lt;=$B$13,$B$13,IF($L$4&lt;=$B$14,$B$14))))))</f>
        <v>44</v>
      </c>
      <c r="BO52" s="377"/>
      <c r="BP52" s="389">
        <v>-10</v>
      </c>
      <c r="BQ52" s="291">
        <f t="shared" si="124"/>
        <v>-0.85</v>
      </c>
      <c r="BR52" s="291"/>
      <c r="BS52" s="390">
        <f t="shared" si="125"/>
        <v>8.3333333333333329E-2</v>
      </c>
      <c r="BT52" s="932">
        <f ca="1">IF($L$4&lt;=$B$9,$B$9,IF($L$4&lt;=$B$10,$B$10,IF($L$4&lt;=$B$11,$B$11,IF($L$4&lt;=$B$12,$B$12,IF($L$4&lt;=$B$13,$B$13,IF($L$4&lt;=$B$14,$B$14))))))</f>
        <v>44</v>
      </c>
      <c r="BU52" s="377"/>
      <c r="BV52" s="389">
        <v>-10</v>
      </c>
      <c r="BW52" s="291">
        <f t="shared" si="126"/>
        <v>-0.9</v>
      </c>
      <c r="BX52" s="291"/>
      <c r="BY52" s="390">
        <f t="shared" si="127"/>
        <v>8.666666666666667E-2</v>
      </c>
      <c r="BZ52" s="932">
        <f ca="1">IF($L$4&lt;=$B$9,$B$9,IF($L$4&lt;=$B$10,$B$10,IF($L$4&lt;=$B$11,$B$11,IF($L$4&lt;=$B$12,$B$12,IF($L$4&lt;=$B$13,$B$13,IF($L$4&lt;=$B$14,$B$14))))))</f>
        <v>44</v>
      </c>
      <c r="CA52" s="377"/>
      <c r="CB52" s="389">
        <v>-10</v>
      </c>
      <c r="CC52" s="291">
        <f t="shared" si="99"/>
        <v>-1.2</v>
      </c>
      <c r="CD52" s="291">
        <f t="shared" si="131"/>
        <v>-0.7</v>
      </c>
      <c r="CE52" s="390">
        <f t="shared" si="128"/>
        <v>0.5</v>
      </c>
      <c r="CF52" s="932">
        <f ca="1">IF($L$4&lt;=$B$9,$B$9,IF($L$4&lt;=$B$10,$B$10,IF($L$4&lt;=$B$11,$B$11,IF($L$4&lt;=$B$12,$B$12,IF($L$4&lt;=$B$13,$B$13,IF($L$4&lt;=$B$14,$B$14))))))</f>
        <v>44</v>
      </c>
      <c r="CH52" s="389">
        <v>-10</v>
      </c>
      <c r="CI52" s="291">
        <f t="shared" si="100"/>
        <v>-0.05</v>
      </c>
      <c r="CJ52" s="291">
        <f t="shared" si="100"/>
        <v>-0.18</v>
      </c>
      <c r="CK52" s="390">
        <f t="shared" si="129"/>
        <v>0.13</v>
      </c>
      <c r="CL52" s="932">
        <f ca="1">IF($L$4&lt;=$B$9,$B$9,IF($L$4&lt;=$B$10,$B$10,IF($L$4&lt;=$B$11,$B$11,IF($L$4&lt;=$B$12,$B$12,IF($L$4&lt;=$B$13,$B$13,IF($L$4&lt;=$B$14,$B$14))))))</f>
        <v>44</v>
      </c>
      <c r="CN52" s="389">
        <v>-10</v>
      </c>
      <c r="CO52" s="291">
        <f t="shared" si="101"/>
        <v>-1.26</v>
      </c>
      <c r="CP52" s="291">
        <f t="shared" si="101"/>
        <v>-0.28000000000000003</v>
      </c>
      <c r="CQ52" s="390">
        <f t="shared" si="130"/>
        <v>0.98</v>
      </c>
      <c r="CR52" s="932">
        <f ca="1">IF($L$4&lt;=$B$9,$B$9,IF($L$4&lt;=$B$10,$B$10,IF($L$4&lt;=$B$11,$B$11,IF($L$4&lt;=$B$12,$B$12,IF($L$4&lt;=$B$13,$B$13,IF($L$4&lt;=$B$14,$B$14))))))</f>
        <v>44</v>
      </c>
    </row>
    <row r="53" spans="2:96" ht="13">
      <c r="B53" s="389">
        <v>9.9999999999999995E-7</v>
      </c>
      <c r="C53" s="291">
        <v>-0.16</v>
      </c>
      <c r="D53" s="291">
        <f t="shared" si="102"/>
        <v>-0.34</v>
      </c>
      <c r="E53" s="390">
        <f t="shared" si="103"/>
        <v>0.18000000000000002</v>
      </c>
      <c r="F53" s="391"/>
      <c r="G53" s="392"/>
      <c r="H53" s="389">
        <v>9.9999999999999995E-7</v>
      </c>
      <c r="I53" s="291">
        <v>-0.22</v>
      </c>
      <c r="J53" s="291">
        <f t="shared" si="104"/>
        <v>-0.2</v>
      </c>
      <c r="K53" s="390">
        <f t="shared" si="105"/>
        <v>1.999999999999999E-2</v>
      </c>
      <c r="L53" s="391"/>
      <c r="M53" s="392"/>
      <c r="N53" s="389">
        <v>9.9999999999999995E-7</v>
      </c>
      <c r="O53" s="291">
        <v>-0.36</v>
      </c>
      <c r="P53" s="291">
        <f t="shared" si="106"/>
        <v>-0.2</v>
      </c>
      <c r="Q53" s="390">
        <f t="shared" si="107"/>
        <v>0.15999999999999998</v>
      </c>
      <c r="R53" s="391"/>
      <c r="S53" s="377"/>
      <c r="T53" s="389">
        <v>9.9999999999999995E-7</v>
      </c>
      <c r="U53" s="291">
        <f t="shared" si="108"/>
        <v>-0.28999999999999998</v>
      </c>
      <c r="V53" s="291"/>
      <c r="W53" s="390">
        <f t="shared" si="109"/>
        <v>8.666666666666667E-2</v>
      </c>
      <c r="X53" s="391"/>
      <c r="Y53" s="377"/>
      <c r="Z53" s="389">
        <v>9.9999999999999995E-7</v>
      </c>
      <c r="AA53" s="291">
        <f t="shared" si="110"/>
        <v>0.12</v>
      </c>
      <c r="AB53" s="291">
        <v>-0.18</v>
      </c>
      <c r="AC53" s="390">
        <f t="shared" si="111"/>
        <v>0.3</v>
      </c>
      <c r="AD53" s="391"/>
      <c r="AE53" s="377"/>
      <c r="AF53" s="389">
        <v>9.9999999999999995E-7</v>
      </c>
      <c r="AG53" s="291">
        <f t="shared" si="112"/>
        <v>0.12</v>
      </c>
      <c r="AH53" s="291">
        <v>0.35</v>
      </c>
      <c r="AI53" s="390">
        <f t="shared" si="113"/>
        <v>0.22999999999999998</v>
      </c>
      <c r="AJ53" s="391"/>
      <c r="AK53" s="377"/>
      <c r="AL53" s="389">
        <v>9.9999999999999995E-7</v>
      </c>
      <c r="AM53" s="291">
        <f t="shared" si="114"/>
        <v>0.43</v>
      </c>
      <c r="AN53" s="291"/>
      <c r="AO53" s="390">
        <f t="shared" si="115"/>
        <v>8.3333333333333329E-2</v>
      </c>
      <c r="AP53" s="391"/>
      <c r="AQ53" s="377"/>
      <c r="AR53" s="389">
        <v>9.9999999999999995E-7</v>
      </c>
      <c r="AS53" s="291">
        <f t="shared" si="116"/>
        <v>0.38</v>
      </c>
      <c r="AT53" s="291"/>
      <c r="AU53" s="390">
        <f t="shared" si="117"/>
        <v>0.08</v>
      </c>
      <c r="AV53" s="391"/>
      <c r="AW53" s="377"/>
      <c r="AX53" s="389">
        <v>9.9999999999999995E-7</v>
      </c>
      <c r="AY53" s="291">
        <f t="shared" si="118"/>
        <v>0.56999999999999995</v>
      </c>
      <c r="AZ53" s="291"/>
      <c r="BA53" s="390">
        <f t="shared" si="119"/>
        <v>0.26333333333333336</v>
      </c>
      <c r="BB53" s="391"/>
      <c r="BC53" s="377"/>
      <c r="BD53" s="389">
        <v>9.9999999999999995E-7</v>
      </c>
      <c r="BE53" s="291">
        <f t="shared" si="120"/>
        <v>-0.26</v>
      </c>
      <c r="BF53" s="291"/>
      <c r="BG53" s="390">
        <f t="shared" si="121"/>
        <v>9.0000000000000011E-2</v>
      </c>
      <c r="BH53" s="391"/>
      <c r="BI53" s="377"/>
      <c r="BJ53" s="389">
        <v>9.9999999999999995E-7</v>
      </c>
      <c r="BK53" s="291">
        <f t="shared" si="122"/>
        <v>0.56999999999999995</v>
      </c>
      <c r="BL53" s="291"/>
      <c r="BM53" s="390">
        <f t="shared" si="123"/>
        <v>0.26333333333333336</v>
      </c>
      <c r="BN53" s="391"/>
      <c r="BO53" s="377"/>
      <c r="BP53" s="389">
        <v>9.9999999999999995E-7</v>
      </c>
      <c r="BQ53" s="291">
        <f t="shared" si="124"/>
        <v>-0.57999999999999996</v>
      </c>
      <c r="BR53" s="291"/>
      <c r="BS53" s="390">
        <f t="shared" si="125"/>
        <v>8.3333333333333329E-2</v>
      </c>
      <c r="BT53" s="391"/>
      <c r="BU53" s="377"/>
      <c r="BV53" s="389">
        <v>9.9999999999999995E-7</v>
      </c>
      <c r="BW53" s="291">
        <f t="shared" si="126"/>
        <v>-0.52</v>
      </c>
      <c r="BX53" s="291"/>
      <c r="BY53" s="390">
        <f t="shared" si="127"/>
        <v>8.666666666666667E-2</v>
      </c>
      <c r="BZ53" s="391"/>
      <c r="CA53" s="377"/>
      <c r="CB53" s="389">
        <v>9.9999999999999995E-7</v>
      </c>
      <c r="CC53" s="291">
        <f t="shared" si="99"/>
        <v>-1.4</v>
      </c>
      <c r="CD53" s="291">
        <f t="shared" si="131"/>
        <v>-0.7</v>
      </c>
      <c r="CE53" s="390">
        <f t="shared" si="128"/>
        <v>0.7</v>
      </c>
      <c r="CF53" s="391"/>
      <c r="CH53" s="389">
        <v>9.9999999999999995E-7</v>
      </c>
      <c r="CI53" s="291">
        <f t="shared" si="100"/>
        <v>0.03</v>
      </c>
      <c r="CJ53" s="291">
        <f t="shared" si="100"/>
        <v>-0.06</v>
      </c>
      <c r="CK53" s="390">
        <f t="shared" si="129"/>
        <v>0.09</v>
      </c>
      <c r="CL53" s="391"/>
      <c r="CN53" s="389">
        <v>9.9999999999999995E-7</v>
      </c>
      <c r="CO53" s="291">
        <f t="shared" si="101"/>
        <v>-0.79</v>
      </c>
      <c r="CP53" s="291">
        <f t="shared" si="101"/>
        <v>-0.08</v>
      </c>
      <c r="CQ53" s="390">
        <f t="shared" si="130"/>
        <v>0.71000000000000008</v>
      </c>
      <c r="CR53" s="391"/>
    </row>
    <row r="54" spans="2:96" ht="13">
      <c r="B54" s="389">
        <v>2</v>
      </c>
      <c r="C54" s="291">
        <v>-0.14000000000000001</v>
      </c>
      <c r="D54" s="291">
        <f t="shared" si="102"/>
        <v>-0.32</v>
      </c>
      <c r="E54" s="390">
        <f t="shared" si="103"/>
        <v>0.18</v>
      </c>
      <c r="F54" s="933">
        <f ca="1">VLOOKUP(F50,B54:E59,4)</f>
        <v>8.0000000000000016E-2</v>
      </c>
      <c r="G54" s="392"/>
      <c r="H54" s="389">
        <v>2</v>
      </c>
      <c r="I54" s="291">
        <v>-0.19</v>
      </c>
      <c r="J54" s="291">
        <f t="shared" si="104"/>
        <v>-0.18</v>
      </c>
      <c r="K54" s="390">
        <f t="shared" si="105"/>
        <v>1.0000000000000009E-2</v>
      </c>
      <c r="L54" s="933">
        <f ca="1">VLOOKUP(L50,H54:K59,4)</f>
        <v>1.0000000000000009E-2</v>
      </c>
      <c r="M54" s="392"/>
      <c r="N54" s="389">
        <v>2</v>
      </c>
      <c r="O54" s="291">
        <v>-0.35</v>
      </c>
      <c r="P54" s="291">
        <f t="shared" si="106"/>
        <v>-0.18</v>
      </c>
      <c r="Q54" s="390">
        <f t="shared" si="107"/>
        <v>0.16999999999999998</v>
      </c>
      <c r="R54" s="933">
        <f ca="1">VLOOKUP(R50,N54:Q59,4)</f>
        <v>0.12</v>
      </c>
      <c r="S54" s="377"/>
      <c r="T54" s="389">
        <v>2</v>
      </c>
      <c r="U54" s="291">
        <f t="shared" si="108"/>
        <v>-0.59</v>
      </c>
      <c r="V54" s="291"/>
      <c r="W54" s="390">
        <f t="shared" si="109"/>
        <v>8.666666666666667E-2</v>
      </c>
      <c r="X54" s="933">
        <f ca="1">VLOOKUP(X50,T54:W59,4)</f>
        <v>8.666666666666667E-2</v>
      </c>
      <c r="Y54" s="377"/>
      <c r="Z54" s="389">
        <v>2</v>
      </c>
      <c r="AA54" s="291">
        <f t="shared" si="110"/>
        <v>0.14000000000000001</v>
      </c>
      <c r="AB54" s="291">
        <v>-0.14000000000000001</v>
      </c>
      <c r="AC54" s="390">
        <f t="shared" si="111"/>
        <v>0.28000000000000003</v>
      </c>
      <c r="AD54" s="933">
        <f ca="1">VLOOKUP(AD50,Z54:AC59,4)</f>
        <v>0.3</v>
      </c>
      <c r="AE54" s="377"/>
      <c r="AF54" s="389">
        <v>2</v>
      </c>
      <c r="AG54" s="291">
        <f t="shared" si="112"/>
        <v>0.13</v>
      </c>
      <c r="AH54" s="291">
        <v>0.37</v>
      </c>
      <c r="AI54" s="390">
        <f t="shared" si="113"/>
        <v>0.24</v>
      </c>
      <c r="AJ54" s="933">
        <f ca="1">VLOOKUP(AJ50,AF54:AI59,4)</f>
        <v>0.5</v>
      </c>
      <c r="AK54" s="377"/>
      <c r="AL54" s="389">
        <v>2</v>
      </c>
      <c r="AM54" s="291">
        <f t="shared" si="114"/>
        <v>0.45</v>
      </c>
      <c r="AN54" s="291"/>
      <c r="AO54" s="390">
        <f t="shared" si="115"/>
        <v>8.3333333333333329E-2</v>
      </c>
      <c r="AP54" s="933">
        <f ca="1">VLOOKUP(AP50,AL54:AO59,4)</f>
        <v>8.3333333333333329E-2</v>
      </c>
      <c r="AQ54" s="377"/>
      <c r="AR54" s="389">
        <v>2</v>
      </c>
      <c r="AS54" s="291">
        <f t="shared" si="116"/>
        <v>0.38</v>
      </c>
      <c r="AT54" s="291"/>
      <c r="AU54" s="390">
        <f t="shared" si="117"/>
        <v>0.08</v>
      </c>
      <c r="AV54" s="933">
        <f ca="1">VLOOKUP(AV50,AR54:AU59,4)</f>
        <v>0.08</v>
      </c>
      <c r="AW54" s="377"/>
      <c r="AX54" s="389">
        <v>2</v>
      </c>
      <c r="AY54" s="291">
        <f t="shared" si="118"/>
        <v>0.56000000000000005</v>
      </c>
      <c r="AZ54" s="291"/>
      <c r="BA54" s="390">
        <f t="shared" si="119"/>
        <v>0.26333333333333336</v>
      </c>
      <c r="BB54" s="933">
        <f ca="1">VLOOKUP(BB50,AX54:BA59,4)</f>
        <v>0.26333333333333336</v>
      </c>
      <c r="BC54" s="377"/>
      <c r="BD54" s="389">
        <v>2</v>
      </c>
      <c r="BE54" s="291">
        <f t="shared" si="120"/>
        <v>-0.34</v>
      </c>
      <c r="BF54" s="291"/>
      <c r="BG54" s="390">
        <f t="shared" si="121"/>
        <v>9.0000000000000011E-2</v>
      </c>
      <c r="BH54" s="933">
        <f ca="1">VLOOKUP(BH50,BD54:BG59,4)</f>
        <v>9.0000000000000011E-2</v>
      </c>
      <c r="BI54" s="377"/>
      <c r="BJ54" s="389">
        <v>2</v>
      </c>
      <c r="BK54" s="291">
        <f t="shared" si="122"/>
        <v>0.56000000000000005</v>
      </c>
      <c r="BL54" s="291"/>
      <c r="BM54" s="390">
        <f t="shared" si="123"/>
        <v>0.26333333333333336</v>
      </c>
      <c r="BN54" s="933">
        <f ca="1">VLOOKUP(BN50,BJ54:BM59,4)</f>
        <v>0.26333333333333336</v>
      </c>
      <c r="BO54" s="377"/>
      <c r="BP54" s="389">
        <v>2</v>
      </c>
      <c r="BQ54" s="291">
        <f t="shared" si="124"/>
        <v>-0.57999999999999996</v>
      </c>
      <c r="BR54" s="291"/>
      <c r="BS54" s="390">
        <f t="shared" si="125"/>
        <v>8.3333333333333329E-2</v>
      </c>
      <c r="BT54" s="933">
        <f ca="1">VLOOKUP(BT50,BP54:BS59,4)</f>
        <v>8.3333333333333329E-2</v>
      </c>
      <c r="BU54" s="377"/>
      <c r="BV54" s="389">
        <v>2</v>
      </c>
      <c r="BW54" s="291">
        <f t="shared" si="126"/>
        <v>-0.63</v>
      </c>
      <c r="BX54" s="291"/>
      <c r="BY54" s="390">
        <f t="shared" si="127"/>
        <v>8.666666666666667E-2</v>
      </c>
      <c r="BZ54" s="933">
        <f ca="1">VLOOKUP(BZ50,BV54:BY59,4)</f>
        <v>8.666666666666667E-2</v>
      </c>
      <c r="CA54" s="377"/>
      <c r="CB54" s="389">
        <v>2</v>
      </c>
      <c r="CC54" s="291">
        <f t="shared" si="99"/>
        <v>0</v>
      </c>
      <c r="CD54" s="291">
        <f t="shared" si="131"/>
        <v>-0.7</v>
      </c>
      <c r="CE54" s="390">
        <f t="shared" si="128"/>
        <v>0.19999999999999998</v>
      </c>
      <c r="CF54" s="933">
        <f ca="1">VLOOKUP(CF50,CB54:CE59,4)</f>
        <v>0.19999999999999998</v>
      </c>
      <c r="CH54" s="389">
        <v>2</v>
      </c>
      <c r="CI54" s="291">
        <f t="shared" si="100"/>
        <v>0.04</v>
      </c>
      <c r="CJ54" s="291">
        <f t="shared" si="100"/>
        <v>-0.04</v>
      </c>
      <c r="CK54" s="390">
        <f t="shared" si="129"/>
        <v>0.08</v>
      </c>
      <c r="CL54" s="933">
        <f ca="1">VLOOKUP(CL50,CH54:CK59,4)</f>
        <v>4.0000000000000008E-2</v>
      </c>
      <c r="CN54" s="389">
        <v>2</v>
      </c>
      <c r="CO54" s="291">
        <f t="shared" si="101"/>
        <v>-0.7</v>
      </c>
      <c r="CP54" s="291">
        <f t="shared" si="101"/>
        <v>-0.05</v>
      </c>
      <c r="CQ54" s="390">
        <f t="shared" si="130"/>
        <v>0.64999999999999991</v>
      </c>
      <c r="CR54" s="933">
        <f ca="1">VLOOKUP(CR50,CN54:CQ59,4)</f>
        <v>3.0000000000000027E-2</v>
      </c>
    </row>
    <row r="55" spans="2:96" ht="13">
      <c r="B55" s="389">
        <v>8</v>
      </c>
      <c r="C55" s="398">
        <v>-0.09</v>
      </c>
      <c r="D55" s="291">
        <f t="shared" si="102"/>
        <v>-0.24</v>
      </c>
      <c r="E55" s="390">
        <f t="shared" si="103"/>
        <v>0.15</v>
      </c>
      <c r="F55" s="391"/>
      <c r="G55" s="392"/>
      <c r="H55" s="389">
        <v>8</v>
      </c>
      <c r="I55" s="291">
        <v>-0.1</v>
      </c>
      <c r="J55" s="291">
        <f t="shared" si="104"/>
        <v>-0.12</v>
      </c>
      <c r="K55" s="390">
        <f t="shared" si="105"/>
        <v>1.999999999999999E-2</v>
      </c>
      <c r="L55" s="391"/>
      <c r="M55" s="392"/>
      <c r="N55" s="389">
        <v>8</v>
      </c>
      <c r="O55" s="291">
        <v>-0.22</v>
      </c>
      <c r="P55" s="291">
        <f t="shared" si="106"/>
        <v>-0.13</v>
      </c>
      <c r="Q55" s="390">
        <f t="shared" si="107"/>
        <v>0.09</v>
      </c>
      <c r="R55" s="391"/>
      <c r="S55" s="377"/>
      <c r="T55" s="389">
        <v>8</v>
      </c>
      <c r="U55" s="291">
        <f t="shared" si="108"/>
        <v>-0.34</v>
      </c>
      <c r="V55" s="291"/>
      <c r="W55" s="390">
        <f t="shared" si="109"/>
        <v>8.666666666666667E-2</v>
      </c>
      <c r="X55" s="391"/>
      <c r="Y55" s="377"/>
      <c r="Z55" s="389">
        <v>8</v>
      </c>
      <c r="AA55" s="291">
        <f t="shared" si="110"/>
        <v>0.13</v>
      </c>
      <c r="AB55" s="291">
        <v>-0.01</v>
      </c>
      <c r="AC55" s="390">
        <f t="shared" si="111"/>
        <v>0.14000000000000001</v>
      </c>
      <c r="AD55" s="391"/>
      <c r="AE55" s="377"/>
      <c r="AF55" s="389">
        <v>8</v>
      </c>
      <c r="AG55" s="291">
        <f t="shared" si="112"/>
        <v>0.12</v>
      </c>
      <c r="AH55" s="291">
        <v>0.44</v>
      </c>
      <c r="AI55" s="390">
        <f t="shared" si="113"/>
        <v>0.32</v>
      </c>
      <c r="AJ55" s="391"/>
      <c r="AK55" s="377"/>
      <c r="AL55" s="389">
        <v>8</v>
      </c>
      <c r="AM55" s="291">
        <f t="shared" si="114"/>
        <v>0.45</v>
      </c>
      <c r="AN55" s="291"/>
      <c r="AO55" s="390">
        <f t="shared" si="115"/>
        <v>8.3333333333333329E-2</v>
      </c>
      <c r="AP55" s="391"/>
      <c r="AQ55" s="377"/>
      <c r="AR55" s="389">
        <v>8</v>
      </c>
      <c r="AS55" s="291">
        <f t="shared" si="116"/>
        <v>0.36</v>
      </c>
      <c r="AT55" s="291"/>
      <c r="AU55" s="390">
        <f t="shared" si="117"/>
        <v>0.08</v>
      </c>
      <c r="AV55" s="391"/>
      <c r="AW55" s="377"/>
      <c r="AX55" s="389">
        <v>8</v>
      </c>
      <c r="AY55" s="291">
        <f t="shared" si="118"/>
        <v>0.54</v>
      </c>
      <c r="AZ55" s="291"/>
      <c r="BA55" s="390">
        <f t="shared" si="119"/>
        <v>0.26333333333333336</v>
      </c>
      <c r="BB55" s="391"/>
      <c r="BC55" s="377"/>
      <c r="BD55" s="389">
        <v>8</v>
      </c>
      <c r="BE55" s="291">
        <f t="shared" si="120"/>
        <v>-0.08</v>
      </c>
      <c r="BF55" s="291"/>
      <c r="BG55" s="390">
        <f t="shared" si="121"/>
        <v>9.0000000000000011E-2</v>
      </c>
      <c r="BH55" s="391"/>
      <c r="BI55" s="377"/>
      <c r="BJ55" s="389">
        <v>8</v>
      </c>
      <c r="BK55" s="291">
        <f t="shared" si="122"/>
        <v>0.54</v>
      </c>
      <c r="BL55" s="291"/>
      <c r="BM55" s="390">
        <f t="shared" si="123"/>
        <v>0.26333333333333336</v>
      </c>
      <c r="BN55" s="391"/>
      <c r="BO55" s="377"/>
      <c r="BP55" s="389">
        <v>8</v>
      </c>
      <c r="BQ55" s="291">
        <f t="shared" si="124"/>
        <v>-0.32</v>
      </c>
      <c r="BR55" s="291"/>
      <c r="BS55" s="390">
        <f t="shared" si="125"/>
        <v>8.3333333333333329E-2</v>
      </c>
      <c r="BT55" s="391"/>
      <c r="BU55" s="377"/>
      <c r="BV55" s="389">
        <v>8</v>
      </c>
      <c r="BW55" s="291">
        <f t="shared" si="126"/>
        <v>-0.36</v>
      </c>
      <c r="BX55" s="291"/>
      <c r="BY55" s="390">
        <f t="shared" si="127"/>
        <v>8.666666666666667E-2</v>
      </c>
      <c r="BZ55" s="391"/>
      <c r="CA55" s="377"/>
      <c r="CB55" s="389">
        <v>8</v>
      </c>
      <c r="CC55" s="291">
        <f t="shared" si="99"/>
        <v>0</v>
      </c>
      <c r="CD55" s="291">
        <f t="shared" si="131"/>
        <v>-0.7</v>
      </c>
      <c r="CE55" s="390">
        <f t="shared" si="128"/>
        <v>0.19999999999999998</v>
      </c>
      <c r="CF55" s="391"/>
      <c r="CH55" s="389">
        <v>8</v>
      </c>
      <c r="CI55" s="291">
        <f t="shared" si="100"/>
        <v>0.08</v>
      </c>
      <c r="CJ55" s="291">
        <f t="shared" si="100"/>
        <v>0.01</v>
      </c>
      <c r="CK55" s="390">
        <f t="shared" si="129"/>
        <v>7.0000000000000007E-2</v>
      </c>
      <c r="CL55" s="391"/>
      <c r="CN55" s="389">
        <v>8</v>
      </c>
      <c r="CO55" s="291">
        <f t="shared" si="101"/>
        <v>-0.46</v>
      </c>
      <c r="CP55" s="291">
        <f t="shared" si="101"/>
        <v>0.06</v>
      </c>
      <c r="CQ55" s="390">
        <f t="shared" si="130"/>
        <v>0.52</v>
      </c>
      <c r="CR55" s="391"/>
    </row>
    <row r="56" spans="2:96" ht="13">
      <c r="B56" s="389">
        <v>37</v>
      </c>
      <c r="C56" s="291">
        <v>0.06</v>
      </c>
      <c r="D56" s="291">
        <f t="shared" si="102"/>
        <v>0.14000000000000001</v>
      </c>
      <c r="E56" s="390">
        <f t="shared" si="103"/>
        <v>8.0000000000000016E-2</v>
      </c>
      <c r="F56" s="933">
        <f ca="1">VLOOKUP(F52,B54:E59,4)</f>
        <v>0.15000000000000002</v>
      </c>
      <c r="G56" s="392"/>
      <c r="H56" s="389">
        <v>37</v>
      </c>
      <c r="I56" s="291">
        <v>0.16</v>
      </c>
      <c r="J56" s="291">
        <f t="shared" si="104"/>
        <v>0.17</v>
      </c>
      <c r="K56" s="390">
        <f t="shared" si="105"/>
        <v>1.0000000000000009E-2</v>
      </c>
      <c r="L56" s="933">
        <f ca="1">VLOOKUP(L52,H54:K59,4)</f>
        <v>4.0000000000000008E-2</v>
      </c>
      <c r="M56" s="392"/>
      <c r="N56" s="389">
        <v>37</v>
      </c>
      <c r="O56" s="291">
        <v>-0.11</v>
      </c>
      <c r="P56" s="291">
        <f t="shared" si="106"/>
        <v>0.01</v>
      </c>
      <c r="Q56" s="390">
        <f t="shared" si="107"/>
        <v>0.12</v>
      </c>
      <c r="R56" s="933">
        <f ca="1">VLOOKUP(R52,N54:Q59,4)</f>
        <v>0.14000000000000001</v>
      </c>
      <c r="S56" s="377"/>
      <c r="T56" s="389">
        <v>37</v>
      </c>
      <c r="U56" s="291">
        <f t="shared" si="108"/>
        <v>0.54</v>
      </c>
      <c r="V56" s="291"/>
      <c r="W56" s="390">
        <f t="shared" si="109"/>
        <v>8.666666666666667E-2</v>
      </c>
      <c r="X56" s="933">
        <f ca="1">VLOOKUP(X52,T54:W59,4)</f>
        <v>8.666666666666667E-2</v>
      </c>
      <c r="Y56" s="377"/>
      <c r="Z56" s="389">
        <v>37</v>
      </c>
      <c r="AA56" s="291">
        <f t="shared" si="110"/>
        <v>0.11</v>
      </c>
      <c r="AB56" s="291">
        <v>0.41</v>
      </c>
      <c r="AC56" s="390">
        <f t="shared" si="111"/>
        <v>0.3</v>
      </c>
      <c r="AD56" s="933">
        <f ca="1">VLOOKUP(AD52,Z54:AC59,4)</f>
        <v>0.37</v>
      </c>
      <c r="AE56" s="377"/>
      <c r="AF56" s="389">
        <v>37</v>
      </c>
      <c r="AG56" s="291">
        <f t="shared" si="112"/>
        <v>0.14000000000000001</v>
      </c>
      <c r="AH56" s="291">
        <v>0.64</v>
      </c>
      <c r="AI56" s="390">
        <f t="shared" si="113"/>
        <v>0.5</v>
      </c>
      <c r="AJ56" s="933">
        <f ca="1">VLOOKUP(AJ52,AF54:AI59,4)</f>
        <v>0.51</v>
      </c>
      <c r="AK56" s="377"/>
      <c r="AL56" s="389">
        <v>37</v>
      </c>
      <c r="AM56" s="291">
        <f t="shared" si="114"/>
        <v>0.43</v>
      </c>
      <c r="AN56" s="291"/>
      <c r="AO56" s="390">
        <f t="shared" si="115"/>
        <v>8.3333333333333329E-2</v>
      </c>
      <c r="AP56" s="933">
        <f ca="1">VLOOKUP(AP52,AL54:AO59,4)</f>
        <v>8.3333333333333329E-2</v>
      </c>
      <c r="AQ56" s="377"/>
      <c r="AR56" s="389">
        <v>37</v>
      </c>
      <c r="AS56" s="291">
        <f t="shared" si="116"/>
        <v>0.33</v>
      </c>
      <c r="AT56" s="291"/>
      <c r="AU56" s="390">
        <f t="shared" si="117"/>
        <v>0.08</v>
      </c>
      <c r="AV56" s="933">
        <f ca="1">VLOOKUP(AV52,AR54:AU59,4)</f>
        <v>0.08</v>
      </c>
      <c r="AW56" s="377"/>
      <c r="AX56" s="389">
        <v>37</v>
      </c>
      <c r="AY56" s="291">
        <f t="shared" si="118"/>
        <v>0.43</v>
      </c>
      <c r="AZ56" s="291"/>
      <c r="BA56" s="390">
        <f t="shared" si="119"/>
        <v>0.26333333333333336</v>
      </c>
      <c r="BB56" s="933">
        <f ca="1">VLOOKUP(BB52,AX54:BA59,4)</f>
        <v>0.26333333333333336</v>
      </c>
      <c r="BC56" s="377"/>
      <c r="BD56" s="389">
        <v>37</v>
      </c>
      <c r="BE56" s="291">
        <f t="shared" si="120"/>
        <v>0.67</v>
      </c>
      <c r="BF56" s="291"/>
      <c r="BG56" s="390">
        <f t="shared" si="121"/>
        <v>9.0000000000000011E-2</v>
      </c>
      <c r="BH56" s="933">
        <f ca="1">VLOOKUP(BH52,BD54:BG59,4)</f>
        <v>9.0000000000000011E-2</v>
      </c>
      <c r="BI56" s="377"/>
      <c r="BJ56" s="389">
        <v>37</v>
      </c>
      <c r="BK56" s="291">
        <f t="shared" si="122"/>
        <v>0.43</v>
      </c>
      <c r="BL56" s="291"/>
      <c r="BM56" s="390">
        <f t="shared" si="123"/>
        <v>0.26333333333333336</v>
      </c>
      <c r="BN56" s="933">
        <f ca="1">VLOOKUP(BN52,BJ54:BM59,4)</f>
        <v>0.26333333333333336</v>
      </c>
      <c r="BO56" s="377"/>
      <c r="BP56" s="389">
        <v>37</v>
      </c>
      <c r="BQ56" s="291">
        <f t="shared" si="124"/>
        <v>0.46</v>
      </c>
      <c r="BR56" s="291"/>
      <c r="BS56" s="390">
        <f t="shared" si="125"/>
        <v>8.3333333333333329E-2</v>
      </c>
      <c r="BT56" s="933">
        <f ca="1">VLOOKUP(BT52,BP54:BS59,4)</f>
        <v>8.3333333333333329E-2</v>
      </c>
      <c r="BU56" s="377"/>
      <c r="BV56" s="389">
        <v>37</v>
      </c>
      <c r="BW56" s="291">
        <f t="shared" si="126"/>
        <v>0.53</v>
      </c>
      <c r="BX56" s="291"/>
      <c r="BY56" s="390">
        <f t="shared" si="127"/>
        <v>8.666666666666667E-2</v>
      </c>
      <c r="BZ56" s="933">
        <f ca="1">VLOOKUP(BZ52,BV54:BY59,4)</f>
        <v>8.666666666666667E-2</v>
      </c>
      <c r="CA56" s="377"/>
      <c r="CB56" s="389">
        <v>37</v>
      </c>
      <c r="CC56" s="291">
        <f t="shared" si="99"/>
        <v>0</v>
      </c>
      <c r="CD56" s="291">
        <f t="shared" si="131"/>
        <v>-0.6</v>
      </c>
      <c r="CE56" s="390">
        <f t="shared" si="128"/>
        <v>0.19999999999999998</v>
      </c>
      <c r="CF56" s="933">
        <f ca="1">VLOOKUP(CF52,CB54:CE59,4)</f>
        <v>0.19999999999999998</v>
      </c>
      <c r="CH56" s="389">
        <v>37</v>
      </c>
      <c r="CI56" s="291">
        <f t="shared" si="100"/>
        <v>0.23</v>
      </c>
      <c r="CJ56" s="291">
        <f t="shared" si="100"/>
        <v>0.19</v>
      </c>
      <c r="CK56" s="390">
        <f t="shared" si="129"/>
        <v>4.0000000000000008E-2</v>
      </c>
      <c r="CL56" s="933">
        <f ca="1">VLOOKUP(CL52,CH54:CK59,4)</f>
        <v>4.0000000000000008E-2</v>
      </c>
      <c r="CN56" s="389">
        <v>37</v>
      </c>
      <c r="CO56" s="291">
        <f t="shared" si="101"/>
        <v>0.42</v>
      </c>
      <c r="CP56" s="291">
        <f t="shared" si="101"/>
        <v>0.45</v>
      </c>
      <c r="CQ56" s="390">
        <f t="shared" si="130"/>
        <v>3.0000000000000027E-2</v>
      </c>
      <c r="CR56" s="933">
        <f ca="1">VLOOKUP(CR52,CN54:CQ59,4)</f>
        <v>4.9999999999999933E-2</v>
      </c>
    </row>
    <row r="57" spans="2:96" ht="13">
      <c r="B57" s="389">
        <v>44</v>
      </c>
      <c r="C57" s="291">
        <v>0.08</v>
      </c>
      <c r="D57" s="291">
        <f t="shared" si="102"/>
        <v>0.23</v>
      </c>
      <c r="E57" s="390">
        <f t="shared" si="103"/>
        <v>0.15000000000000002</v>
      </c>
      <c r="F57" s="934"/>
      <c r="G57" s="392"/>
      <c r="H57" s="389">
        <v>44</v>
      </c>
      <c r="I57" s="291">
        <v>0.19</v>
      </c>
      <c r="J57" s="291">
        <f t="shared" si="104"/>
        <v>0.23</v>
      </c>
      <c r="K57" s="390">
        <f t="shared" si="105"/>
        <v>4.0000000000000008E-2</v>
      </c>
      <c r="L57" s="934"/>
      <c r="M57" s="392"/>
      <c r="N57" s="389">
        <v>44</v>
      </c>
      <c r="O57" s="291">
        <v>-0.13</v>
      </c>
      <c r="P57" s="291">
        <f t="shared" si="106"/>
        <v>0.01</v>
      </c>
      <c r="Q57" s="390">
        <f t="shared" si="107"/>
        <v>0.14000000000000001</v>
      </c>
      <c r="R57" s="934"/>
      <c r="S57" s="377"/>
      <c r="T57" s="389">
        <v>44</v>
      </c>
      <c r="U57" s="291">
        <f t="shared" si="108"/>
        <v>0.67</v>
      </c>
      <c r="V57" s="291"/>
      <c r="W57" s="390">
        <f t="shared" si="109"/>
        <v>8.666666666666667E-2</v>
      </c>
      <c r="X57" s="934"/>
      <c r="Y57" s="377"/>
      <c r="Z57" s="389">
        <v>44</v>
      </c>
      <c r="AA57" s="291">
        <f t="shared" si="110"/>
        <v>0.11</v>
      </c>
      <c r="AB57" s="291">
        <v>0.48</v>
      </c>
      <c r="AC57" s="390">
        <f t="shared" si="111"/>
        <v>0.37</v>
      </c>
      <c r="AD57" s="934"/>
      <c r="AE57" s="377"/>
      <c r="AF57" s="389">
        <v>44</v>
      </c>
      <c r="AG57" s="291">
        <f t="shared" si="112"/>
        <v>0.15</v>
      </c>
      <c r="AH57" s="291">
        <v>0.66</v>
      </c>
      <c r="AI57" s="390">
        <f t="shared" si="113"/>
        <v>0.51</v>
      </c>
      <c r="AJ57" s="934"/>
      <c r="AK57" s="377"/>
      <c r="AL57" s="389">
        <v>44</v>
      </c>
      <c r="AM57" s="291">
        <f t="shared" si="114"/>
        <v>0.43</v>
      </c>
      <c r="AN57" s="291"/>
      <c r="AO57" s="390">
        <f t="shared" si="115"/>
        <v>8.3333333333333329E-2</v>
      </c>
      <c r="AP57" s="934"/>
      <c r="AQ57" s="377"/>
      <c r="AR57" s="389">
        <v>44</v>
      </c>
      <c r="AS57" s="291">
        <f t="shared" si="116"/>
        <v>0.33</v>
      </c>
      <c r="AT57" s="291"/>
      <c r="AU57" s="390">
        <f t="shared" si="117"/>
        <v>0.08</v>
      </c>
      <c r="AV57" s="934"/>
      <c r="AW57" s="377"/>
      <c r="AX57" s="389">
        <v>44</v>
      </c>
      <c r="AY57" s="291">
        <f t="shared" si="118"/>
        <v>0.4</v>
      </c>
      <c r="AZ57" s="291"/>
      <c r="BA57" s="390">
        <f t="shared" si="119"/>
        <v>0.26333333333333336</v>
      </c>
      <c r="BB57" s="934"/>
      <c r="BC57" s="377"/>
      <c r="BD57" s="389">
        <v>44</v>
      </c>
      <c r="BE57" s="291">
        <f t="shared" si="120"/>
        <v>0.73</v>
      </c>
      <c r="BF57" s="291"/>
      <c r="BG57" s="390">
        <f t="shared" si="121"/>
        <v>9.0000000000000011E-2</v>
      </c>
      <c r="BH57" s="934"/>
      <c r="BI57" s="377"/>
      <c r="BJ57" s="389">
        <v>44</v>
      </c>
      <c r="BK57" s="291">
        <f t="shared" si="122"/>
        <v>0.4</v>
      </c>
      <c r="BL57" s="291"/>
      <c r="BM57" s="390">
        <f t="shared" si="123"/>
        <v>0.26333333333333336</v>
      </c>
      <c r="BN57" s="934"/>
      <c r="BO57" s="377"/>
      <c r="BP57" s="389">
        <v>44</v>
      </c>
      <c r="BQ57" s="291">
        <f t="shared" si="124"/>
        <v>0.55000000000000004</v>
      </c>
      <c r="BR57" s="291"/>
      <c r="BS57" s="390">
        <f t="shared" si="125"/>
        <v>8.3333333333333329E-2</v>
      </c>
      <c r="BT57" s="934"/>
      <c r="BU57" s="377"/>
      <c r="BV57" s="389">
        <v>44</v>
      </c>
      <c r="BW57" s="291">
        <f t="shared" si="126"/>
        <v>0.65</v>
      </c>
      <c r="BX57" s="291"/>
      <c r="BY57" s="390">
        <f t="shared" si="127"/>
        <v>8.666666666666667E-2</v>
      </c>
      <c r="BZ57" s="934"/>
      <c r="CA57" s="377"/>
      <c r="CB57" s="389">
        <v>44</v>
      </c>
      <c r="CC57" s="291">
        <f t="shared" si="99"/>
        <v>0</v>
      </c>
      <c r="CD57" s="291">
        <f t="shared" si="131"/>
        <v>-0.7</v>
      </c>
      <c r="CE57" s="390">
        <f t="shared" si="128"/>
        <v>0.19999999999999998</v>
      </c>
      <c r="CF57" s="934"/>
      <c r="CH57" s="389">
        <v>44</v>
      </c>
      <c r="CI57" s="291">
        <f t="shared" si="100"/>
        <v>0.25</v>
      </c>
      <c r="CJ57" s="291">
        <f t="shared" si="100"/>
        <v>0.21</v>
      </c>
      <c r="CK57" s="390">
        <f t="shared" si="129"/>
        <v>4.0000000000000008E-2</v>
      </c>
      <c r="CL57" s="934"/>
      <c r="CN57" s="389">
        <v>44</v>
      </c>
      <c r="CO57" s="291">
        <f t="shared" si="101"/>
        <v>0.56999999999999995</v>
      </c>
      <c r="CP57" s="291">
        <f t="shared" si="101"/>
        <v>0.52</v>
      </c>
      <c r="CQ57" s="390">
        <f t="shared" si="130"/>
        <v>4.9999999999999933E-2</v>
      </c>
      <c r="CR57" s="934"/>
    </row>
    <row r="58" spans="2:96" ht="13">
      <c r="B58" s="389">
        <v>50</v>
      </c>
      <c r="C58" s="291">
        <v>0.09</v>
      </c>
      <c r="D58" s="291">
        <f t="shared" si="102"/>
        <v>0.3</v>
      </c>
      <c r="E58" s="390">
        <f t="shared" si="103"/>
        <v>0.21</v>
      </c>
      <c r="F58" s="935">
        <f ca="1">(((F56-F54)/(F52-F50))*(F49-F50))+F54</f>
        <v>8.1899999999999987E-2</v>
      </c>
      <c r="G58" s="392"/>
      <c r="H58" s="389">
        <v>50</v>
      </c>
      <c r="I58" s="291">
        <v>0.21</v>
      </c>
      <c r="J58" s="291">
        <f t="shared" si="104"/>
        <v>0.28000000000000003</v>
      </c>
      <c r="K58" s="390">
        <f t="shared" si="105"/>
        <v>7.0000000000000034E-2</v>
      </c>
      <c r="L58" s="935">
        <f ca="1">(((L56-L54)/(L52-L50))*(L49-L50))+L54</f>
        <v>1.0814285714285714E-2</v>
      </c>
      <c r="M58" s="392"/>
      <c r="N58" s="389">
        <v>50</v>
      </c>
      <c r="O58" s="291">
        <v>0.22</v>
      </c>
      <c r="P58" s="291">
        <f t="shared" si="106"/>
        <v>0.01</v>
      </c>
      <c r="Q58" s="390">
        <f t="shared" si="107"/>
        <v>0.21</v>
      </c>
      <c r="R58" s="935">
        <f ca="1">(((R56-R54)/(R52-R50))*(R49-R50))+R54</f>
        <v>0.12054285714285713</v>
      </c>
      <c r="S58" s="377"/>
      <c r="T58" s="389">
        <v>50</v>
      </c>
      <c r="U58" s="291">
        <f t="shared" si="108"/>
        <v>0.76</v>
      </c>
      <c r="V58" s="291"/>
      <c r="W58" s="390">
        <f t="shared" si="109"/>
        <v>8.666666666666667E-2</v>
      </c>
      <c r="X58" s="935">
        <f ca="1">(((X56-X54)/(X52-X50))*(X49-X50))+X54</f>
        <v>8.666666666666667E-2</v>
      </c>
      <c r="Y58" s="377"/>
      <c r="Z58" s="389">
        <v>50</v>
      </c>
      <c r="AA58" s="291">
        <f t="shared" si="110"/>
        <v>0.11</v>
      </c>
      <c r="AB58" s="291">
        <v>0.52</v>
      </c>
      <c r="AC58" s="390">
        <f t="shared" si="111"/>
        <v>0.41000000000000003</v>
      </c>
      <c r="AD58" s="935">
        <f ca="1">(((AD56-AD54)/(AD52-AD50))*(AD49-AD50))+AD54</f>
        <v>0.30189999999999995</v>
      </c>
      <c r="AE58" s="377"/>
      <c r="AF58" s="389">
        <v>50</v>
      </c>
      <c r="AG58" s="291">
        <f t="shared" si="112"/>
        <v>0.15</v>
      </c>
      <c r="AH58" s="291">
        <v>0.67</v>
      </c>
      <c r="AI58" s="390">
        <f t="shared" si="113"/>
        <v>0.52</v>
      </c>
      <c r="AJ58" s="935">
        <f ca="1">(((AJ56-AJ54)/(AJ52-AJ50))*(AJ49-AJ50))+AJ54</f>
        <v>0.50027142857142859</v>
      </c>
      <c r="AK58" s="377"/>
      <c r="AL58" s="389">
        <v>50</v>
      </c>
      <c r="AM58" s="291">
        <f t="shared" si="114"/>
        <v>0.44</v>
      </c>
      <c r="AN58" s="291"/>
      <c r="AO58" s="390">
        <f t="shared" si="115"/>
        <v>8.3333333333333329E-2</v>
      </c>
      <c r="AP58" s="935">
        <f ca="1">(((AP56-AP54)/(AP52-AP50))*(AP49-AP50))+AP54</f>
        <v>8.3333333333333329E-2</v>
      </c>
      <c r="AQ58" s="377"/>
      <c r="AR58" s="389">
        <v>50</v>
      </c>
      <c r="AS58" s="291">
        <f t="shared" si="116"/>
        <v>0.33</v>
      </c>
      <c r="AT58" s="291"/>
      <c r="AU58" s="390">
        <f t="shared" si="117"/>
        <v>0.08</v>
      </c>
      <c r="AV58" s="935">
        <f ca="1">(((AV56-AV54)/(AV52-AV50))*(AV49-AV50))+AV54</f>
        <v>0.08</v>
      </c>
      <c r="AW58" s="377"/>
      <c r="AX58" s="389">
        <v>50</v>
      </c>
      <c r="AY58" s="291">
        <f t="shared" si="118"/>
        <v>0.38</v>
      </c>
      <c r="AZ58" s="291"/>
      <c r="BA58" s="390">
        <f t="shared" si="119"/>
        <v>0.26333333333333336</v>
      </c>
      <c r="BB58" s="935">
        <f ca="1">(((BB56-BB54)/(BB52-BB50))*(BB49-BB50))+BB54</f>
        <v>0.26333333333333336</v>
      </c>
      <c r="BC58" s="377"/>
      <c r="BD58" s="389">
        <v>50</v>
      </c>
      <c r="BE58" s="291">
        <f t="shared" si="120"/>
        <v>0.76</v>
      </c>
      <c r="BF58" s="291"/>
      <c r="BG58" s="390">
        <f t="shared" si="121"/>
        <v>9.0000000000000011E-2</v>
      </c>
      <c r="BH58" s="935">
        <f ca="1">(((BH56-BH54)/(BH52-BH50))*(BH49-BH50))+BH54</f>
        <v>9.0000000000000011E-2</v>
      </c>
      <c r="BI58" s="377"/>
      <c r="BJ58" s="389">
        <v>50</v>
      </c>
      <c r="BK58" s="291">
        <f t="shared" si="122"/>
        <v>0.38</v>
      </c>
      <c r="BL58" s="291"/>
      <c r="BM58" s="390">
        <f t="shared" si="123"/>
        <v>0.26333333333333336</v>
      </c>
      <c r="BN58" s="935">
        <f ca="1">(((BN56-BN54)/(BN52-BN50))*(BN49-BN50))+BN54</f>
        <v>0.26333333333333336</v>
      </c>
      <c r="BO58" s="377"/>
      <c r="BP58" s="389">
        <v>50</v>
      </c>
      <c r="BQ58" s="291">
        <f t="shared" si="124"/>
        <v>0.61</v>
      </c>
      <c r="BR58" s="291"/>
      <c r="BS58" s="390">
        <f t="shared" si="125"/>
        <v>8.3333333333333329E-2</v>
      </c>
      <c r="BT58" s="935">
        <f ca="1">(((BT56-BT54)/(BT52-BT50))*(BT49-BT50))+BT54</f>
        <v>8.3333333333333329E-2</v>
      </c>
      <c r="BU58" s="377"/>
      <c r="BV58" s="389">
        <v>50</v>
      </c>
      <c r="BW58" s="291">
        <f t="shared" si="126"/>
        <v>0.74</v>
      </c>
      <c r="BX58" s="291"/>
      <c r="BY58" s="390">
        <f t="shared" si="127"/>
        <v>8.666666666666667E-2</v>
      </c>
      <c r="BZ58" s="935">
        <f ca="1">(((BZ56-BZ54)/(BZ52-BZ50))*(BZ49-BZ50))+BZ54</f>
        <v>8.666666666666667E-2</v>
      </c>
      <c r="CA58" s="377"/>
      <c r="CB58" s="389">
        <v>50</v>
      </c>
      <c r="CC58" s="291">
        <f t="shared" si="99"/>
        <v>-1</v>
      </c>
      <c r="CD58" s="291">
        <f t="shared" si="131"/>
        <v>-0.7</v>
      </c>
      <c r="CE58" s="390">
        <f t="shared" si="128"/>
        <v>0.30000000000000004</v>
      </c>
      <c r="CF58" s="935">
        <f ca="1">(((CF56-CF54)/(CF52-CF50))*(CF49-CF50))+CF54</f>
        <v>0.19999999999999998</v>
      </c>
      <c r="CH58" s="389">
        <v>50</v>
      </c>
      <c r="CI58" s="291">
        <f t="shared" si="100"/>
        <v>0.27</v>
      </c>
      <c r="CJ58" s="291">
        <f t="shared" si="100"/>
        <v>0.22</v>
      </c>
      <c r="CK58" s="390">
        <f t="shared" si="129"/>
        <v>5.0000000000000017E-2</v>
      </c>
      <c r="CL58" s="935">
        <f ca="1">(((CL56-CL54)/(CL52-CL50))*(CL49-CL50))+CL54</f>
        <v>4.0000000000000008E-2</v>
      </c>
      <c r="CN58" s="389">
        <v>50</v>
      </c>
      <c r="CO58" s="291">
        <f t="shared" si="101"/>
        <v>0.67</v>
      </c>
      <c r="CP58" s="291">
        <f t="shared" si="101"/>
        <v>0.56999999999999995</v>
      </c>
      <c r="CQ58" s="390">
        <f t="shared" si="130"/>
        <v>0.10000000000000009</v>
      </c>
      <c r="CR58" s="935">
        <f ca="1">(((CR56-CR54)/(CR52-CR50))*(CR49-CR50))+CR54</f>
        <v>3.054285714285716E-2</v>
      </c>
    </row>
    <row r="59" spans="2:96" ht="13">
      <c r="B59" s="389">
        <v>100</v>
      </c>
      <c r="C59" s="291">
        <v>0.12</v>
      </c>
      <c r="D59" s="291">
        <f t="shared" si="102"/>
        <v>0.76</v>
      </c>
      <c r="E59" s="390">
        <f t="shared" si="103"/>
        <v>0.64</v>
      </c>
      <c r="F59" s="391"/>
      <c r="G59" s="392"/>
      <c r="H59" s="389">
        <v>100</v>
      </c>
      <c r="I59" s="291">
        <v>0.14000000000000001</v>
      </c>
      <c r="J59" s="291">
        <f t="shared" si="104"/>
        <v>0.57999999999999996</v>
      </c>
      <c r="K59" s="390">
        <f t="shared" si="105"/>
        <v>0.43999999999999995</v>
      </c>
      <c r="L59" s="391"/>
      <c r="M59" s="392"/>
      <c r="N59" s="389">
        <v>100</v>
      </c>
      <c r="O59" s="291">
        <v>0.12</v>
      </c>
      <c r="P59" s="291">
        <f t="shared" si="106"/>
        <v>-0.16</v>
      </c>
      <c r="Q59" s="390">
        <f t="shared" si="107"/>
        <v>0.28000000000000003</v>
      </c>
      <c r="R59" s="391"/>
      <c r="S59" s="377"/>
      <c r="T59" s="389">
        <v>100</v>
      </c>
      <c r="U59" s="291">
        <f t="shared" si="108"/>
        <v>0.82</v>
      </c>
      <c r="V59" s="291"/>
      <c r="W59" s="390">
        <f t="shared" si="109"/>
        <v>8.666666666666667E-2</v>
      </c>
      <c r="X59" s="391"/>
      <c r="Y59" s="377"/>
      <c r="Z59" s="389">
        <v>100</v>
      </c>
      <c r="AA59" s="291">
        <f t="shared" si="110"/>
        <v>0.22</v>
      </c>
      <c r="AB59" s="291">
        <v>0.57999999999999996</v>
      </c>
      <c r="AC59" s="390">
        <f t="shared" si="111"/>
        <v>0.36</v>
      </c>
      <c r="AD59" s="391"/>
      <c r="AE59" s="377"/>
      <c r="AF59" s="389">
        <v>100</v>
      </c>
      <c r="AG59" s="291">
        <f t="shared" si="112"/>
        <v>0.27</v>
      </c>
      <c r="AH59" s="291">
        <v>0.55000000000000004</v>
      </c>
      <c r="AI59" s="390">
        <f t="shared" si="113"/>
        <v>0.28000000000000003</v>
      </c>
      <c r="AJ59" s="391"/>
      <c r="AK59" s="377"/>
      <c r="AL59" s="389">
        <v>100</v>
      </c>
      <c r="AM59" s="291">
        <f t="shared" si="114"/>
        <v>0.54</v>
      </c>
      <c r="AN59" s="291"/>
      <c r="AO59" s="390">
        <f t="shared" si="115"/>
        <v>8.3333333333333329E-2</v>
      </c>
      <c r="AP59" s="391"/>
      <c r="AQ59" s="377"/>
      <c r="AR59" s="389">
        <v>100</v>
      </c>
      <c r="AS59" s="291">
        <f t="shared" si="116"/>
        <v>0.45</v>
      </c>
      <c r="AT59" s="291"/>
      <c r="AU59" s="390">
        <f t="shared" si="117"/>
        <v>0.08</v>
      </c>
      <c r="AV59" s="391"/>
      <c r="AW59" s="377"/>
      <c r="AX59" s="389">
        <v>100</v>
      </c>
      <c r="AY59" s="291">
        <f t="shared" si="118"/>
        <v>0.18</v>
      </c>
      <c r="AZ59" s="291"/>
      <c r="BA59" s="390">
        <f t="shared" si="119"/>
        <v>0.26333333333333336</v>
      </c>
      <c r="BB59" s="391"/>
      <c r="BC59" s="377"/>
      <c r="BD59" s="389">
        <v>100</v>
      </c>
      <c r="BE59" s="291">
        <f t="shared" si="120"/>
        <v>0.24</v>
      </c>
      <c r="BF59" s="291"/>
      <c r="BG59" s="390">
        <f t="shared" si="121"/>
        <v>9.0000000000000011E-2</v>
      </c>
      <c r="BH59" s="391"/>
      <c r="BI59" s="377"/>
      <c r="BJ59" s="389">
        <v>100</v>
      </c>
      <c r="BK59" s="291">
        <f t="shared" si="122"/>
        <v>0.18</v>
      </c>
      <c r="BL59" s="291"/>
      <c r="BM59" s="390">
        <f t="shared" si="123"/>
        <v>0.26333333333333336</v>
      </c>
      <c r="BN59" s="391"/>
      <c r="BO59" s="377"/>
      <c r="BP59" s="389">
        <v>100</v>
      </c>
      <c r="BQ59" s="291">
        <f t="shared" si="124"/>
        <v>0.39</v>
      </c>
      <c r="BR59" s="291"/>
      <c r="BS59" s="390">
        <f t="shared" si="125"/>
        <v>8.3333333333333329E-2</v>
      </c>
      <c r="BT59" s="391"/>
      <c r="BU59" s="377"/>
      <c r="BV59" s="389">
        <v>100</v>
      </c>
      <c r="BW59" s="291">
        <f t="shared" si="126"/>
        <v>0.69</v>
      </c>
      <c r="BX59" s="291"/>
      <c r="BY59" s="390">
        <f t="shared" si="127"/>
        <v>8.666666666666667E-2</v>
      </c>
      <c r="BZ59" s="391"/>
      <c r="CA59" s="377"/>
      <c r="CB59" s="389">
        <v>100</v>
      </c>
      <c r="CC59" s="291">
        <f t="shared" si="99"/>
        <v>-1.6</v>
      </c>
      <c r="CD59" s="291">
        <f t="shared" si="131"/>
        <v>-0.7</v>
      </c>
      <c r="CE59" s="390">
        <f t="shared" si="128"/>
        <v>0.90000000000000013</v>
      </c>
      <c r="CF59" s="391"/>
      <c r="CH59" s="389">
        <v>100</v>
      </c>
      <c r="CI59" s="291">
        <f t="shared" si="100"/>
        <v>0.31</v>
      </c>
      <c r="CJ59" s="291">
        <f t="shared" si="100"/>
        <v>0.23</v>
      </c>
      <c r="CK59" s="390">
        <f t="shared" si="129"/>
        <v>7.9999999999999988E-2</v>
      </c>
      <c r="CL59" s="391"/>
      <c r="CN59" s="389">
        <v>100</v>
      </c>
      <c r="CO59" s="291">
        <f t="shared" si="101"/>
        <v>0.95</v>
      </c>
      <c r="CP59" s="291">
        <f t="shared" si="101"/>
        <v>0.81</v>
      </c>
      <c r="CQ59" s="390">
        <f t="shared" si="130"/>
        <v>0.1399999999999999</v>
      </c>
      <c r="CR59" s="391"/>
    </row>
    <row r="60" spans="2:96" ht="13">
      <c r="B60" s="389">
        <v>150</v>
      </c>
      <c r="C60" s="291">
        <v>0.14000000000000001</v>
      </c>
      <c r="D60" s="291">
        <f t="shared" si="102"/>
        <v>0.78</v>
      </c>
      <c r="E60" s="390">
        <f t="shared" si="103"/>
        <v>0.64</v>
      </c>
      <c r="F60" s="391"/>
      <c r="G60" s="392"/>
      <c r="H60" s="389">
        <v>150</v>
      </c>
      <c r="I60" s="291">
        <v>0.03</v>
      </c>
      <c r="J60" s="291">
        <f t="shared" si="104"/>
        <v>0.61</v>
      </c>
      <c r="K60" s="390">
        <f t="shared" si="105"/>
        <v>0.57999999999999996</v>
      </c>
      <c r="L60" s="391"/>
      <c r="M60" s="392"/>
      <c r="N60" s="389">
        <v>150</v>
      </c>
      <c r="O60" s="291">
        <v>-0.06</v>
      </c>
      <c r="P60" s="291">
        <f t="shared" si="106"/>
        <v>-0.28999999999999998</v>
      </c>
      <c r="Q60" s="390">
        <f t="shared" si="107"/>
        <v>0.22999999999999998</v>
      </c>
      <c r="R60" s="391"/>
      <c r="S60" s="377"/>
      <c r="T60" s="389">
        <v>150</v>
      </c>
      <c r="U60" s="291">
        <f t="shared" si="108"/>
        <v>0.13</v>
      </c>
      <c r="V60" s="291"/>
      <c r="W60" s="390">
        <f t="shared" si="109"/>
        <v>8.666666666666667E-2</v>
      </c>
      <c r="X60" s="391"/>
      <c r="Y60" s="377"/>
      <c r="Z60" s="389">
        <v>150</v>
      </c>
      <c r="AA60" s="291">
        <f t="shared" si="110"/>
        <v>0.41</v>
      </c>
      <c r="AB60" s="291">
        <v>0.26</v>
      </c>
      <c r="AC60" s="390">
        <f t="shared" si="111"/>
        <v>0.14999999999999997</v>
      </c>
      <c r="AD60" s="391"/>
      <c r="AE60" s="377"/>
      <c r="AF60" s="389">
        <v>150</v>
      </c>
      <c r="AG60" s="291">
        <f t="shared" si="112"/>
        <v>0.48</v>
      </c>
      <c r="AH60" s="291">
        <v>0.21</v>
      </c>
      <c r="AI60" s="390">
        <f t="shared" si="113"/>
        <v>0.27</v>
      </c>
      <c r="AJ60" s="391"/>
      <c r="AK60" s="377"/>
      <c r="AL60" s="389">
        <v>150</v>
      </c>
      <c r="AM60" s="291">
        <f t="shared" si="114"/>
        <v>0.72</v>
      </c>
      <c r="AN60" s="291"/>
      <c r="AO60" s="390">
        <f t="shared" si="115"/>
        <v>8.3333333333333329E-2</v>
      </c>
      <c r="AP60" s="391"/>
      <c r="AQ60" s="377"/>
      <c r="AR60" s="389">
        <v>150</v>
      </c>
      <c r="AS60" s="291">
        <f t="shared" si="116"/>
        <v>0.67</v>
      </c>
      <c r="AT60" s="291"/>
      <c r="AU60" s="390">
        <f t="shared" si="117"/>
        <v>0.08</v>
      </c>
      <c r="AV60" s="391"/>
      <c r="AW60" s="377"/>
      <c r="AX60" s="389">
        <v>150</v>
      </c>
      <c r="AY60" s="291">
        <f t="shared" si="118"/>
        <v>-0.03</v>
      </c>
      <c r="AZ60" s="291"/>
      <c r="BA60" s="390">
        <f t="shared" si="119"/>
        <v>0.26333333333333336</v>
      </c>
      <c r="BB60" s="391"/>
      <c r="BC60" s="377"/>
      <c r="BD60" s="389">
        <v>150</v>
      </c>
      <c r="BE60" s="291">
        <f t="shared" si="120"/>
        <v>-0.73</v>
      </c>
      <c r="BF60" s="291"/>
      <c r="BG60" s="390">
        <f t="shared" si="121"/>
        <v>9.0000000000000011E-2</v>
      </c>
      <c r="BH60" s="391"/>
      <c r="BI60" s="377"/>
      <c r="BJ60" s="389">
        <v>150</v>
      </c>
      <c r="BK60" s="291">
        <f t="shared" si="122"/>
        <v>-0.03</v>
      </c>
      <c r="BL60" s="291"/>
      <c r="BM60" s="390">
        <f t="shared" si="123"/>
        <v>0.26333333333333336</v>
      </c>
      <c r="BN60" s="391"/>
      <c r="BO60" s="377"/>
      <c r="BP60" s="389">
        <v>150</v>
      </c>
      <c r="BQ60" s="291">
        <f t="shared" si="124"/>
        <v>-0.35</v>
      </c>
      <c r="BR60" s="291"/>
      <c r="BS60" s="390">
        <f t="shared" si="125"/>
        <v>8.3333333333333329E-2</v>
      </c>
      <c r="BT60" s="391"/>
      <c r="BU60" s="377"/>
      <c r="BV60" s="389">
        <v>150</v>
      </c>
      <c r="BW60" s="291">
        <f t="shared" si="126"/>
        <v>-0.21</v>
      </c>
      <c r="BX60" s="291"/>
      <c r="BY60" s="390">
        <f t="shared" si="127"/>
        <v>8.666666666666667E-2</v>
      </c>
      <c r="BZ60" s="391"/>
      <c r="CA60" s="377"/>
      <c r="CB60" s="389">
        <v>150</v>
      </c>
      <c r="CC60" s="291">
        <f t="shared" si="99"/>
        <v>-1.7</v>
      </c>
      <c r="CD60" s="291">
        <f t="shared" si="131"/>
        <v>-0.7</v>
      </c>
      <c r="CE60" s="390">
        <f t="shared" si="128"/>
        <v>1</v>
      </c>
      <c r="CF60" s="391"/>
      <c r="CH60" s="389">
        <v>150</v>
      </c>
      <c r="CI60" s="291">
        <f t="shared" si="100"/>
        <v>0.3</v>
      </c>
      <c r="CJ60" s="291">
        <f t="shared" si="100"/>
        <v>0.22</v>
      </c>
      <c r="CK60" s="390">
        <f t="shared" si="129"/>
        <v>7.9999999999999988E-2</v>
      </c>
      <c r="CL60" s="391"/>
      <c r="CN60" s="389">
        <v>150</v>
      </c>
      <c r="CO60" s="291">
        <f t="shared" si="101"/>
        <v>0.49</v>
      </c>
      <c r="CP60" s="291">
        <f t="shared" si="101"/>
        <v>0.87</v>
      </c>
      <c r="CQ60" s="390">
        <f t="shared" si="130"/>
        <v>0.38</v>
      </c>
      <c r="CR60" s="391"/>
    </row>
    <row r="61" spans="2:96" ht="13">
      <c r="B61" s="389">
        <v>200</v>
      </c>
      <c r="C61" s="291">
        <v>0.38</v>
      </c>
      <c r="D61" s="291">
        <f t="shared" si="102"/>
        <v>7.0000000000000007E-2</v>
      </c>
      <c r="E61" s="390">
        <f t="shared" si="103"/>
        <v>0.31</v>
      </c>
      <c r="F61" s="391"/>
      <c r="G61" s="392"/>
      <c r="H61" s="389">
        <v>200</v>
      </c>
      <c r="I61" s="291">
        <v>0.32</v>
      </c>
      <c r="J61" s="291">
        <f t="shared" si="104"/>
        <v>0.25</v>
      </c>
      <c r="K61" s="390">
        <f t="shared" si="105"/>
        <v>7.0000000000000007E-2</v>
      </c>
      <c r="L61" s="391"/>
      <c r="M61" s="392"/>
      <c r="N61" s="389">
        <v>200</v>
      </c>
      <c r="O61" s="291">
        <v>0.36</v>
      </c>
      <c r="P61" s="291">
        <f t="shared" si="106"/>
        <v>7.0000000000000007E-2</v>
      </c>
      <c r="Q61" s="390">
        <f t="shared" si="107"/>
        <v>0.28999999999999998</v>
      </c>
      <c r="R61" s="391"/>
      <c r="S61" s="377"/>
      <c r="T61" s="389">
        <v>200</v>
      </c>
      <c r="U61" s="291">
        <f t="shared" si="108"/>
        <v>-0.67</v>
      </c>
      <c r="V61" s="291"/>
      <c r="W61" s="390">
        <f t="shared" si="109"/>
        <v>8.666666666666667E-2</v>
      </c>
      <c r="X61" s="391"/>
      <c r="Y61" s="377"/>
      <c r="Z61" s="389">
        <v>200</v>
      </c>
      <c r="AA61" s="291">
        <f t="shared" si="110"/>
        <v>0.61</v>
      </c>
      <c r="AB61" s="291">
        <v>-0.14000000000000001</v>
      </c>
      <c r="AC61" s="390">
        <f t="shared" si="111"/>
        <v>0.75</v>
      </c>
      <c r="AD61" s="391"/>
      <c r="AE61" s="377"/>
      <c r="AF61" s="389">
        <v>200</v>
      </c>
      <c r="AG61" s="291">
        <f t="shared" si="112"/>
        <v>0.76</v>
      </c>
      <c r="AH61" s="291">
        <v>-0.08</v>
      </c>
      <c r="AI61" s="390">
        <f t="shared" si="113"/>
        <v>0.84</v>
      </c>
      <c r="AJ61" s="391"/>
      <c r="AK61" s="377"/>
      <c r="AL61" s="389">
        <v>200</v>
      </c>
      <c r="AM61" s="291">
        <f t="shared" si="114"/>
        <v>0.97</v>
      </c>
      <c r="AN61" s="291"/>
      <c r="AO61" s="390">
        <f t="shared" si="115"/>
        <v>8.3333333333333329E-2</v>
      </c>
      <c r="AP61" s="391"/>
      <c r="AQ61" s="377"/>
      <c r="AR61" s="389">
        <v>200</v>
      </c>
      <c r="AS61" s="291">
        <f t="shared" si="116"/>
        <v>0.91</v>
      </c>
      <c r="AT61" s="291"/>
      <c r="AU61" s="390">
        <f t="shared" si="117"/>
        <v>0.08</v>
      </c>
      <c r="AV61" s="391"/>
      <c r="AW61" s="377"/>
      <c r="AX61" s="389">
        <v>200</v>
      </c>
      <c r="AY61" s="291">
        <f t="shared" si="118"/>
        <v>-0.26</v>
      </c>
      <c r="AZ61" s="291"/>
      <c r="BA61" s="390">
        <f t="shared" si="119"/>
        <v>0.26333333333333336</v>
      </c>
      <c r="BB61" s="391"/>
      <c r="BC61" s="377"/>
      <c r="BD61" s="389">
        <v>200</v>
      </c>
      <c r="BE61" s="291">
        <f t="shared" si="120"/>
        <v>-0.85</v>
      </c>
      <c r="BF61" s="291"/>
      <c r="BG61" s="390">
        <f t="shared" si="121"/>
        <v>9.0000000000000011E-2</v>
      </c>
      <c r="BH61" s="391"/>
      <c r="BI61" s="377"/>
      <c r="BJ61" s="389">
        <v>200</v>
      </c>
      <c r="BK61" s="291">
        <f t="shared" si="122"/>
        <v>-0.26</v>
      </c>
      <c r="BL61" s="291"/>
      <c r="BM61" s="390">
        <f t="shared" si="123"/>
        <v>0.26333333333333336</v>
      </c>
      <c r="BN61" s="391"/>
      <c r="BO61" s="377"/>
      <c r="BP61" s="389">
        <v>200</v>
      </c>
      <c r="BQ61" s="291">
        <f t="shared" si="124"/>
        <v>-0.64</v>
      </c>
      <c r="BR61" s="291"/>
      <c r="BS61" s="390">
        <f t="shared" si="125"/>
        <v>8.3333333333333329E-2</v>
      </c>
      <c r="BT61" s="391"/>
      <c r="BU61" s="377"/>
      <c r="BV61" s="389">
        <v>200</v>
      </c>
      <c r="BW61" s="291">
        <f t="shared" si="126"/>
        <v>-1.31</v>
      </c>
      <c r="BX61" s="291"/>
      <c r="BY61" s="390">
        <f t="shared" si="127"/>
        <v>8.666666666666667E-2</v>
      </c>
      <c r="BZ61" s="391"/>
      <c r="CA61" s="377"/>
      <c r="CB61" s="389">
        <v>200</v>
      </c>
      <c r="CC61" s="291">
        <f t="shared" si="99"/>
        <v>-0.9</v>
      </c>
      <c r="CD61" s="291">
        <f t="shared" si="131"/>
        <v>-0.6</v>
      </c>
      <c r="CE61" s="390">
        <f t="shared" si="128"/>
        <v>0.30000000000000004</v>
      </c>
      <c r="CF61" s="391"/>
      <c r="CH61" s="389">
        <v>200</v>
      </c>
      <c r="CI61" s="291">
        <f t="shared" si="100"/>
        <v>0.34</v>
      </c>
      <c r="CJ61" s="291">
        <f t="shared" si="100"/>
        <v>0.47</v>
      </c>
      <c r="CK61" s="390">
        <f t="shared" si="129"/>
        <v>0.12999999999999995</v>
      </c>
      <c r="CL61" s="391"/>
      <c r="CN61" s="389">
        <v>200</v>
      </c>
      <c r="CO61" s="291">
        <f t="shared" si="101"/>
        <v>-0.26</v>
      </c>
      <c r="CP61" s="291">
        <f t="shared" si="101"/>
        <v>0.99</v>
      </c>
      <c r="CQ61" s="390">
        <f t="shared" si="130"/>
        <v>1.25</v>
      </c>
      <c r="CR61" s="391"/>
    </row>
    <row r="62" spans="2:96" s="377" customFormat="1" ht="13">
      <c r="B62" s="397"/>
      <c r="C62" s="378"/>
      <c r="D62" s="378"/>
      <c r="E62" s="395"/>
      <c r="F62" s="392"/>
      <c r="G62" s="392"/>
      <c r="H62" s="397"/>
      <c r="I62" s="378"/>
      <c r="J62" s="378"/>
      <c r="K62" s="395"/>
      <c r="L62" s="379"/>
      <c r="M62" s="392"/>
      <c r="N62" s="397"/>
      <c r="O62" s="378"/>
      <c r="P62" s="378"/>
      <c r="Q62" s="395"/>
      <c r="R62" s="379"/>
      <c r="T62" s="397"/>
      <c r="U62" s="378"/>
      <c r="V62" s="378"/>
      <c r="W62" s="395"/>
      <c r="X62" s="379"/>
      <c r="Z62" s="397"/>
      <c r="AA62" s="378"/>
      <c r="AB62" s="378"/>
      <c r="AC62" s="395"/>
      <c r="AD62" s="379"/>
      <c r="AF62" s="397"/>
      <c r="AG62" s="378"/>
      <c r="AH62" s="378"/>
      <c r="AI62" s="395"/>
      <c r="AJ62" s="379"/>
      <c r="AL62" s="397"/>
      <c r="AM62" s="378"/>
      <c r="AN62" s="378"/>
      <c r="AO62" s="395"/>
      <c r="AP62" s="379"/>
      <c r="AR62" s="397"/>
      <c r="AS62" s="378"/>
      <c r="AT62" s="378"/>
      <c r="AU62" s="395"/>
      <c r="AV62" s="379"/>
      <c r="AX62" s="397"/>
      <c r="AY62" s="378"/>
      <c r="AZ62" s="378"/>
      <c r="BA62" s="395"/>
      <c r="BB62" s="379"/>
      <c r="BD62" s="397"/>
      <c r="BE62" s="378"/>
      <c r="BF62" s="378"/>
      <c r="BG62" s="395"/>
      <c r="BH62" s="379"/>
      <c r="BJ62" s="397"/>
      <c r="BK62" s="378"/>
      <c r="BL62" s="378"/>
      <c r="BM62" s="395"/>
      <c r="BN62" s="379"/>
      <c r="BP62" s="397"/>
      <c r="BQ62" s="378"/>
      <c r="BR62" s="378"/>
      <c r="BS62" s="395"/>
      <c r="BT62" s="379"/>
      <c r="BV62" s="397"/>
      <c r="BW62" s="378"/>
      <c r="BX62" s="378"/>
      <c r="BY62" s="395"/>
      <c r="BZ62" s="379"/>
      <c r="CB62" s="397"/>
      <c r="CC62" s="378"/>
      <c r="CD62" s="378"/>
      <c r="CE62" s="395"/>
      <c r="CF62" s="379"/>
      <c r="CH62" s="397"/>
      <c r="CI62" s="378"/>
      <c r="CJ62" s="378"/>
      <c r="CK62" s="395"/>
      <c r="CL62" s="379"/>
      <c r="CN62" s="397"/>
      <c r="CO62" s="378"/>
      <c r="CP62" s="378"/>
      <c r="CQ62" s="395"/>
      <c r="CR62" s="379"/>
    </row>
    <row r="63" spans="2:96" ht="21.75" customHeight="1">
      <c r="B63" s="1198" t="s">
        <v>390</v>
      </c>
      <c r="C63" s="1200" t="str">
        <f>C48</f>
        <v>Thermocouple Data Logger, Merek : MADGETECH, Model : OctTemp 2000, SN : P40270</v>
      </c>
      <c r="D63" s="1200"/>
      <c r="E63" s="1200"/>
      <c r="F63" s="380" t="s">
        <v>648</v>
      </c>
      <c r="G63" s="381"/>
      <c r="H63" s="1198" t="s">
        <v>390</v>
      </c>
      <c r="I63" s="1200" t="str">
        <f>I48</f>
        <v>Thermocouple Data Logger, Merek : MADGETECH, Model : OctTemp 2000, SN : P41878</v>
      </c>
      <c r="J63" s="1200"/>
      <c r="K63" s="1200"/>
      <c r="L63" s="380" t="s">
        <v>648</v>
      </c>
      <c r="M63" s="381"/>
      <c r="N63" s="1198" t="s">
        <v>390</v>
      </c>
      <c r="O63" s="1200" t="str">
        <f>O48</f>
        <v>Mobile Corder, Merek : Yokogawa, Model : GP 10, SN : S5T810599</v>
      </c>
      <c r="P63" s="1203"/>
      <c r="Q63" s="1200"/>
      <c r="R63" s="380" t="s">
        <v>648</v>
      </c>
      <c r="S63" s="377"/>
      <c r="T63" s="1198" t="s">
        <v>390</v>
      </c>
      <c r="U63" s="1200" t="str">
        <f>U48</f>
        <v>Wireless Temperature Recorder, Merek : HIOKI, Model : LR 8510, SN : 200936000</v>
      </c>
      <c r="V63" s="1203"/>
      <c r="W63" s="1200"/>
      <c r="X63" s="380" t="s">
        <v>648</v>
      </c>
      <c r="Y63" s="377"/>
      <c r="Z63" s="1198" t="s">
        <v>390</v>
      </c>
      <c r="AA63" s="1200" t="str">
        <f>AA48</f>
        <v>Wireless Temperature Recorder, Merek : HIOKI, Model : LR 8510, SN : 200936001</v>
      </c>
      <c r="AB63" s="1203"/>
      <c r="AC63" s="1200"/>
      <c r="AD63" s="380" t="s">
        <v>648</v>
      </c>
      <c r="AE63" s="377"/>
      <c r="AF63" s="1198" t="s">
        <v>390</v>
      </c>
      <c r="AG63" s="1200" t="str">
        <f>AG48</f>
        <v>Wireless Temperature Recorder, Merek : HIOKI, Model : LR 8510, SN : 200821397</v>
      </c>
      <c r="AH63" s="1203"/>
      <c r="AI63" s="1200"/>
      <c r="AJ63" s="380" t="s">
        <v>648</v>
      </c>
      <c r="AK63" s="377"/>
      <c r="AL63" s="1198" t="s">
        <v>390</v>
      </c>
      <c r="AM63" s="1200" t="str">
        <f>AM48</f>
        <v>Wireless Temperature Recorder, Merek : HIOKI, Model : LR 8510, SN : 210411983</v>
      </c>
      <c r="AN63" s="1203"/>
      <c r="AO63" s="1200"/>
      <c r="AP63" s="380" t="s">
        <v>648</v>
      </c>
      <c r="AQ63" s="377"/>
      <c r="AR63" s="1198" t="s">
        <v>390</v>
      </c>
      <c r="AS63" s="1200" t="str">
        <f>AS48</f>
        <v>Wireless Temperature Recorder, Merek : HIOKI, Model : LR 8510, SN : 210411984</v>
      </c>
      <c r="AT63" s="1203"/>
      <c r="AU63" s="1200"/>
      <c r="AV63" s="380" t="s">
        <v>648</v>
      </c>
      <c r="AW63" s="377"/>
      <c r="AX63" s="1198" t="s">
        <v>390</v>
      </c>
      <c r="AY63" s="1200" t="str">
        <f>AY48</f>
        <v>Wireless Temperature Recorder, Merek : HIOKI, Model : LR 8510, SN : 210411985</v>
      </c>
      <c r="AZ63" s="1203"/>
      <c r="BA63" s="1200"/>
      <c r="BB63" s="380" t="s">
        <v>648</v>
      </c>
      <c r="BC63" s="377"/>
      <c r="BD63" s="1198" t="s">
        <v>390</v>
      </c>
      <c r="BE63" s="1200" t="str">
        <f>BE48</f>
        <v>Wireless Temperature Recorder, Merek : HIOKI, Model : LR 8510, SN : 210746054</v>
      </c>
      <c r="BF63" s="1203"/>
      <c r="BG63" s="1200"/>
      <c r="BH63" s="380" t="s">
        <v>648</v>
      </c>
      <c r="BI63" s="377"/>
      <c r="BJ63" s="1198" t="s">
        <v>390</v>
      </c>
      <c r="BK63" s="1200" t="str">
        <f>BK48</f>
        <v>Wireless Temperature Recorder, Merek : HIOKI, Model : LR 8510, SN : 210746055</v>
      </c>
      <c r="BL63" s="1203"/>
      <c r="BM63" s="1200"/>
      <c r="BN63" s="380" t="s">
        <v>648</v>
      </c>
      <c r="BO63" s="377"/>
      <c r="BP63" s="1198" t="s">
        <v>390</v>
      </c>
      <c r="BQ63" s="1200" t="str">
        <f>BQ48</f>
        <v>Wireless Temperature Recorder, Merek : HIOKI, Model : LR 8510, SN : 210746056</v>
      </c>
      <c r="BR63" s="1203"/>
      <c r="BS63" s="1200"/>
      <c r="BT63" s="380" t="s">
        <v>648</v>
      </c>
      <c r="BU63" s="377"/>
      <c r="BV63" s="1198" t="s">
        <v>390</v>
      </c>
      <c r="BW63" s="1200" t="str">
        <f>BW48</f>
        <v>Wireless Temperature Recorder, Merek : HIOKI, Model : LR 8510, SN : 200821396</v>
      </c>
      <c r="BX63" s="1203"/>
      <c r="BY63" s="1200"/>
      <c r="BZ63" s="380" t="s">
        <v>648</v>
      </c>
      <c r="CA63" s="377"/>
      <c r="CB63" s="1198" t="s">
        <v>390</v>
      </c>
      <c r="CC63" s="1200" t="str">
        <f>CC48</f>
        <v>Reference Thermometer, Merek : APPA, Model : APPA51, SN : 03002948</v>
      </c>
      <c r="CD63" s="1203"/>
      <c r="CE63" s="1200"/>
      <c r="CF63" s="380" t="s">
        <v>648</v>
      </c>
      <c r="CH63" s="1198" t="s">
        <v>390</v>
      </c>
      <c r="CI63" s="1200" t="str">
        <f>CI48</f>
        <v>Reference Thermometer, Merek : FLUKE, Model : 1524, SN : 1803038</v>
      </c>
      <c r="CJ63" s="1203"/>
      <c r="CK63" s="1200"/>
      <c r="CL63" s="380" t="s">
        <v>648</v>
      </c>
      <c r="CN63" s="1198" t="s">
        <v>390</v>
      </c>
      <c r="CO63" s="1200" t="str">
        <f>CO48</f>
        <v>Reference Thermometer, Merek : FLUKE, Model : 1524, SN : 1803037</v>
      </c>
      <c r="CP63" s="1203"/>
      <c r="CQ63" s="1200"/>
      <c r="CR63" s="380" t="s">
        <v>648</v>
      </c>
    </row>
    <row r="64" spans="2:96" ht="13">
      <c r="B64" s="1199"/>
      <c r="C64" s="387">
        <f>C49</f>
        <v>2021</v>
      </c>
      <c r="D64" s="387">
        <f>D49</f>
        <v>2022</v>
      </c>
      <c r="E64" s="384" t="s">
        <v>386</v>
      </c>
      <c r="F64" s="388">
        <f ca="1">$B$290</f>
        <v>37.19</v>
      </c>
      <c r="G64" s="385"/>
      <c r="H64" s="1199"/>
      <c r="I64" s="386">
        <f>I49</f>
        <v>2021</v>
      </c>
      <c r="J64" s="387">
        <f>J49</f>
        <v>2022</v>
      </c>
      <c r="K64" s="384" t="s">
        <v>386</v>
      </c>
      <c r="L64" s="388">
        <f ca="1">$B$290</f>
        <v>37.19</v>
      </c>
      <c r="M64" s="385"/>
      <c r="N64" s="1199"/>
      <c r="O64" s="386">
        <f>O4</f>
        <v>2021</v>
      </c>
      <c r="P64" s="387">
        <f>P4</f>
        <v>2023</v>
      </c>
      <c r="Q64" s="384" t="s">
        <v>386</v>
      </c>
      <c r="R64" s="388">
        <f ca="1">$B$290</f>
        <v>37.19</v>
      </c>
      <c r="S64" s="377"/>
      <c r="T64" s="1199"/>
      <c r="U64" s="386">
        <f>U49</f>
        <v>2021</v>
      </c>
      <c r="V64" s="387"/>
      <c r="W64" s="384" t="s">
        <v>386</v>
      </c>
      <c r="X64" s="388">
        <f ca="1">$B$290</f>
        <v>37.19</v>
      </c>
      <c r="Y64" s="377"/>
      <c r="Z64" s="1199"/>
      <c r="AA64" s="386">
        <f>AA49</f>
        <v>2023</v>
      </c>
      <c r="AB64" s="387">
        <f>AB49</f>
        <v>2021</v>
      </c>
      <c r="AC64" s="384" t="s">
        <v>386</v>
      </c>
      <c r="AD64" s="388">
        <f ca="1">$B$290</f>
        <v>37.19</v>
      </c>
      <c r="AE64" s="377"/>
      <c r="AF64" s="1199"/>
      <c r="AG64" s="386">
        <f>AG49</f>
        <v>2023</v>
      </c>
      <c r="AH64" s="386">
        <f>AH49</f>
        <v>2021</v>
      </c>
      <c r="AI64" s="384" t="s">
        <v>386</v>
      </c>
      <c r="AJ64" s="388">
        <f ca="1">$B$290</f>
        <v>37.19</v>
      </c>
      <c r="AK64" s="377"/>
      <c r="AL64" s="1199"/>
      <c r="AM64" s="386">
        <f>AM49</f>
        <v>2021</v>
      </c>
      <c r="AN64" s="387"/>
      <c r="AO64" s="384" t="s">
        <v>386</v>
      </c>
      <c r="AP64" s="388">
        <f ca="1">$B$290</f>
        <v>37.19</v>
      </c>
      <c r="AQ64" s="377"/>
      <c r="AR64" s="1199"/>
      <c r="AS64" s="386">
        <f>AS49</f>
        <v>2021</v>
      </c>
      <c r="AT64" s="387"/>
      <c r="AU64" s="384" t="s">
        <v>386</v>
      </c>
      <c r="AV64" s="388">
        <f ca="1">$B$290</f>
        <v>37.19</v>
      </c>
      <c r="AW64" s="377"/>
      <c r="AX64" s="1199"/>
      <c r="AY64" s="386">
        <f>AY49</f>
        <v>2021</v>
      </c>
      <c r="AZ64" s="387"/>
      <c r="BA64" s="384" t="s">
        <v>386</v>
      </c>
      <c r="BB64" s="388">
        <f ca="1">$B$290</f>
        <v>37.19</v>
      </c>
      <c r="BC64" s="377"/>
      <c r="BD64" s="1199"/>
      <c r="BE64" s="386">
        <f>BE49</f>
        <v>2021</v>
      </c>
      <c r="BF64" s="387"/>
      <c r="BG64" s="384" t="s">
        <v>386</v>
      </c>
      <c r="BH64" s="388">
        <f ca="1">$B$290</f>
        <v>37.19</v>
      </c>
      <c r="BI64" s="377"/>
      <c r="BJ64" s="1199"/>
      <c r="BK64" s="386">
        <f>BK49</f>
        <v>2021</v>
      </c>
      <c r="BL64" s="387"/>
      <c r="BM64" s="384" t="s">
        <v>386</v>
      </c>
      <c r="BN64" s="388">
        <f ca="1">$B$290</f>
        <v>37.19</v>
      </c>
      <c r="BO64" s="377"/>
      <c r="BP64" s="1199"/>
      <c r="BQ64" s="386">
        <f>BQ49</f>
        <v>2021</v>
      </c>
      <c r="BR64" s="387"/>
      <c r="BS64" s="384" t="s">
        <v>386</v>
      </c>
      <c r="BT64" s="388">
        <f ca="1">$B$290</f>
        <v>37.19</v>
      </c>
      <c r="BU64" s="377"/>
      <c r="BV64" s="1199"/>
      <c r="BW64" s="386">
        <f>BW49</f>
        <v>2022</v>
      </c>
      <c r="BX64" s="387"/>
      <c r="BY64" s="384" t="s">
        <v>386</v>
      </c>
      <c r="BZ64" s="388">
        <f ca="1">$B$290</f>
        <v>37.19</v>
      </c>
      <c r="CA64" s="377"/>
      <c r="CB64" s="1199"/>
      <c r="CC64" s="386">
        <f>CC49</f>
        <v>2022</v>
      </c>
      <c r="CD64" s="387">
        <f>CD79</f>
        <v>2020</v>
      </c>
      <c r="CE64" s="384" t="s">
        <v>386</v>
      </c>
      <c r="CF64" s="388">
        <f ca="1">$B$290</f>
        <v>37.19</v>
      </c>
      <c r="CH64" s="1199"/>
      <c r="CI64" s="386">
        <f>CI49</f>
        <v>2021</v>
      </c>
      <c r="CJ64" s="387">
        <f>CJ49</f>
        <v>2019</v>
      </c>
      <c r="CK64" s="384" t="s">
        <v>386</v>
      </c>
      <c r="CL64" s="388">
        <f ca="1">$B$290</f>
        <v>37.19</v>
      </c>
      <c r="CN64" s="1199"/>
      <c r="CO64" s="386">
        <f>CO49</f>
        <v>2021</v>
      </c>
      <c r="CP64" s="387">
        <f>CP49</f>
        <v>2020</v>
      </c>
      <c r="CQ64" s="384" t="s">
        <v>386</v>
      </c>
      <c r="CR64" s="388">
        <f ca="1">$B$290</f>
        <v>37.19</v>
      </c>
    </row>
    <row r="65" spans="2:96" ht="13">
      <c r="B65" s="770">
        <v>-20</v>
      </c>
      <c r="C65" s="399">
        <v>-0.42</v>
      </c>
      <c r="D65" s="399">
        <f t="shared" ref="D65:D76" si="132">C192</f>
        <v>-0.56999999999999995</v>
      </c>
      <c r="E65" s="390">
        <f>IF(OR(C65=0,D65=0),$C$204/3,((MAX(C65:D65)-(MIN(C65:D65)))))</f>
        <v>0.14999999999999997</v>
      </c>
      <c r="F65" s="932">
        <f ca="1">IF($L$4&lt;=$B$10,$B$9,IF($L$4&lt;=$B$11,$B$10,IF($L$4&lt;=$B$12,$B$11,IF($L$4&lt;=$B$13,$B$12,IF($L$4&lt;=$B$14,$B$13)))))</f>
        <v>37</v>
      </c>
      <c r="G65" s="385"/>
      <c r="H65" s="770">
        <v>-20</v>
      </c>
      <c r="I65" s="291">
        <v>-0.6</v>
      </c>
      <c r="J65" s="291">
        <f t="shared" ref="J65:J76" si="133">D192</f>
        <v>-0.47</v>
      </c>
      <c r="K65" s="390">
        <f t="shared" ref="K65:K76" si="134">IF(OR(I65=0,J65=0),$D$204/3,((MAX(I65:J65)-(MIN(I65:J65)))))</f>
        <v>0.13</v>
      </c>
      <c r="L65" s="932">
        <f ca="1">IF($L$4&lt;=$B$10,$B$9,IF($L$4&lt;=$B$11,$B$10,IF($L$4&lt;=$B$12,$B$11,IF($L$4&lt;=$B$13,$B$12,IF($L$4&lt;=$B$14,$B$13)))))</f>
        <v>37</v>
      </c>
      <c r="M65" s="385"/>
      <c r="N65" s="770">
        <v>-20</v>
      </c>
      <c r="O65" s="771">
        <v>-0.5</v>
      </c>
      <c r="P65" s="291">
        <f t="shared" ref="P65:P76" si="135">E192</f>
        <v>-0.41</v>
      </c>
      <c r="Q65" s="390">
        <f t="shared" ref="Q65:Q76" si="136">IF(OR(O65=0,P65=0),$E$204/3,((MAX(O65:P65)-(MIN(O65:P65)))))</f>
        <v>9.0000000000000024E-2</v>
      </c>
      <c r="R65" s="932">
        <f ca="1">IF($L$4&lt;=$B$10,$B$9,IF($L$4&lt;=$B$11,$B$10,IF($L$4&lt;=$B$12,$B$11,IF($L$4&lt;=$B$13,$B$12,IF($L$4&lt;=$B$14,$B$13)))))</f>
        <v>37</v>
      </c>
      <c r="S65" s="377"/>
      <c r="T65" s="770">
        <v>-20</v>
      </c>
      <c r="U65" s="399">
        <f t="shared" ref="U65:U76" si="137">F192</f>
        <v>-1.42</v>
      </c>
      <c r="V65" s="399"/>
      <c r="W65" s="390">
        <f t="shared" ref="W65:W76" si="138">IF(OR(U65=0,V65=0),$F$204/3,((MAX(U65:V65)-(MIN(U65:V65)))))</f>
        <v>8.666666666666667E-2</v>
      </c>
      <c r="X65" s="932">
        <f ca="1">IF($L$4&lt;=$B$10,$B$9,IF($L$4&lt;=$B$11,$B$10,IF($L$4&lt;=$B$12,$B$11,IF($L$4&lt;=$B$13,$B$12,IF($L$4&lt;=$B$14,$B$13)))))</f>
        <v>37</v>
      </c>
      <c r="Y65" s="377"/>
      <c r="Z65" s="770">
        <v>-20</v>
      </c>
      <c r="AA65" s="399">
        <f t="shared" ref="AA65:AA76" si="139">G192</f>
        <v>7.0000000000000007E-2</v>
      </c>
      <c r="AB65" s="399">
        <v>-0.56999999999999995</v>
      </c>
      <c r="AC65" s="390">
        <f t="shared" ref="AC65:AC76" si="140">IF(OR(AA65=0,AB65=0),$G$204/3,((MAX(AA65:AB65)-(MIN(AA65:AB65)))))</f>
        <v>0.6399999999999999</v>
      </c>
      <c r="AD65" s="932">
        <f ca="1">IF($L$4&lt;=$B$10,$B$9,IF($L$4&lt;=$B$11,$B$10,IF($L$4&lt;=$B$12,$B$11,IF($L$4&lt;=$B$13,$B$12,IF($L$4&lt;=$B$14,$B$13)))))</f>
        <v>37</v>
      </c>
      <c r="AE65" s="377"/>
      <c r="AF65" s="770">
        <v>-20</v>
      </c>
      <c r="AG65" s="399">
        <f t="shared" ref="AG65:AG76" si="141">H192</f>
        <v>0.11</v>
      </c>
      <c r="AH65" s="771">
        <v>-0.04</v>
      </c>
      <c r="AI65" s="390">
        <f t="shared" ref="AI65:AI76" si="142">IF(OR(AG65=0,AH65=0),$H$204/3,((MAX(AG65:AH65)-(MIN(AG65:AH65)))))</f>
        <v>0.15</v>
      </c>
      <c r="AJ65" s="932">
        <f ca="1">IF($L$4&lt;=$B$10,$B$9,IF($L$4&lt;=$B$11,$B$10,IF($L$4&lt;=$B$12,$B$11,IF($L$4&lt;=$B$13,$B$12,IF($L$4&lt;=$B$14,$B$13)))))</f>
        <v>37</v>
      </c>
      <c r="AK65" s="377"/>
      <c r="AL65" s="770">
        <v>-20</v>
      </c>
      <c r="AM65" s="399">
        <f t="shared" ref="AM65:AM76" si="143">I192</f>
        <v>0.46</v>
      </c>
      <c r="AN65" s="399"/>
      <c r="AO65" s="390">
        <f t="shared" ref="AO65:AO76" si="144">IF(OR(AM65=0,AN65=0),$I$204/3,((MAX(AM65:AN65)-(MIN(AM65:AN65)))))</f>
        <v>8.3333333333333329E-2</v>
      </c>
      <c r="AP65" s="932">
        <f ca="1">IF($L$4&lt;=$B$10,$B$9,IF($L$4&lt;=$B$11,$B$10,IF($L$4&lt;=$B$12,$B$11,IF($L$4&lt;=$B$13,$B$12,IF($L$4&lt;=$B$14,$B$13)))))</f>
        <v>37</v>
      </c>
      <c r="AQ65" s="377"/>
      <c r="AR65" s="770">
        <v>-20</v>
      </c>
      <c r="AS65" s="399">
        <f t="shared" ref="AS65:AS76" si="145">J192</f>
        <v>0.34</v>
      </c>
      <c r="AT65" s="399"/>
      <c r="AU65" s="390">
        <f t="shared" ref="AU65:AU76" si="146">IF(OR(AS65=0,AT65=0),$J$204/3,((MAX(AS65:AT65)-(MIN(AS65:AT65)))))</f>
        <v>8.3333333333333329E-2</v>
      </c>
      <c r="AV65" s="932">
        <f ca="1">IF($L$4&lt;=$B$10,$B$9,IF($L$4&lt;=$B$11,$B$10,IF($L$4&lt;=$B$12,$B$11,IF($L$4&lt;=$B$13,$B$12,IF($L$4&lt;=$B$14,$B$13)))))</f>
        <v>37</v>
      </c>
      <c r="AW65" s="377"/>
      <c r="AX65" s="389">
        <v>-20</v>
      </c>
      <c r="AY65" s="399">
        <f t="shared" ref="AY65:AY76" si="147">K192</f>
        <v>0.54</v>
      </c>
      <c r="AZ65" s="399"/>
      <c r="BA65" s="390">
        <f t="shared" ref="BA65:BA76" si="148">IF(OR(AY65=0,AZ65=0),$K$204/3,((MAX(AY65:AZ65)-(MIN(AY65:AZ65)))))</f>
        <v>0.26333333333333336</v>
      </c>
      <c r="BB65" s="932">
        <f ca="1">IF($L$4&lt;=$B$10,$B$9,IF($L$4&lt;=$B$11,$B$10,IF($L$4&lt;=$B$12,$B$11,IF($L$4&lt;=$B$13,$B$12,IF($L$4&lt;=$B$14,$B$13)))))</f>
        <v>37</v>
      </c>
      <c r="BC65" s="377"/>
      <c r="BD65" s="770">
        <v>-20</v>
      </c>
      <c r="BE65" s="399">
        <f t="shared" ref="BE65:BE76" si="149">L192</f>
        <v>-0.94</v>
      </c>
      <c r="BF65" s="399"/>
      <c r="BG65" s="390">
        <f t="shared" ref="BG65:BG76" si="150">IF(OR(BE65=0,BF65=0),$L$204/3,((MAX(BE65:BF65)-(MIN(BE65:BF65)))))</f>
        <v>8.666666666666667E-2</v>
      </c>
      <c r="BH65" s="932">
        <f ca="1">IF($L$4&lt;=$B$10,$B$9,IF($L$4&lt;=$B$11,$B$10,IF($L$4&lt;=$B$12,$B$11,IF($L$4&lt;=$B$13,$B$12,IF($L$4&lt;=$B$14,$B$13)))))</f>
        <v>37</v>
      </c>
      <c r="BI65" s="377"/>
      <c r="BJ65" s="770">
        <v>-20</v>
      </c>
      <c r="BK65" s="399">
        <f t="shared" ref="BK65:BK76" si="151">M192</f>
        <v>0.54</v>
      </c>
      <c r="BL65" s="399"/>
      <c r="BM65" s="390">
        <f t="shared" ref="BM65:BM76" si="152">IF(OR(BK65=0,BL65=0),$M$204/3,((MAX(BK65:BL65)-(MIN(BK65:BL65)))))</f>
        <v>0.26333333333333336</v>
      </c>
      <c r="BN65" s="932">
        <f ca="1">IF($L$4&lt;=$B$10,$B$9,IF($L$4&lt;=$B$11,$B$10,IF($L$4&lt;=$B$12,$B$11,IF($L$4&lt;=$B$13,$B$12,IF($L$4&lt;=$B$14,$B$13)))))</f>
        <v>37</v>
      </c>
      <c r="BO65" s="377"/>
      <c r="BP65" s="770">
        <v>-20</v>
      </c>
      <c r="BQ65" s="399">
        <f t="shared" ref="BQ65:BQ76" si="153">N192</f>
        <v>-1.29</v>
      </c>
      <c r="BR65" s="399"/>
      <c r="BS65" s="390">
        <f t="shared" ref="BS65:BS76" si="154">IF(OR(BQ65=0,BR65=0),$N$204/3,((MAX(BQ65:BR65)-(MIN(BQ65:BR65)))))</f>
        <v>8.666666666666667E-2</v>
      </c>
      <c r="BT65" s="932">
        <f ca="1">IF($L$4&lt;=$B$10,$B$9,IF($L$4&lt;=$B$11,$B$10,IF($L$4&lt;=$B$12,$B$11,IF($L$4&lt;=$B$13,$B$12,IF($L$4&lt;=$B$14,$B$13)))))</f>
        <v>37</v>
      </c>
      <c r="BU65" s="377"/>
      <c r="BV65" s="770">
        <v>-20</v>
      </c>
      <c r="BW65" s="399">
        <f t="shared" ref="BW65:BW76" si="155">O192</f>
        <v>-1.4</v>
      </c>
      <c r="BX65" s="399"/>
      <c r="BY65" s="390">
        <f t="shared" ref="BY65:BY76" si="156">IF(OR(BW65=0,BX65=0),$O$204/3,((MAX(BW65:BX65)-(MIN(BW65:BX65)))))</f>
        <v>8.3333333333333329E-2</v>
      </c>
      <c r="BZ65" s="932">
        <f ca="1">IF($L$4&lt;=$B$10,$B$9,IF($L$4&lt;=$B$11,$B$10,IF($L$4&lt;=$B$12,$B$11,IF($L$4&lt;=$B$13,$B$12,IF($L$4&lt;=$B$14,$B$13)))))</f>
        <v>37</v>
      </c>
      <c r="CA65" s="377"/>
      <c r="CB65" s="770">
        <v>-20</v>
      </c>
      <c r="CC65" s="399">
        <f t="shared" ref="CC65:CC76" si="157">CC50</f>
        <v>-1.1000000000000001</v>
      </c>
      <c r="CD65" s="291">
        <f>CD80</f>
        <v>-0.7</v>
      </c>
      <c r="CE65" s="390">
        <f t="shared" ref="CE65:CE76" si="158">CE50</f>
        <v>0.40000000000000013</v>
      </c>
      <c r="CF65" s="932">
        <f ca="1">IF($L$4&lt;=$B$10,$B$9,IF($L$4&lt;=$B$11,$B$10,IF($L$4&lt;=$B$12,$B$11,IF($L$4&lt;=$B$13,$B$12,IF($L$4&lt;=$B$14,$B$13)))))</f>
        <v>37</v>
      </c>
      <c r="CH65" s="770">
        <v>-20</v>
      </c>
      <c r="CI65" s="399">
        <f t="shared" ref="CI65:CK76" si="159">CI50</f>
        <v>-0.15</v>
      </c>
      <c r="CJ65" s="291">
        <f t="shared" si="159"/>
        <v>-0.32</v>
      </c>
      <c r="CK65" s="390">
        <f t="shared" si="159"/>
        <v>0.17</v>
      </c>
      <c r="CL65" s="932">
        <f ca="1">IF($L$4&lt;=$B$10,$B$9,IF($L$4&lt;=$B$11,$B$10,IF($L$4&lt;=$B$12,$B$11,IF($L$4&lt;=$B$13,$B$12,IF($L$4&lt;=$B$14,$B$13)))))</f>
        <v>37</v>
      </c>
      <c r="CN65" s="770">
        <v>-20</v>
      </c>
      <c r="CO65" s="399">
        <f t="shared" ref="CO65:CQ76" si="160">CO50</f>
        <v>-1.8</v>
      </c>
      <c r="CP65" s="291">
        <f t="shared" si="160"/>
        <v>-0.51</v>
      </c>
      <c r="CQ65" s="390">
        <f t="shared" si="160"/>
        <v>1.29</v>
      </c>
      <c r="CR65" s="932">
        <f ca="1">IF($L$4&lt;=$B$10,$B$9,IF($L$4&lt;=$B$11,$B$10,IF($L$4&lt;=$B$12,$B$11,IF($L$4&lt;=$B$13,$B$12,IF($L$4&lt;=$B$14,$B$13)))))</f>
        <v>37</v>
      </c>
    </row>
    <row r="66" spans="2:96" ht="13">
      <c r="B66" s="389">
        <v>-15</v>
      </c>
      <c r="C66" s="399">
        <v>-0.36</v>
      </c>
      <c r="D66" s="399">
        <f t="shared" si="132"/>
        <v>-0.52</v>
      </c>
      <c r="E66" s="390">
        <f t="shared" ref="E66:E76" si="161">IF(OR(C66=0,D66=0),$C$204/3,((MAX(C66:D66)-(MIN(C66:D66)))))</f>
        <v>0.16000000000000003</v>
      </c>
      <c r="F66" s="391"/>
      <c r="G66" s="392"/>
      <c r="H66" s="389">
        <v>-15</v>
      </c>
      <c r="I66" s="291">
        <v>-0.49</v>
      </c>
      <c r="J66" s="291">
        <f t="shared" si="133"/>
        <v>-0.4</v>
      </c>
      <c r="K66" s="390">
        <f t="shared" si="134"/>
        <v>8.9999999999999969E-2</v>
      </c>
      <c r="L66" s="391"/>
      <c r="M66" s="392"/>
      <c r="N66" s="389">
        <v>-15</v>
      </c>
      <c r="O66" s="399">
        <v>-0.41</v>
      </c>
      <c r="P66" s="291">
        <f t="shared" si="135"/>
        <v>-0.34</v>
      </c>
      <c r="Q66" s="390">
        <f t="shared" si="136"/>
        <v>6.9999999999999951E-2</v>
      </c>
      <c r="R66" s="391"/>
      <c r="S66" s="377"/>
      <c r="T66" s="389">
        <v>-15</v>
      </c>
      <c r="U66" s="399">
        <f t="shared" si="137"/>
        <v>-1.19</v>
      </c>
      <c r="V66" s="291"/>
      <c r="W66" s="390">
        <f t="shared" si="138"/>
        <v>8.666666666666667E-2</v>
      </c>
      <c r="X66" s="391"/>
      <c r="Y66" s="377"/>
      <c r="Z66" s="389">
        <v>-15</v>
      </c>
      <c r="AA66" s="399">
        <f t="shared" si="139"/>
        <v>0.12</v>
      </c>
      <c r="AB66" s="291">
        <v>-0.31</v>
      </c>
      <c r="AC66" s="390">
        <f t="shared" si="140"/>
        <v>0.43</v>
      </c>
      <c r="AD66" s="391"/>
      <c r="AE66" s="377"/>
      <c r="AF66" s="389">
        <v>-15</v>
      </c>
      <c r="AG66" s="399">
        <f t="shared" si="141"/>
        <v>0.15</v>
      </c>
      <c r="AH66" s="291">
        <v>9.9999999999999995E-7</v>
      </c>
      <c r="AI66" s="390">
        <f t="shared" si="142"/>
        <v>0.14999899999999999</v>
      </c>
      <c r="AJ66" s="391"/>
      <c r="AK66" s="377"/>
      <c r="AL66" s="389">
        <v>-15</v>
      </c>
      <c r="AM66" s="399">
        <f t="shared" si="143"/>
        <v>0.48</v>
      </c>
      <c r="AN66" s="291"/>
      <c r="AO66" s="390">
        <f t="shared" si="144"/>
        <v>8.3333333333333329E-2</v>
      </c>
      <c r="AP66" s="391"/>
      <c r="AQ66" s="377"/>
      <c r="AR66" s="389">
        <v>-15</v>
      </c>
      <c r="AS66" s="399">
        <f t="shared" si="145"/>
        <v>0.36</v>
      </c>
      <c r="AT66" s="291"/>
      <c r="AU66" s="390">
        <f t="shared" si="146"/>
        <v>8.3333333333333329E-2</v>
      </c>
      <c r="AV66" s="391"/>
      <c r="AW66" s="377"/>
      <c r="AX66" s="389">
        <v>-15</v>
      </c>
      <c r="AY66" s="399">
        <f t="shared" si="147"/>
        <v>9.9999999999999995E-7</v>
      </c>
      <c r="AZ66" s="291"/>
      <c r="BA66" s="390">
        <f t="shared" si="148"/>
        <v>0.26333333333333336</v>
      </c>
      <c r="BB66" s="391"/>
      <c r="BC66" s="377"/>
      <c r="BD66" s="389">
        <v>-15</v>
      </c>
      <c r="BE66" s="399">
        <f t="shared" si="149"/>
        <v>-0.7</v>
      </c>
      <c r="BF66" s="291"/>
      <c r="BG66" s="390">
        <f t="shared" si="150"/>
        <v>8.666666666666667E-2</v>
      </c>
      <c r="BH66" s="391"/>
      <c r="BI66" s="377"/>
      <c r="BJ66" s="389">
        <v>-15</v>
      </c>
      <c r="BK66" s="399">
        <f t="shared" si="151"/>
        <v>9.9999999999999995E-7</v>
      </c>
      <c r="BL66" s="291"/>
      <c r="BM66" s="390">
        <f t="shared" si="152"/>
        <v>0.26333333333333336</v>
      </c>
      <c r="BN66" s="391"/>
      <c r="BO66" s="377"/>
      <c r="BP66" s="389">
        <v>-15</v>
      </c>
      <c r="BQ66" s="399">
        <f t="shared" si="153"/>
        <v>-1.04</v>
      </c>
      <c r="BR66" s="291"/>
      <c r="BS66" s="390">
        <f t="shared" si="154"/>
        <v>8.666666666666667E-2</v>
      </c>
      <c r="BT66" s="391"/>
      <c r="BU66" s="377"/>
      <c r="BV66" s="389">
        <v>-15</v>
      </c>
      <c r="BW66" s="399">
        <f t="shared" si="155"/>
        <v>-1.1399999999999999</v>
      </c>
      <c r="BX66" s="291"/>
      <c r="BY66" s="390">
        <f t="shared" si="156"/>
        <v>8.3333333333333329E-2</v>
      </c>
      <c r="BZ66" s="391"/>
      <c r="CA66" s="377"/>
      <c r="CB66" s="389">
        <v>-15</v>
      </c>
      <c r="CC66" s="399">
        <f t="shared" si="157"/>
        <v>-1.1000000000000001</v>
      </c>
      <c r="CD66" s="291">
        <f>CD81</f>
        <v>-0.7</v>
      </c>
      <c r="CE66" s="390">
        <f t="shared" si="158"/>
        <v>0.40000000000000013</v>
      </c>
      <c r="CF66" s="391"/>
      <c r="CH66" s="389">
        <v>-15</v>
      </c>
      <c r="CI66" s="399">
        <f t="shared" si="159"/>
        <v>-0.1</v>
      </c>
      <c r="CJ66" s="291">
        <f t="shared" si="159"/>
        <v>-0.24</v>
      </c>
      <c r="CK66" s="390">
        <f t="shared" si="159"/>
        <v>0.13999999999999999</v>
      </c>
      <c r="CL66" s="391"/>
      <c r="CN66" s="389">
        <v>-15</v>
      </c>
      <c r="CO66" s="399">
        <f t="shared" si="160"/>
        <v>-1.52</v>
      </c>
      <c r="CP66" s="291">
        <f t="shared" si="160"/>
        <v>-0.39</v>
      </c>
      <c r="CQ66" s="390">
        <f t="shared" si="160"/>
        <v>1.1299999999999999</v>
      </c>
      <c r="CR66" s="391"/>
    </row>
    <row r="67" spans="2:96" ht="13">
      <c r="B67" s="389">
        <v>-10</v>
      </c>
      <c r="C67" s="399">
        <v>-0.3</v>
      </c>
      <c r="D67" s="399">
        <f t="shared" si="132"/>
        <v>-0.46</v>
      </c>
      <c r="E67" s="390">
        <f t="shared" si="161"/>
        <v>0.16000000000000003</v>
      </c>
      <c r="F67" s="932">
        <f ca="1">IF($L$4&lt;=$B$9,$B$9,IF($L$4&lt;=$B$10,$B$10,IF($L$4&lt;=$B$11,$B$11,IF($L$4&lt;=$B$12,$B$12,IF($L$4&lt;=$B$13,$B$13,IF($L$4&lt;=$B$14,$B$14))))))</f>
        <v>44</v>
      </c>
      <c r="G67" s="392"/>
      <c r="H67" s="389">
        <v>-10</v>
      </c>
      <c r="I67" s="291">
        <v>9.9999999999999995E-7</v>
      </c>
      <c r="J67" s="291">
        <f t="shared" si="133"/>
        <v>-0.34</v>
      </c>
      <c r="K67" s="390">
        <f t="shared" si="134"/>
        <v>0.340001</v>
      </c>
      <c r="L67" s="932">
        <f ca="1">IF($L$4&lt;=$B$9,$B$9,IF($L$4&lt;=$B$10,$B$10,IF($L$4&lt;=$B$11,$B$11,IF($L$4&lt;=$B$12,$B$12,IF($L$4&lt;=$B$13,$B$13,IF($L$4&lt;=$B$14,$B$14))))))</f>
        <v>44</v>
      </c>
      <c r="M67" s="392"/>
      <c r="N67" s="389">
        <v>-10</v>
      </c>
      <c r="O67" s="399">
        <v>-0.32</v>
      </c>
      <c r="P67" s="291">
        <f t="shared" si="135"/>
        <v>-0.27</v>
      </c>
      <c r="Q67" s="390">
        <f t="shared" si="136"/>
        <v>4.9999999999999989E-2</v>
      </c>
      <c r="R67" s="932">
        <f ca="1">IF($L$4&lt;=$B$9,$B$9,IF($L$4&lt;=$B$10,$B$10,IF($L$4&lt;=$B$11,$B$11,IF($L$4&lt;=$B$12,$B$12,IF($L$4&lt;=$B$13,$B$13,IF($L$4&lt;=$B$14,$B$14))))))</f>
        <v>44</v>
      </c>
      <c r="S67" s="377"/>
      <c r="T67" s="389">
        <v>-10</v>
      </c>
      <c r="U67" s="399">
        <f t="shared" si="137"/>
        <v>-0.94</v>
      </c>
      <c r="V67" s="291"/>
      <c r="W67" s="390">
        <f t="shared" si="138"/>
        <v>8.666666666666667E-2</v>
      </c>
      <c r="X67" s="932">
        <f ca="1">IF($L$4&lt;=$B$9,$B$9,IF($L$4&lt;=$B$10,$B$10,IF($L$4&lt;=$B$11,$B$11,IF($L$4&lt;=$B$12,$B$12,IF($L$4&lt;=$B$13,$B$13,IF($L$4&lt;=$B$14,$B$14))))))</f>
        <v>44</v>
      </c>
      <c r="Y67" s="377"/>
      <c r="Z67" s="389">
        <v>-10</v>
      </c>
      <c r="AA67" s="399">
        <f t="shared" si="139"/>
        <v>0.16</v>
      </c>
      <c r="AB67" s="291">
        <v>-0.08</v>
      </c>
      <c r="AC67" s="390">
        <f t="shared" si="140"/>
        <v>0.24</v>
      </c>
      <c r="AD67" s="932">
        <f ca="1">IF($L$4&lt;=$B$9,$B$9,IF($L$4&lt;=$B$10,$B$10,IF($L$4&lt;=$B$11,$B$11,IF($L$4&lt;=$B$12,$B$12,IF($L$4&lt;=$B$13,$B$13,IF($L$4&lt;=$B$14,$B$14))))))</f>
        <v>44</v>
      </c>
      <c r="AE67" s="377"/>
      <c r="AF67" s="389">
        <v>-10</v>
      </c>
      <c r="AG67" s="399">
        <f t="shared" si="141"/>
        <v>0.18</v>
      </c>
      <c r="AH67" s="291">
        <v>0.17</v>
      </c>
      <c r="AI67" s="390">
        <f t="shared" si="142"/>
        <v>9.9999999999999811E-3</v>
      </c>
      <c r="AJ67" s="932">
        <f ca="1">IF($L$4&lt;=$B$9,$B$9,IF($L$4&lt;=$B$10,$B$10,IF($L$4&lt;=$B$11,$B$11,IF($L$4&lt;=$B$12,$B$12,IF($L$4&lt;=$B$13,$B$13,IF($L$4&lt;=$B$14,$B$14))))))</f>
        <v>44</v>
      </c>
      <c r="AK67" s="377"/>
      <c r="AL67" s="389">
        <v>-10</v>
      </c>
      <c r="AM67" s="399">
        <f t="shared" si="143"/>
        <v>0.49</v>
      </c>
      <c r="AN67" s="291"/>
      <c r="AO67" s="390">
        <f t="shared" si="144"/>
        <v>8.3333333333333329E-2</v>
      </c>
      <c r="AP67" s="932">
        <f ca="1">IF($L$4&lt;=$B$9,$B$9,IF($L$4&lt;=$B$10,$B$10,IF($L$4&lt;=$B$11,$B$11,IF($L$4&lt;=$B$12,$B$12,IF($L$4&lt;=$B$13,$B$13,IF($L$4&lt;=$B$14,$B$14))))))</f>
        <v>44</v>
      </c>
      <c r="AQ67" s="377"/>
      <c r="AR67" s="389">
        <v>-10</v>
      </c>
      <c r="AS67" s="399">
        <f t="shared" si="145"/>
        <v>0.38</v>
      </c>
      <c r="AT67" s="291"/>
      <c r="AU67" s="390">
        <f t="shared" si="146"/>
        <v>8.3333333333333329E-2</v>
      </c>
      <c r="AV67" s="932">
        <f ca="1">IF($L$4&lt;=$B$9,$B$9,IF($L$4&lt;=$B$10,$B$10,IF($L$4&lt;=$B$11,$B$11,IF($L$4&lt;=$B$12,$B$12,IF($L$4&lt;=$B$13,$B$13,IF($L$4&lt;=$B$14,$B$14))))))</f>
        <v>44</v>
      </c>
      <c r="AW67" s="377"/>
      <c r="AX67" s="389">
        <v>-10</v>
      </c>
      <c r="AY67" s="399">
        <f t="shared" si="147"/>
        <v>0.53</v>
      </c>
      <c r="AZ67" s="291"/>
      <c r="BA67" s="390">
        <f t="shared" si="148"/>
        <v>0.26333333333333336</v>
      </c>
      <c r="BB67" s="932">
        <f ca="1">IF($L$4&lt;=$B$9,$B$9,IF($L$4&lt;=$B$10,$B$10,IF($L$4&lt;=$B$11,$B$11,IF($L$4&lt;=$B$12,$B$12,IF($L$4&lt;=$B$13,$B$13,IF($L$4&lt;=$B$14,$B$14))))))</f>
        <v>44</v>
      </c>
      <c r="BC67" s="377"/>
      <c r="BD67" s="389">
        <v>-10</v>
      </c>
      <c r="BE67" s="399">
        <f t="shared" si="149"/>
        <v>-0.51</v>
      </c>
      <c r="BF67" s="291"/>
      <c r="BG67" s="390">
        <f t="shared" si="150"/>
        <v>8.666666666666667E-2</v>
      </c>
      <c r="BH67" s="932">
        <f ca="1">IF($L$4&lt;=$B$9,$B$9,IF($L$4&lt;=$B$10,$B$10,IF($L$4&lt;=$B$11,$B$11,IF($L$4&lt;=$B$12,$B$12,IF($L$4&lt;=$B$13,$B$13,IF($L$4&lt;=$B$14,$B$14))))))</f>
        <v>44</v>
      </c>
      <c r="BI67" s="377"/>
      <c r="BJ67" s="389">
        <v>-10</v>
      </c>
      <c r="BK67" s="399">
        <f t="shared" si="151"/>
        <v>0.53</v>
      </c>
      <c r="BL67" s="291"/>
      <c r="BM67" s="390">
        <f t="shared" si="152"/>
        <v>0.26333333333333336</v>
      </c>
      <c r="BN67" s="932">
        <f ca="1">IF($L$4&lt;=$B$9,$B$9,IF($L$4&lt;=$B$10,$B$10,IF($L$4&lt;=$B$11,$B$11,IF($L$4&lt;=$B$12,$B$12,IF($L$4&lt;=$B$13,$B$13,IF($L$4&lt;=$B$14,$B$14))))))</f>
        <v>44</v>
      </c>
      <c r="BO67" s="377"/>
      <c r="BP67" s="389">
        <v>-10</v>
      </c>
      <c r="BQ67" s="399">
        <f t="shared" si="153"/>
        <v>-0.84</v>
      </c>
      <c r="BR67" s="291"/>
      <c r="BS67" s="390">
        <f t="shared" si="154"/>
        <v>8.666666666666667E-2</v>
      </c>
      <c r="BT67" s="932">
        <f ca="1">IF($L$4&lt;=$B$9,$B$9,IF($L$4&lt;=$B$10,$B$10,IF($L$4&lt;=$B$11,$B$11,IF($L$4&lt;=$B$12,$B$12,IF($L$4&lt;=$B$13,$B$13,IF($L$4&lt;=$B$14,$B$14))))))</f>
        <v>44</v>
      </c>
      <c r="BU67" s="377"/>
      <c r="BV67" s="389">
        <v>-10</v>
      </c>
      <c r="BW67" s="399">
        <f t="shared" si="155"/>
        <v>-0.91</v>
      </c>
      <c r="BX67" s="291"/>
      <c r="BY67" s="390">
        <f t="shared" si="156"/>
        <v>8.3333333333333329E-2</v>
      </c>
      <c r="BZ67" s="932">
        <f ca="1">IF($L$4&lt;=$B$9,$B$9,IF($L$4&lt;=$B$10,$B$10,IF($L$4&lt;=$B$11,$B$11,IF($L$4&lt;=$B$12,$B$12,IF($L$4&lt;=$B$13,$B$13,IF($L$4&lt;=$B$14,$B$14))))))</f>
        <v>44</v>
      </c>
      <c r="CA67" s="377"/>
      <c r="CB67" s="389">
        <v>-10</v>
      </c>
      <c r="CC67" s="399">
        <f t="shared" si="157"/>
        <v>-1.2</v>
      </c>
      <c r="CD67" s="291">
        <f t="shared" ref="CD67:CD76" si="162">CD82</f>
        <v>-0.7</v>
      </c>
      <c r="CE67" s="390">
        <f t="shared" si="158"/>
        <v>0.5</v>
      </c>
      <c r="CF67" s="932">
        <f ca="1">IF($L$4&lt;=$B$9,$B$9,IF($L$4&lt;=$B$10,$B$10,IF($L$4&lt;=$B$11,$B$11,IF($L$4&lt;=$B$12,$B$12,IF($L$4&lt;=$B$13,$B$13,IF($L$4&lt;=$B$14,$B$14))))))</f>
        <v>44</v>
      </c>
      <c r="CH67" s="389">
        <v>-10</v>
      </c>
      <c r="CI67" s="399">
        <f t="shared" si="159"/>
        <v>-0.05</v>
      </c>
      <c r="CJ67" s="291">
        <f t="shared" si="159"/>
        <v>-0.18</v>
      </c>
      <c r="CK67" s="390">
        <f t="shared" si="159"/>
        <v>0.13</v>
      </c>
      <c r="CL67" s="932">
        <f ca="1">IF($L$4&lt;=$B$9,$B$9,IF($L$4&lt;=$B$10,$B$10,IF($L$4&lt;=$B$11,$B$11,IF($L$4&lt;=$B$12,$B$12,IF($L$4&lt;=$B$13,$B$13,IF($L$4&lt;=$B$14,$B$14))))))</f>
        <v>44</v>
      </c>
      <c r="CN67" s="389">
        <v>-10</v>
      </c>
      <c r="CO67" s="399">
        <f t="shared" si="160"/>
        <v>-1.26</v>
      </c>
      <c r="CP67" s="291">
        <f t="shared" si="160"/>
        <v>-0.28000000000000003</v>
      </c>
      <c r="CQ67" s="390">
        <f t="shared" si="160"/>
        <v>0.98</v>
      </c>
      <c r="CR67" s="932">
        <f ca="1">IF($L$4&lt;=$B$9,$B$9,IF($L$4&lt;=$B$10,$B$10,IF($L$4&lt;=$B$11,$B$11,IF($L$4&lt;=$B$12,$B$12,IF($L$4&lt;=$B$13,$B$13,IF($L$4&lt;=$B$14,$B$14))))))</f>
        <v>44</v>
      </c>
    </row>
    <row r="68" spans="2:96" ht="13">
      <c r="B68" s="389">
        <v>9.9999999999999995E-7</v>
      </c>
      <c r="C68" s="399">
        <v>-0.19</v>
      </c>
      <c r="D68" s="399">
        <f t="shared" si="132"/>
        <v>-0.34</v>
      </c>
      <c r="E68" s="390">
        <f t="shared" si="161"/>
        <v>0.15000000000000002</v>
      </c>
      <c r="F68" s="391"/>
      <c r="G68" s="392"/>
      <c r="H68" s="389">
        <v>9.9999999999999995E-7</v>
      </c>
      <c r="I68" s="291">
        <v>-0.2</v>
      </c>
      <c r="J68" s="291">
        <f t="shared" si="133"/>
        <v>-0.22</v>
      </c>
      <c r="K68" s="390">
        <f t="shared" si="134"/>
        <v>1.999999999999999E-2</v>
      </c>
      <c r="L68" s="391"/>
      <c r="M68" s="392"/>
      <c r="N68" s="389">
        <v>9.9999999999999995E-7</v>
      </c>
      <c r="O68" s="399">
        <v>-0.28999999999999998</v>
      </c>
      <c r="P68" s="291">
        <f t="shared" si="135"/>
        <v>-0.16</v>
      </c>
      <c r="Q68" s="390">
        <f t="shared" si="136"/>
        <v>0.12999999999999998</v>
      </c>
      <c r="R68" s="391"/>
      <c r="S68" s="377"/>
      <c r="T68" s="389">
        <v>9.9999999999999995E-7</v>
      </c>
      <c r="U68" s="399">
        <f t="shared" si="137"/>
        <v>-0.3</v>
      </c>
      <c r="V68" s="291"/>
      <c r="W68" s="390">
        <f t="shared" si="138"/>
        <v>8.666666666666667E-2</v>
      </c>
      <c r="X68" s="391"/>
      <c r="Y68" s="377"/>
      <c r="Z68" s="389">
        <v>9.9999999999999995E-7</v>
      </c>
      <c r="AA68" s="399">
        <f t="shared" si="139"/>
        <v>0.14000000000000001</v>
      </c>
      <c r="AB68" s="291">
        <v>-0.04</v>
      </c>
      <c r="AC68" s="390">
        <f t="shared" si="140"/>
        <v>0.18000000000000002</v>
      </c>
      <c r="AD68" s="391"/>
      <c r="AE68" s="377"/>
      <c r="AF68" s="389">
        <v>9.9999999999999995E-7</v>
      </c>
      <c r="AG68" s="399">
        <f t="shared" si="141"/>
        <v>0.16</v>
      </c>
      <c r="AH68" s="291">
        <v>0.34</v>
      </c>
      <c r="AI68" s="390">
        <f t="shared" si="142"/>
        <v>0.18000000000000002</v>
      </c>
      <c r="AJ68" s="391"/>
      <c r="AK68" s="377"/>
      <c r="AL68" s="389">
        <v>9.9999999999999995E-7</v>
      </c>
      <c r="AM68" s="399">
        <f t="shared" si="143"/>
        <v>0.43</v>
      </c>
      <c r="AN68" s="291"/>
      <c r="AO68" s="390">
        <f t="shared" si="144"/>
        <v>8.3333333333333329E-2</v>
      </c>
      <c r="AP68" s="391"/>
      <c r="AQ68" s="377"/>
      <c r="AR68" s="389">
        <v>9.9999999999999995E-7</v>
      </c>
      <c r="AS68" s="399">
        <f t="shared" si="145"/>
        <v>0.39</v>
      </c>
      <c r="AT68" s="291"/>
      <c r="AU68" s="390">
        <f t="shared" si="146"/>
        <v>8.3333333333333329E-2</v>
      </c>
      <c r="AV68" s="391"/>
      <c r="AW68" s="377"/>
      <c r="AX68" s="389">
        <v>9.9999999999999995E-7</v>
      </c>
      <c r="AY68" s="399">
        <f t="shared" si="147"/>
        <v>0.51</v>
      </c>
      <c r="AZ68" s="291"/>
      <c r="BA68" s="390">
        <f t="shared" si="148"/>
        <v>0.26333333333333336</v>
      </c>
      <c r="BB68" s="391"/>
      <c r="BC68" s="377"/>
      <c r="BD68" s="389">
        <v>9.9999999999999995E-7</v>
      </c>
      <c r="BE68" s="399">
        <f t="shared" si="149"/>
        <v>-0.27</v>
      </c>
      <c r="BF68" s="291"/>
      <c r="BG68" s="390">
        <f t="shared" si="150"/>
        <v>8.666666666666667E-2</v>
      </c>
      <c r="BH68" s="391"/>
      <c r="BI68" s="377"/>
      <c r="BJ68" s="389">
        <v>9.9999999999999995E-7</v>
      </c>
      <c r="BK68" s="399">
        <f t="shared" si="151"/>
        <v>0.51</v>
      </c>
      <c r="BL68" s="291"/>
      <c r="BM68" s="390">
        <f t="shared" si="152"/>
        <v>0.26333333333333336</v>
      </c>
      <c r="BN68" s="391"/>
      <c r="BO68" s="377"/>
      <c r="BP68" s="389">
        <v>9.9999999999999995E-7</v>
      </c>
      <c r="BQ68" s="399">
        <f t="shared" si="153"/>
        <v>-0.56999999999999995</v>
      </c>
      <c r="BR68" s="291"/>
      <c r="BS68" s="390">
        <f t="shared" si="154"/>
        <v>8.666666666666667E-2</v>
      </c>
      <c r="BT68" s="391"/>
      <c r="BU68" s="377"/>
      <c r="BV68" s="389">
        <v>9.9999999999999995E-7</v>
      </c>
      <c r="BW68" s="399">
        <f t="shared" si="155"/>
        <v>-0.51</v>
      </c>
      <c r="BX68" s="291"/>
      <c r="BY68" s="390">
        <f t="shared" si="156"/>
        <v>8.3333333333333329E-2</v>
      </c>
      <c r="BZ68" s="391"/>
      <c r="CA68" s="377"/>
      <c r="CB68" s="389">
        <v>9.9999999999999995E-7</v>
      </c>
      <c r="CC68" s="399">
        <f t="shared" si="157"/>
        <v>-1.4</v>
      </c>
      <c r="CD68" s="291">
        <f t="shared" si="162"/>
        <v>-0.7</v>
      </c>
      <c r="CE68" s="390">
        <f t="shared" si="158"/>
        <v>0.7</v>
      </c>
      <c r="CF68" s="391"/>
      <c r="CH68" s="389">
        <v>9.9999999999999995E-7</v>
      </c>
      <c r="CI68" s="399">
        <f t="shared" si="159"/>
        <v>0.03</v>
      </c>
      <c r="CJ68" s="291">
        <f t="shared" si="159"/>
        <v>-0.06</v>
      </c>
      <c r="CK68" s="390">
        <f t="shared" si="159"/>
        <v>0.09</v>
      </c>
      <c r="CL68" s="391"/>
      <c r="CN68" s="389">
        <v>9.9999999999999995E-7</v>
      </c>
      <c r="CO68" s="399">
        <f t="shared" si="160"/>
        <v>-0.79</v>
      </c>
      <c r="CP68" s="291">
        <f t="shared" si="160"/>
        <v>-0.08</v>
      </c>
      <c r="CQ68" s="390">
        <f t="shared" si="160"/>
        <v>0.71000000000000008</v>
      </c>
      <c r="CR68" s="391"/>
    </row>
    <row r="69" spans="2:96" ht="13">
      <c r="B69" s="389">
        <v>2</v>
      </c>
      <c r="C69" s="399">
        <v>-0.17</v>
      </c>
      <c r="D69" s="399">
        <f t="shared" si="132"/>
        <v>-0.31</v>
      </c>
      <c r="E69" s="390">
        <f t="shared" si="161"/>
        <v>0.13999999999999999</v>
      </c>
      <c r="F69" s="933">
        <f ca="1">VLOOKUP(F65,B69:E74,4)</f>
        <v>0.06</v>
      </c>
      <c r="G69" s="392"/>
      <c r="H69" s="389">
        <v>2</v>
      </c>
      <c r="I69" s="291">
        <v>-0.17</v>
      </c>
      <c r="J69" s="291">
        <f t="shared" si="133"/>
        <v>-0.19</v>
      </c>
      <c r="K69" s="390">
        <f t="shared" si="134"/>
        <v>1.999999999999999E-2</v>
      </c>
      <c r="L69" s="933">
        <f ca="1">VLOOKUP(L65,H69:K74,4)</f>
        <v>9.9999999999999811E-3</v>
      </c>
      <c r="M69" s="392"/>
      <c r="N69" s="389">
        <v>2</v>
      </c>
      <c r="O69" s="399">
        <v>-0.27</v>
      </c>
      <c r="P69" s="291">
        <f t="shared" si="135"/>
        <v>-0.14000000000000001</v>
      </c>
      <c r="Q69" s="390">
        <f t="shared" si="136"/>
        <v>0.13</v>
      </c>
      <c r="R69" s="933">
        <f ca="1">VLOOKUP(R65,N69:Q74,4)</f>
        <v>0.15</v>
      </c>
      <c r="S69" s="377"/>
      <c r="T69" s="389">
        <v>2</v>
      </c>
      <c r="U69" s="399">
        <f t="shared" si="137"/>
        <v>-0.62</v>
      </c>
      <c r="V69" s="291"/>
      <c r="W69" s="390">
        <f t="shared" si="138"/>
        <v>8.666666666666667E-2</v>
      </c>
      <c r="X69" s="933">
        <f ca="1">VLOOKUP(X65,T69:W74,4)</f>
        <v>8.666666666666667E-2</v>
      </c>
      <c r="Y69" s="377"/>
      <c r="Z69" s="389">
        <v>2</v>
      </c>
      <c r="AA69" s="399">
        <f t="shared" si="139"/>
        <v>0.16</v>
      </c>
      <c r="AB69" s="291">
        <v>0.08</v>
      </c>
      <c r="AC69" s="390">
        <f t="shared" si="140"/>
        <v>0.08</v>
      </c>
      <c r="AD69" s="933">
        <f ca="1">VLOOKUP(AD65,Z69:AC74,4)</f>
        <v>0.38</v>
      </c>
      <c r="AE69" s="377"/>
      <c r="AF69" s="389">
        <v>2</v>
      </c>
      <c r="AG69" s="399">
        <f t="shared" si="141"/>
        <v>0.18</v>
      </c>
      <c r="AH69" s="291">
        <v>0.37</v>
      </c>
      <c r="AI69" s="390">
        <f t="shared" si="142"/>
        <v>0.19</v>
      </c>
      <c r="AJ69" s="933">
        <f ca="1">VLOOKUP(AJ65,AF69:AI74,4)</f>
        <v>0.51</v>
      </c>
      <c r="AK69" s="377"/>
      <c r="AL69" s="389">
        <v>2</v>
      </c>
      <c r="AM69" s="399">
        <f t="shared" si="143"/>
        <v>0.46</v>
      </c>
      <c r="AN69" s="291"/>
      <c r="AO69" s="390">
        <f t="shared" si="144"/>
        <v>8.3333333333333329E-2</v>
      </c>
      <c r="AP69" s="933">
        <f ca="1">VLOOKUP(AP65,AL69:AO74,4)</f>
        <v>8.3333333333333329E-2</v>
      </c>
      <c r="AQ69" s="377"/>
      <c r="AR69" s="389">
        <v>2</v>
      </c>
      <c r="AS69" s="399">
        <f t="shared" si="145"/>
        <v>0.38</v>
      </c>
      <c r="AT69" s="291"/>
      <c r="AU69" s="390">
        <f t="shared" si="146"/>
        <v>8.3333333333333329E-2</v>
      </c>
      <c r="AV69" s="933">
        <f ca="1">VLOOKUP(AV65,AR69:AU74,4)</f>
        <v>8.3333333333333329E-2</v>
      </c>
      <c r="AW69" s="377"/>
      <c r="AX69" s="389">
        <v>2</v>
      </c>
      <c r="AY69" s="399">
        <f t="shared" si="147"/>
        <v>0.5</v>
      </c>
      <c r="AZ69" s="291"/>
      <c r="BA69" s="390">
        <f t="shared" si="148"/>
        <v>0.26333333333333336</v>
      </c>
      <c r="BB69" s="933">
        <f ca="1">VLOOKUP(BB65,AX69:BA74,4)</f>
        <v>0.26333333333333336</v>
      </c>
      <c r="BC69" s="377"/>
      <c r="BD69" s="389">
        <v>2</v>
      </c>
      <c r="BE69" s="399">
        <f t="shared" si="149"/>
        <v>-0.3</v>
      </c>
      <c r="BF69" s="291"/>
      <c r="BG69" s="390">
        <f t="shared" si="150"/>
        <v>8.666666666666667E-2</v>
      </c>
      <c r="BH69" s="933">
        <f ca="1">VLOOKUP(BH65,BD69:BG74,4)</f>
        <v>8.666666666666667E-2</v>
      </c>
      <c r="BI69" s="377"/>
      <c r="BJ69" s="389">
        <v>2</v>
      </c>
      <c r="BK69" s="399">
        <f t="shared" si="151"/>
        <v>0.5</v>
      </c>
      <c r="BL69" s="291"/>
      <c r="BM69" s="390">
        <f t="shared" si="152"/>
        <v>0.26333333333333336</v>
      </c>
      <c r="BN69" s="933">
        <f ca="1">VLOOKUP(BN65,BJ69:BM74,4)</f>
        <v>0.26333333333333336</v>
      </c>
      <c r="BO69" s="377"/>
      <c r="BP69" s="389">
        <v>2</v>
      </c>
      <c r="BQ69" s="399">
        <f t="shared" si="153"/>
        <v>-0.56000000000000005</v>
      </c>
      <c r="BR69" s="291"/>
      <c r="BS69" s="390">
        <f t="shared" si="154"/>
        <v>8.666666666666667E-2</v>
      </c>
      <c r="BT69" s="933">
        <f ca="1">VLOOKUP(BT65,BP69:BS74,4)</f>
        <v>8.666666666666667E-2</v>
      </c>
      <c r="BU69" s="377"/>
      <c r="BV69" s="389">
        <v>2</v>
      </c>
      <c r="BW69" s="399">
        <f t="shared" si="155"/>
        <v>-0.56999999999999995</v>
      </c>
      <c r="BX69" s="291"/>
      <c r="BY69" s="390">
        <f t="shared" si="156"/>
        <v>8.3333333333333329E-2</v>
      </c>
      <c r="BZ69" s="933">
        <f ca="1">VLOOKUP(BZ65,BV69:BY74,4)</f>
        <v>8.3333333333333329E-2</v>
      </c>
      <c r="CA69" s="377"/>
      <c r="CB69" s="389">
        <v>2</v>
      </c>
      <c r="CC69" s="399">
        <f t="shared" si="157"/>
        <v>0</v>
      </c>
      <c r="CD69" s="291">
        <f t="shared" si="162"/>
        <v>-0.7</v>
      </c>
      <c r="CE69" s="390">
        <f t="shared" si="158"/>
        <v>0.19999999999999998</v>
      </c>
      <c r="CF69" s="933">
        <f ca="1">VLOOKUP(CF65,CB69:CE74,4)</f>
        <v>0.19999999999999998</v>
      </c>
      <c r="CH69" s="389">
        <v>2</v>
      </c>
      <c r="CI69" s="399">
        <f t="shared" si="159"/>
        <v>0.04</v>
      </c>
      <c r="CJ69" s="291">
        <f t="shared" si="159"/>
        <v>-0.04</v>
      </c>
      <c r="CK69" s="390">
        <f t="shared" si="159"/>
        <v>0.08</v>
      </c>
      <c r="CL69" s="933">
        <f ca="1">VLOOKUP(CL65,CH69:CK74,4)</f>
        <v>4.0000000000000008E-2</v>
      </c>
      <c r="CN69" s="389">
        <v>2</v>
      </c>
      <c r="CO69" s="399">
        <f t="shared" si="160"/>
        <v>-0.7</v>
      </c>
      <c r="CP69" s="291">
        <f t="shared" si="160"/>
        <v>-0.05</v>
      </c>
      <c r="CQ69" s="390">
        <f t="shared" si="160"/>
        <v>0.64999999999999991</v>
      </c>
      <c r="CR69" s="933">
        <f ca="1">VLOOKUP(CR65,CN69:CQ74,4)</f>
        <v>3.0000000000000027E-2</v>
      </c>
    </row>
    <row r="70" spans="2:96" ht="13">
      <c r="B70" s="389">
        <v>8</v>
      </c>
      <c r="C70" s="399">
        <v>-0.11</v>
      </c>
      <c r="D70" s="399">
        <f t="shared" si="132"/>
        <v>-0.23</v>
      </c>
      <c r="E70" s="390">
        <f t="shared" si="161"/>
        <v>0.12000000000000001</v>
      </c>
      <c r="F70" s="391"/>
      <c r="G70" s="392"/>
      <c r="H70" s="389">
        <v>8</v>
      </c>
      <c r="I70" s="291">
        <v>-0.08</v>
      </c>
      <c r="J70" s="291">
        <f t="shared" si="133"/>
        <v>-0.12</v>
      </c>
      <c r="K70" s="390">
        <f t="shared" si="134"/>
        <v>3.9999999999999994E-2</v>
      </c>
      <c r="L70" s="391"/>
      <c r="M70" s="392"/>
      <c r="N70" s="389">
        <v>8</v>
      </c>
      <c r="O70" s="399">
        <v>-0.16</v>
      </c>
      <c r="P70" s="291">
        <f t="shared" si="135"/>
        <v>-0.09</v>
      </c>
      <c r="Q70" s="390">
        <f t="shared" si="136"/>
        <v>7.0000000000000007E-2</v>
      </c>
      <c r="R70" s="391"/>
      <c r="S70" s="377"/>
      <c r="T70" s="389">
        <v>8</v>
      </c>
      <c r="U70" s="399">
        <f t="shared" si="137"/>
        <v>-0.34</v>
      </c>
      <c r="V70" s="291"/>
      <c r="W70" s="390">
        <f t="shared" si="138"/>
        <v>8.666666666666667E-2</v>
      </c>
      <c r="X70" s="391"/>
      <c r="Y70" s="377"/>
      <c r="Z70" s="389">
        <v>8</v>
      </c>
      <c r="AA70" s="399">
        <f t="shared" si="139"/>
        <v>0.15</v>
      </c>
      <c r="AB70" s="291">
        <v>0.47</v>
      </c>
      <c r="AC70" s="390">
        <f t="shared" si="140"/>
        <v>0.31999999999999995</v>
      </c>
      <c r="AD70" s="391"/>
      <c r="AE70" s="377"/>
      <c r="AF70" s="389">
        <v>8</v>
      </c>
      <c r="AG70" s="399">
        <f t="shared" si="141"/>
        <v>0.17</v>
      </c>
      <c r="AH70" s="291">
        <v>0.45</v>
      </c>
      <c r="AI70" s="390">
        <f t="shared" si="142"/>
        <v>0.28000000000000003</v>
      </c>
      <c r="AJ70" s="391"/>
      <c r="AK70" s="377"/>
      <c r="AL70" s="389">
        <v>8</v>
      </c>
      <c r="AM70" s="399">
        <f t="shared" si="143"/>
        <v>0.45</v>
      </c>
      <c r="AN70" s="291"/>
      <c r="AO70" s="390">
        <f t="shared" si="144"/>
        <v>8.3333333333333329E-2</v>
      </c>
      <c r="AP70" s="391"/>
      <c r="AQ70" s="377"/>
      <c r="AR70" s="389">
        <v>8</v>
      </c>
      <c r="AS70" s="399">
        <f t="shared" si="145"/>
        <v>0.37</v>
      </c>
      <c r="AT70" s="291"/>
      <c r="AU70" s="390">
        <f t="shared" si="146"/>
        <v>8.3333333333333329E-2</v>
      </c>
      <c r="AV70" s="391"/>
      <c r="AW70" s="377"/>
      <c r="AX70" s="389">
        <v>8</v>
      </c>
      <c r="AY70" s="399">
        <f t="shared" si="147"/>
        <v>0.49</v>
      </c>
      <c r="AZ70" s="291"/>
      <c r="BA70" s="390">
        <f t="shared" si="148"/>
        <v>0.26333333333333336</v>
      </c>
      <c r="BB70" s="391"/>
      <c r="BC70" s="377"/>
      <c r="BD70" s="389">
        <v>8</v>
      </c>
      <c r="BE70" s="399">
        <f t="shared" si="149"/>
        <v>-0.06</v>
      </c>
      <c r="BF70" s="291"/>
      <c r="BG70" s="390">
        <f t="shared" si="150"/>
        <v>8.666666666666667E-2</v>
      </c>
      <c r="BH70" s="391"/>
      <c r="BI70" s="377"/>
      <c r="BJ70" s="389">
        <v>8</v>
      </c>
      <c r="BK70" s="399">
        <f t="shared" si="151"/>
        <v>0.49</v>
      </c>
      <c r="BL70" s="291"/>
      <c r="BM70" s="390">
        <f t="shared" si="152"/>
        <v>0.26333333333333336</v>
      </c>
      <c r="BN70" s="391"/>
      <c r="BO70" s="377"/>
      <c r="BP70" s="389">
        <v>8</v>
      </c>
      <c r="BQ70" s="399">
        <f t="shared" si="153"/>
        <v>-0.3</v>
      </c>
      <c r="BR70" s="291"/>
      <c r="BS70" s="390">
        <f t="shared" si="154"/>
        <v>8.666666666666667E-2</v>
      </c>
      <c r="BT70" s="391"/>
      <c r="BU70" s="377"/>
      <c r="BV70" s="389">
        <v>8</v>
      </c>
      <c r="BW70" s="399">
        <f t="shared" si="155"/>
        <v>-0.31</v>
      </c>
      <c r="BX70" s="291"/>
      <c r="BY70" s="390">
        <f t="shared" si="156"/>
        <v>8.3333333333333329E-2</v>
      </c>
      <c r="BZ70" s="391"/>
      <c r="CA70" s="377"/>
      <c r="CB70" s="389">
        <v>8</v>
      </c>
      <c r="CC70" s="399">
        <f t="shared" si="157"/>
        <v>0</v>
      </c>
      <c r="CD70" s="291">
        <f t="shared" si="162"/>
        <v>-0.7</v>
      </c>
      <c r="CE70" s="390">
        <f t="shared" si="158"/>
        <v>0.19999999999999998</v>
      </c>
      <c r="CF70" s="391"/>
      <c r="CH70" s="389">
        <v>8</v>
      </c>
      <c r="CI70" s="399">
        <f t="shared" si="159"/>
        <v>0.08</v>
      </c>
      <c r="CJ70" s="291">
        <f t="shared" si="159"/>
        <v>0.01</v>
      </c>
      <c r="CK70" s="390">
        <f t="shared" si="159"/>
        <v>7.0000000000000007E-2</v>
      </c>
      <c r="CL70" s="391"/>
      <c r="CN70" s="389">
        <v>8</v>
      </c>
      <c r="CO70" s="399">
        <f t="shared" si="160"/>
        <v>-0.46</v>
      </c>
      <c r="CP70" s="291">
        <f t="shared" si="160"/>
        <v>0.06</v>
      </c>
      <c r="CQ70" s="390">
        <f t="shared" si="160"/>
        <v>0.52</v>
      </c>
      <c r="CR70" s="391"/>
    </row>
    <row r="71" spans="2:96" ht="13">
      <c r="B71" s="389">
        <v>37</v>
      </c>
      <c r="C71" s="399">
        <v>0.09</v>
      </c>
      <c r="D71" s="399">
        <f t="shared" si="132"/>
        <v>0.15</v>
      </c>
      <c r="E71" s="390">
        <f t="shared" si="161"/>
        <v>0.06</v>
      </c>
      <c r="F71" s="933">
        <f ca="1">VLOOKUP(F67,B69:E74,4)</f>
        <v>0.12</v>
      </c>
      <c r="G71" s="392"/>
      <c r="H71" s="389">
        <v>37</v>
      </c>
      <c r="I71" s="291">
        <v>0.17</v>
      </c>
      <c r="J71" s="291">
        <f t="shared" si="133"/>
        <v>0.18</v>
      </c>
      <c r="K71" s="390">
        <f t="shared" si="134"/>
        <v>9.9999999999999811E-3</v>
      </c>
      <c r="L71" s="933">
        <f ca="1">VLOOKUP(L67,H69:K74,4)</f>
        <v>0.06</v>
      </c>
      <c r="M71" s="392"/>
      <c r="N71" s="389">
        <v>37</v>
      </c>
      <c r="O71" s="399">
        <v>-0.13</v>
      </c>
      <c r="P71" s="291">
        <f t="shared" si="135"/>
        <v>0.02</v>
      </c>
      <c r="Q71" s="390">
        <f t="shared" si="136"/>
        <v>0.15</v>
      </c>
      <c r="R71" s="933">
        <f ca="1">VLOOKUP(R67,N69:Q74,4)</f>
        <v>0.21</v>
      </c>
      <c r="S71" s="377"/>
      <c r="T71" s="389">
        <v>37</v>
      </c>
      <c r="U71" s="399">
        <f t="shared" si="137"/>
        <v>0.56000000000000005</v>
      </c>
      <c r="V71" s="291"/>
      <c r="W71" s="390">
        <f t="shared" si="138"/>
        <v>8.666666666666667E-2</v>
      </c>
      <c r="X71" s="933">
        <f ca="1">VLOOKUP(X67,T69:W74,4)</f>
        <v>8.666666666666667E-2</v>
      </c>
      <c r="Y71" s="377"/>
      <c r="Z71" s="389">
        <v>37</v>
      </c>
      <c r="AA71" s="399">
        <f t="shared" si="139"/>
        <v>0.15</v>
      </c>
      <c r="AB71" s="291">
        <v>0.53</v>
      </c>
      <c r="AC71" s="390">
        <f t="shared" si="140"/>
        <v>0.38</v>
      </c>
      <c r="AD71" s="933">
        <f ca="1">VLOOKUP(AD67,Z69:AC74,4)</f>
        <v>0.40999999999999992</v>
      </c>
      <c r="AE71" s="377"/>
      <c r="AF71" s="389">
        <v>37</v>
      </c>
      <c r="AG71" s="399">
        <f t="shared" si="141"/>
        <v>0.17</v>
      </c>
      <c r="AH71" s="291">
        <v>0.68</v>
      </c>
      <c r="AI71" s="390">
        <f t="shared" si="142"/>
        <v>0.51</v>
      </c>
      <c r="AJ71" s="933">
        <f ca="1">VLOOKUP(AJ67,AF69:AI74,4)</f>
        <v>0.53999999999999992</v>
      </c>
      <c r="AK71" s="377"/>
      <c r="AL71" s="389">
        <v>37</v>
      </c>
      <c r="AM71" s="399">
        <f t="shared" si="143"/>
        <v>0.43</v>
      </c>
      <c r="AN71" s="291"/>
      <c r="AO71" s="390">
        <f t="shared" si="144"/>
        <v>8.3333333333333329E-2</v>
      </c>
      <c r="AP71" s="933">
        <f ca="1">VLOOKUP(AP67,AL69:AO74,4)</f>
        <v>8.3333333333333329E-2</v>
      </c>
      <c r="AQ71" s="377"/>
      <c r="AR71" s="389">
        <v>37</v>
      </c>
      <c r="AS71" s="399">
        <f t="shared" si="145"/>
        <v>0.33</v>
      </c>
      <c r="AT71" s="291"/>
      <c r="AU71" s="390">
        <f t="shared" si="146"/>
        <v>8.3333333333333329E-2</v>
      </c>
      <c r="AV71" s="933">
        <f ca="1">VLOOKUP(AV67,AR69:AU74,4)</f>
        <v>8.3333333333333329E-2</v>
      </c>
      <c r="AW71" s="377"/>
      <c r="AX71" s="389">
        <v>37</v>
      </c>
      <c r="AY71" s="399">
        <f t="shared" si="147"/>
        <v>0.42</v>
      </c>
      <c r="AZ71" s="291"/>
      <c r="BA71" s="390">
        <f t="shared" si="148"/>
        <v>0.26333333333333336</v>
      </c>
      <c r="BB71" s="933">
        <f ca="1">VLOOKUP(BB67,AX69:BA74,4)</f>
        <v>0.26333333333333336</v>
      </c>
      <c r="BC71" s="377"/>
      <c r="BD71" s="389">
        <v>37</v>
      </c>
      <c r="BE71" s="399">
        <f t="shared" si="149"/>
        <v>0.69</v>
      </c>
      <c r="BF71" s="291"/>
      <c r="BG71" s="390">
        <f t="shared" si="150"/>
        <v>8.666666666666667E-2</v>
      </c>
      <c r="BH71" s="933">
        <f ca="1">VLOOKUP(BH67,BD69:BG74,4)</f>
        <v>8.666666666666667E-2</v>
      </c>
      <c r="BI71" s="377"/>
      <c r="BJ71" s="389">
        <v>37</v>
      </c>
      <c r="BK71" s="399">
        <f t="shared" si="151"/>
        <v>0.42</v>
      </c>
      <c r="BL71" s="291"/>
      <c r="BM71" s="390">
        <f t="shared" si="152"/>
        <v>0.26333333333333336</v>
      </c>
      <c r="BN71" s="933">
        <f ca="1">VLOOKUP(BN67,BJ69:BM74,4)</f>
        <v>0.26333333333333336</v>
      </c>
      <c r="BO71" s="377"/>
      <c r="BP71" s="389">
        <v>37</v>
      </c>
      <c r="BQ71" s="399">
        <f t="shared" si="153"/>
        <v>0.47</v>
      </c>
      <c r="BR71" s="291"/>
      <c r="BS71" s="390">
        <f t="shared" si="154"/>
        <v>8.666666666666667E-2</v>
      </c>
      <c r="BT71" s="933">
        <f ca="1">VLOOKUP(BT67,BP69:BS74,4)</f>
        <v>8.666666666666667E-2</v>
      </c>
      <c r="BU71" s="377"/>
      <c r="BV71" s="389">
        <v>37</v>
      </c>
      <c r="BW71" s="399">
        <f t="shared" si="155"/>
        <v>0.55000000000000004</v>
      </c>
      <c r="BX71" s="291"/>
      <c r="BY71" s="390">
        <f t="shared" si="156"/>
        <v>8.3333333333333329E-2</v>
      </c>
      <c r="BZ71" s="933">
        <f ca="1">VLOOKUP(BZ67,BV69:BY74,4)</f>
        <v>8.3333333333333329E-2</v>
      </c>
      <c r="CA71" s="377"/>
      <c r="CB71" s="389">
        <v>37</v>
      </c>
      <c r="CC71" s="399">
        <f t="shared" si="157"/>
        <v>0</v>
      </c>
      <c r="CD71" s="291">
        <f t="shared" si="162"/>
        <v>-0.6</v>
      </c>
      <c r="CE71" s="390">
        <f t="shared" si="158"/>
        <v>0.19999999999999998</v>
      </c>
      <c r="CF71" s="933">
        <f ca="1">VLOOKUP(CF67,CB69:CE74,4)</f>
        <v>0.19999999999999998</v>
      </c>
      <c r="CH71" s="389">
        <v>37</v>
      </c>
      <c r="CI71" s="399">
        <f t="shared" si="159"/>
        <v>0.23</v>
      </c>
      <c r="CJ71" s="291">
        <f t="shared" si="159"/>
        <v>0.19</v>
      </c>
      <c r="CK71" s="390">
        <f t="shared" si="159"/>
        <v>4.0000000000000008E-2</v>
      </c>
      <c r="CL71" s="933">
        <f ca="1">VLOOKUP(CL67,CH69:CK74,4)</f>
        <v>4.0000000000000008E-2</v>
      </c>
      <c r="CN71" s="389">
        <v>37</v>
      </c>
      <c r="CO71" s="399">
        <f t="shared" si="160"/>
        <v>0.42</v>
      </c>
      <c r="CP71" s="291">
        <f t="shared" si="160"/>
        <v>0.45</v>
      </c>
      <c r="CQ71" s="390">
        <f t="shared" si="160"/>
        <v>3.0000000000000027E-2</v>
      </c>
      <c r="CR71" s="933">
        <f ca="1">VLOOKUP(CR67,CN69:CQ74,4)</f>
        <v>4.9999999999999933E-2</v>
      </c>
    </row>
    <row r="72" spans="2:96" ht="13">
      <c r="B72" s="389">
        <v>44</v>
      </c>
      <c r="C72" s="399">
        <v>0.12</v>
      </c>
      <c r="D72" s="399">
        <f t="shared" si="132"/>
        <v>0.24</v>
      </c>
      <c r="E72" s="390">
        <f t="shared" si="161"/>
        <v>0.12</v>
      </c>
      <c r="F72" s="934"/>
      <c r="G72" s="392"/>
      <c r="H72" s="389">
        <v>44</v>
      </c>
      <c r="I72" s="291">
        <v>0.19</v>
      </c>
      <c r="J72" s="291">
        <f t="shared" si="133"/>
        <v>0.25</v>
      </c>
      <c r="K72" s="390">
        <f t="shared" si="134"/>
        <v>0.06</v>
      </c>
      <c r="L72" s="934"/>
      <c r="M72" s="392"/>
      <c r="N72" s="389">
        <v>44</v>
      </c>
      <c r="O72" s="399">
        <v>-0.18</v>
      </c>
      <c r="P72" s="291">
        <f t="shared" si="135"/>
        <v>0.03</v>
      </c>
      <c r="Q72" s="390">
        <f t="shared" si="136"/>
        <v>0.21</v>
      </c>
      <c r="R72" s="934"/>
      <c r="S72" s="377"/>
      <c r="T72" s="389">
        <v>44</v>
      </c>
      <c r="U72" s="399">
        <f t="shared" si="137"/>
        <v>0.69</v>
      </c>
      <c r="V72" s="291"/>
      <c r="W72" s="390">
        <f t="shared" si="138"/>
        <v>8.666666666666667E-2</v>
      </c>
      <c r="X72" s="934"/>
      <c r="Y72" s="377"/>
      <c r="Z72" s="389">
        <v>44</v>
      </c>
      <c r="AA72" s="399">
        <f t="shared" si="139"/>
        <v>0.16</v>
      </c>
      <c r="AB72" s="291">
        <v>0.56999999999999995</v>
      </c>
      <c r="AC72" s="390">
        <f t="shared" si="140"/>
        <v>0.40999999999999992</v>
      </c>
      <c r="AD72" s="934"/>
      <c r="AE72" s="377"/>
      <c r="AF72" s="389">
        <v>44</v>
      </c>
      <c r="AG72" s="399">
        <f t="shared" si="141"/>
        <v>0.17</v>
      </c>
      <c r="AH72" s="291">
        <v>0.71</v>
      </c>
      <c r="AI72" s="390">
        <f t="shared" si="142"/>
        <v>0.53999999999999992</v>
      </c>
      <c r="AJ72" s="934"/>
      <c r="AK72" s="377"/>
      <c r="AL72" s="389">
        <v>44</v>
      </c>
      <c r="AM72" s="399">
        <f t="shared" si="143"/>
        <v>0.44</v>
      </c>
      <c r="AN72" s="291"/>
      <c r="AO72" s="390">
        <f t="shared" si="144"/>
        <v>8.3333333333333329E-2</v>
      </c>
      <c r="AP72" s="934"/>
      <c r="AQ72" s="377"/>
      <c r="AR72" s="389">
        <v>44</v>
      </c>
      <c r="AS72" s="399">
        <f t="shared" si="145"/>
        <v>0.33</v>
      </c>
      <c r="AT72" s="291"/>
      <c r="AU72" s="390">
        <f t="shared" si="146"/>
        <v>8.3333333333333329E-2</v>
      </c>
      <c r="AV72" s="934"/>
      <c r="AW72" s="377"/>
      <c r="AX72" s="389">
        <v>44</v>
      </c>
      <c r="AY72" s="399">
        <f t="shared" si="147"/>
        <v>0.4</v>
      </c>
      <c r="AZ72" s="291"/>
      <c r="BA72" s="390">
        <f t="shared" si="148"/>
        <v>0.26333333333333336</v>
      </c>
      <c r="BB72" s="934"/>
      <c r="BC72" s="377"/>
      <c r="BD72" s="389">
        <v>44</v>
      </c>
      <c r="BE72" s="399">
        <f t="shared" si="149"/>
        <v>0.78</v>
      </c>
      <c r="BF72" s="291"/>
      <c r="BG72" s="390">
        <f t="shared" si="150"/>
        <v>8.666666666666667E-2</v>
      </c>
      <c r="BH72" s="934"/>
      <c r="BI72" s="377"/>
      <c r="BJ72" s="389">
        <v>44</v>
      </c>
      <c r="BK72" s="399">
        <f t="shared" si="151"/>
        <v>0.4</v>
      </c>
      <c r="BL72" s="291"/>
      <c r="BM72" s="390">
        <f t="shared" si="152"/>
        <v>0.26333333333333336</v>
      </c>
      <c r="BN72" s="934"/>
      <c r="BO72" s="377"/>
      <c r="BP72" s="389">
        <v>44</v>
      </c>
      <c r="BQ72" s="399">
        <f t="shared" si="153"/>
        <v>0.56000000000000005</v>
      </c>
      <c r="BR72" s="291"/>
      <c r="BS72" s="390">
        <f t="shared" si="154"/>
        <v>8.666666666666667E-2</v>
      </c>
      <c r="BT72" s="934"/>
      <c r="BU72" s="377"/>
      <c r="BV72" s="389">
        <v>44</v>
      </c>
      <c r="BW72" s="399">
        <f t="shared" si="155"/>
        <v>0.67</v>
      </c>
      <c r="BX72" s="291"/>
      <c r="BY72" s="390">
        <f t="shared" si="156"/>
        <v>8.3333333333333329E-2</v>
      </c>
      <c r="BZ72" s="934"/>
      <c r="CA72" s="377"/>
      <c r="CB72" s="389">
        <v>44</v>
      </c>
      <c r="CC72" s="399">
        <f t="shared" si="157"/>
        <v>0</v>
      </c>
      <c r="CD72" s="291">
        <f t="shared" si="162"/>
        <v>-0.7</v>
      </c>
      <c r="CE72" s="390">
        <f t="shared" si="158"/>
        <v>0.19999999999999998</v>
      </c>
      <c r="CF72" s="934"/>
      <c r="CH72" s="389">
        <v>44</v>
      </c>
      <c r="CI72" s="399">
        <f t="shared" si="159"/>
        <v>0.25</v>
      </c>
      <c r="CJ72" s="291">
        <f t="shared" si="159"/>
        <v>0.21</v>
      </c>
      <c r="CK72" s="390">
        <f t="shared" si="159"/>
        <v>4.0000000000000008E-2</v>
      </c>
      <c r="CL72" s="934"/>
      <c r="CN72" s="389">
        <v>44</v>
      </c>
      <c r="CO72" s="399">
        <f t="shared" si="160"/>
        <v>0.56999999999999995</v>
      </c>
      <c r="CP72" s="291">
        <f t="shared" si="160"/>
        <v>0.52</v>
      </c>
      <c r="CQ72" s="390">
        <f t="shared" si="160"/>
        <v>4.9999999999999933E-2</v>
      </c>
      <c r="CR72" s="934"/>
    </row>
    <row r="73" spans="2:96" ht="13">
      <c r="B73" s="389">
        <v>50</v>
      </c>
      <c r="C73" s="399">
        <v>0.15</v>
      </c>
      <c r="D73" s="399">
        <f t="shared" si="132"/>
        <v>0.31</v>
      </c>
      <c r="E73" s="390">
        <f t="shared" si="161"/>
        <v>0.16</v>
      </c>
      <c r="F73" s="935">
        <f ca="1">(((F71-F69)/(F67-F65))*(F64-F65))+F69</f>
        <v>6.1628571428571408E-2</v>
      </c>
      <c r="G73" s="392"/>
      <c r="H73" s="389">
        <v>50</v>
      </c>
      <c r="I73" s="291">
        <v>0.2</v>
      </c>
      <c r="J73" s="291">
        <f t="shared" si="133"/>
        <v>0.3</v>
      </c>
      <c r="K73" s="390">
        <f t="shared" si="134"/>
        <v>9.9999999999999978E-2</v>
      </c>
      <c r="L73" s="935">
        <f ca="1">(((L71-L69)/(L67-L65))*(L64-L65))+L69</f>
        <v>1.1357142857142823E-2</v>
      </c>
      <c r="M73" s="392"/>
      <c r="N73" s="389">
        <v>50</v>
      </c>
      <c r="O73" s="399">
        <v>0.15</v>
      </c>
      <c r="P73" s="291">
        <f t="shared" si="135"/>
        <v>0.02</v>
      </c>
      <c r="Q73" s="390">
        <f t="shared" si="136"/>
        <v>0.13</v>
      </c>
      <c r="R73" s="935">
        <f ca="1">(((R71-R69)/(R67-R65))*(R64-R65))+R69</f>
        <v>0.15162857142857139</v>
      </c>
      <c r="S73" s="377"/>
      <c r="T73" s="389">
        <v>50</v>
      </c>
      <c r="U73" s="399">
        <f t="shared" si="137"/>
        <v>0.76</v>
      </c>
      <c r="V73" s="291"/>
      <c r="W73" s="390">
        <f t="shared" si="138"/>
        <v>8.666666666666667E-2</v>
      </c>
      <c r="X73" s="935">
        <f ca="1">(((X71-X69)/(X67-X65))*(X64-X65))+X69</f>
        <v>8.666666666666667E-2</v>
      </c>
      <c r="Y73" s="377"/>
      <c r="Z73" s="389">
        <v>50</v>
      </c>
      <c r="AA73" s="399">
        <f t="shared" si="139"/>
        <v>0.17</v>
      </c>
      <c r="AB73" s="291">
        <v>0.63</v>
      </c>
      <c r="AC73" s="390">
        <f t="shared" si="140"/>
        <v>0.45999999999999996</v>
      </c>
      <c r="AD73" s="935">
        <f ca="1">(((AD71-AD69)/(AD67-AD65))*(AD64-AD65))+AD69</f>
        <v>0.38081428571428572</v>
      </c>
      <c r="AE73" s="377"/>
      <c r="AF73" s="389">
        <v>50</v>
      </c>
      <c r="AG73" s="399">
        <f t="shared" si="141"/>
        <v>0.18</v>
      </c>
      <c r="AH73" s="291">
        <v>0.72</v>
      </c>
      <c r="AI73" s="390">
        <f t="shared" si="142"/>
        <v>0.54</v>
      </c>
      <c r="AJ73" s="935">
        <f ca="1">(((AJ71-AJ69)/(AJ67-AJ65))*(AJ64-AJ65))+AJ69</f>
        <v>0.51081428571428567</v>
      </c>
      <c r="AK73" s="377"/>
      <c r="AL73" s="389">
        <v>50</v>
      </c>
      <c r="AM73" s="399">
        <f t="shared" si="143"/>
        <v>0.44</v>
      </c>
      <c r="AN73" s="291"/>
      <c r="AO73" s="390">
        <f t="shared" si="144"/>
        <v>8.3333333333333329E-2</v>
      </c>
      <c r="AP73" s="935">
        <f ca="1">(((AP71-AP69)/(AP67-AP65))*(AP64-AP65))+AP69</f>
        <v>8.3333333333333329E-2</v>
      </c>
      <c r="AQ73" s="377"/>
      <c r="AR73" s="389">
        <v>50</v>
      </c>
      <c r="AS73" s="399">
        <f t="shared" si="145"/>
        <v>0.34</v>
      </c>
      <c r="AT73" s="291"/>
      <c r="AU73" s="390">
        <f t="shared" si="146"/>
        <v>8.3333333333333329E-2</v>
      </c>
      <c r="AV73" s="935">
        <f ca="1">(((AV71-AV69)/(AV67-AV65))*(AV64-AV65))+AV69</f>
        <v>8.3333333333333329E-2</v>
      </c>
      <c r="AW73" s="377"/>
      <c r="AX73" s="389">
        <v>50</v>
      </c>
      <c r="AY73" s="399">
        <f t="shared" si="147"/>
        <v>0.38</v>
      </c>
      <c r="AZ73" s="291"/>
      <c r="BA73" s="390">
        <f t="shared" si="148"/>
        <v>0.26333333333333336</v>
      </c>
      <c r="BB73" s="935">
        <f ca="1">(((BB71-BB69)/(BB67-BB65))*(BB64-BB65))+BB69</f>
        <v>0.26333333333333336</v>
      </c>
      <c r="BC73" s="377"/>
      <c r="BD73" s="389">
        <v>50</v>
      </c>
      <c r="BE73" s="399">
        <f t="shared" si="149"/>
        <v>0.84</v>
      </c>
      <c r="BF73" s="291"/>
      <c r="BG73" s="390">
        <f t="shared" si="150"/>
        <v>8.666666666666667E-2</v>
      </c>
      <c r="BH73" s="935">
        <f ca="1">(((BH71-BH69)/(BH67-BH65))*(BH64-BH65))+BH69</f>
        <v>8.666666666666667E-2</v>
      </c>
      <c r="BI73" s="377"/>
      <c r="BJ73" s="389">
        <v>50</v>
      </c>
      <c r="BK73" s="399">
        <f t="shared" si="151"/>
        <v>0.38</v>
      </c>
      <c r="BL73" s="291"/>
      <c r="BM73" s="390">
        <f t="shared" si="152"/>
        <v>0.26333333333333336</v>
      </c>
      <c r="BN73" s="935">
        <f ca="1">(((BN71-BN69)/(BN67-BN65))*(BN64-BN65))+BN69</f>
        <v>0.26333333333333336</v>
      </c>
      <c r="BO73" s="377"/>
      <c r="BP73" s="389">
        <v>50</v>
      </c>
      <c r="BQ73" s="399">
        <f t="shared" si="153"/>
        <v>0.62</v>
      </c>
      <c r="BR73" s="291"/>
      <c r="BS73" s="390">
        <f t="shared" si="154"/>
        <v>8.666666666666667E-2</v>
      </c>
      <c r="BT73" s="935">
        <f ca="1">(((BT71-BT69)/(BT67-BT65))*(BT64-BT65))+BT69</f>
        <v>8.666666666666667E-2</v>
      </c>
      <c r="BU73" s="377"/>
      <c r="BV73" s="389">
        <v>50</v>
      </c>
      <c r="BW73" s="399">
        <f t="shared" si="155"/>
        <v>0.75</v>
      </c>
      <c r="BX73" s="291"/>
      <c r="BY73" s="390">
        <f t="shared" si="156"/>
        <v>8.3333333333333329E-2</v>
      </c>
      <c r="BZ73" s="935">
        <f ca="1">(((BZ71-BZ69)/(BZ67-BZ65))*(BZ64-BZ65))+BZ69</f>
        <v>8.3333333333333329E-2</v>
      </c>
      <c r="CA73" s="377"/>
      <c r="CB73" s="389">
        <v>50</v>
      </c>
      <c r="CC73" s="399">
        <f t="shared" si="157"/>
        <v>-1</v>
      </c>
      <c r="CD73" s="291">
        <f t="shared" si="162"/>
        <v>-0.7</v>
      </c>
      <c r="CE73" s="390">
        <f t="shared" si="158"/>
        <v>0.30000000000000004</v>
      </c>
      <c r="CF73" s="935">
        <f ca="1">(((CF71-CF69)/(CF67-CF65))*(CF64-CF65))+CF69</f>
        <v>0.19999999999999998</v>
      </c>
      <c r="CH73" s="389">
        <v>50</v>
      </c>
      <c r="CI73" s="399">
        <f t="shared" si="159"/>
        <v>0.27</v>
      </c>
      <c r="CJ73" s="291">
        <f t="shared" si="159"/>
        <v>0.22</v>
      </c>
      <c r="CK73" s="390">
        <f t="shared" si="159"/>
        <v>5.0000000000000017E-2</v>
      </c>
      <c r="CL73" s="935">
        <f ca="1">(((CL71-CL69)/(CL67-CL65))*(CL64-CL65))+CL69</f>
        <v>4.0000000000000008E-2</v>
      </c>
      <c r="CN73" s="389">
        <v>50</v>
      </c>
      <c r="CO73" s="399">
        <f t="shared" si="160"/>
        <v>0.67</v>
      </c>
      <c r="CP73" s="291">
        <f t="shared" si="160"/>
        <v>0.56999999999999995</v>
      </c>
      <c r="CQ73" s="390">
        <f t="shared" si="160"/>
        <v>0.10000000000000009</v>
      </c>
      <c r="CR73" s="935">
        <f ca="1">(((CR71-CR69)/(CR67-CR65))*(CR64-CR65))+CR69</f>
        <v>3.054285714285716E-2</v>
      </c>
    </row>
    <row r="74" spans="2:96" ht="13">
      <c r="B74" s="389">
        <v>100</v>
      </c>
      <c r="C74" s="399">
        <v>0.25</v>
      </c>
      <c r="D74" s="399">
        <f t="shared" si="132"/>
        <v>0.79</v>
      </c>
      <c r="E74" s="390">
        <f t="shared" si="161"/>
        <v>0.54</v>
      </c>
      <c r="F74" s="391"/>
      <c r="G74" s="392"/>
      <c r="H74" s="389">
        <v>100</v>
      </c>
      <c r="I74" s="291">
        <v>0.13</v>
      </c>
      <c r="J74" s="291">
        <f t="shared" si="133"/>
        <v>0.59</v>
      </c>
      <c r="K74" s="390">
        <f t="shared" si="134"/>
        <v>0.45999999999999996</v>
      </c>
      <c r="L74" s="391"/>
      <c r="M74" s="392"/>
      <c r="N74" s="389">
        <v>100</v>
      </c>
      <c r="O74" s="399">
        <v>-0.12</v>
      </c>
      <c r="P74" s="291">
        <f t="shared" si="135"/>
        <v>-0.13</v>
      </c>
      <c r="Q74" s="390">
        <f t="shared" si="136"/>
        <v>1.0000000000000009E-2</v>
      </c>
      <c r="R74" s="391"/>
      <c r="S74" s="377"/>
      <c r="T74" s="389">
        <v>100</v>
      </c>
      <c r="U74" s="399">
        <f t="shared" si="137"/>
        <v>0.68</v>
      </c>
      <c r="V74" s="291"/>
      <c r="W74" s="390">
        <f t="shared" si="138"/>
        <v>8.666666666666667E-2</v>
      </c>
      <c r="X74" s="391"/>
      <c r="Y74" s="377"/>
      <c r="Z74" s="389">
        <v>100</v>
      </c>
      <c r="AA74" s="399">
        <f t="shared" si="139"/>
        <v>0.28000000000000003</v>
      </c>
      <c r="AB74" s="291">
        <v>0.34</v>
      </c>
      <c r="AC74" s="390">
        <f t="shared" si="140"/>
        <v>0.06</v>
      </c>
      <c r="AD74" s="391"/>
      <c r="AE74" s="377"/>
      <c r="AF74" s="389">
        <v>100</v>
      </c>
      <c r="AG74" s="399">
        <f t="shared" si="141"/>
        <v>0.28000000000000003</v>
      </c>
      <c r="AH74" s="291">
        <v>0.54</v>
      </c>
      <c r="AI74" s="390">
        <f t="shared" si="142"/>
        <v>0.26</v>
      </c>
      <c r="AJ74" s="391"/>
      <c r="AK74" s="377"/>
      <c r="AL74" s="389">
        <v>100</v>
      </c>
      <c r="AM74" s="399">
        <f t="shared" si="143"/>
        <v>0.53</v>
      </c>
      <c r="AN74" s="291"/>
      <c r="AO74" s="390">
        <f t="shared" si="144"/>
        <v>8.3333333333333329E-2</v>
      </c>
      <c r="AP74" s="391"/>
      <c r="AQ74" s="377"/>
      <c r="AR74" s="389">
        <v>100</v>
      </c>
      <c r="AS74" s="399">
        <f t="shared" si="145"/>
        <v>0.46</v>
      </c>
      <c r="AT74" s="291"/>
      <c r="AU74" s="390">
        <f t="shared" si="146"/>
        <v>8.3333333333333329E-2</v>
      </c>
      <c r="AV74" s="391"/>
      <c r="AW74" s="377"/>
      <c r="AX74" s="389">
        <v>100</v>
      </c>
      <c r="AY74" s="399">
        <f t="shared" si="147"/>
        <v>0.21</v>
      </c>
      <c r="AZ74" s="291"/>
      <c r="BA74" s="390">
        <f t="shared" si="148"/>
        <v>0.26333333333333336</v>
      </c>
      <c r="BB74" s="391"/>
      <c r="BC74" s="377"/>
      <c r="BD74" s="389">
        <v>100</v>
      </c>
      <c r="BE74" s="399">
        <f t="shared" si="149"/>
        <v>0.65</v>
      </c>
      <c r="BF74" s="291"/>
      <c r="BG74" s="390">
        <f t="shared" si="150"/>
        <v>8.666666666666667E-2</v>
      </c>
      <c r="BH74" s="391"/>
      <c r="BI74" s="377"/>
      <c r="BJ74" s="389">
        <v>100</v>
      </c>
      <c r="BK74" s="399">
        <f t="shared" si="151"/>
        <v>0.21</v>
      </c>
      <c r="BL74" s="291"/>
      <c r="BM74" s="390">
        <f t="shared" si="152"/>
        <v>0.26333333333333336</v>
      </c>
      <c r="BN74" s="391"/>
      <c r="BO74" s="377"/>
      <c r="BP74" s="389">
        <v>100</v>
      </c>
      <c r="BQ74" s="399">
        <f t="shared" si="153"/>
        <v>0.39</v>
      </c>
      <c r="BR74" s="291"/>
      <c r="BS74" s="390">
        <f t="shared" si="154"/>
        <v>8.666666666666667E-2</v>
      </c>
      <c r="BT74" s="391"/>
      <c r="BU74" s="377"/>
      <c r="BV74" s="389">
        <v>100</v>
      </c>
      <c r="BW74" s="399">
        <f t="shared" si="155"/>
        <v>0.71</v>
      </c>
      <c r="BX74" s="291"/>
      <c r="BY74" s="390">
        <f t="shared" si="156"/>
        <v>8.3333333333333329E-2</v>
      </c>
      <c r="BZ74" s="391"/>
      <c r="CA74" s="377"/>
      <c r="CB74" s="389">
        <v>100</v>
      </c>
      <c r="CC74" s="399">
        <f t="shared" si="157"/>
        <v>-1.6</v>
      </c>
      <c r="CD74" s="291">
        <f t="shared" si="162"/>
        <v>-0.7</v>
      </c>
      <c r="CE74" s="390">
        <f t="shared" si="158"/>
        <v>0.90000000000000013</v>
      </c>
      <c r="CF74" s="391"/>
      <c r="CH74" s="389">
        <v>100</v>
      </c>
      <c r="CI74" s="399">
        <f t="shared" si="159"/>
        <v>0.31</v>
      </c>
      <c r="CJ74" s="291">
        <f t="shared" si="159"/>
        <v>0.23</v>
      </c>
      <c r="CK74" s="390">
        <f t="shared" si="159"/>
        <v>7.9999999999999988E-2</v>
      </c>
      <c r="CL74" s="391"/>
      <c r="CN74" s="389">
        <v>100</v>
      </c>
      <c r="CO74" s="399">
        <f t="shared" si="160"/>
        <v>0.95</v>
      </c>
      <c r="CP74" s="291">
        <f t="shared" si="160"/>
        <v>0.81</v>
      </c>
      <c r="CQ74" s="390">
        <f t="shared" si="160"/>
        <v>0.1399999999999999</v>
      </c>
      <c r="CR74" s="391"/>
    </row>
    <row r="75" spans="2:96" ht="13">
      <c r="B75" s="389">
        <v>150</v>
      </c>
      <c r="C75" s="399">
        <v>0.28000000000000003</v>
      </c>
      <c r="D75" s="399">
        <f t="shared" si="132"/>
        <v>0.78</v>
      </c>
      <c r="E75" s="390">
        <f t="shared" si="161"/>
        <v>0.5</v>
      </c>
      <c r="F75" s="391"/>
      <c r="G75" s="392"/>
      <c r="H75" s="389">
        <v>150</v>
      </c>
      <c r="I75" s="291">
        <v>0.04</v>
      </c>
      <c r="J75" s="291">
        <f t="shared" si="133"/>
        <v>0.57999999999999996</v>
      </c>
      <c r="K75" s="390">
        <f t="shared" si="134"/>
        <v>0.53999999999999992</v>
      </c>
      <c r="L75" s="391"/>
      <c r="M75" s="392"/>
      <c r="N75" s="389">
        <v>150</v>
      </c>
      <c r="O75" s="399">
        <v>-0.42</v>
      </c>
      <c r="P75" s="291">
        <f t="shared" si="135"/>
        <v>-0.25</v>
      </c>
      <c r="Q75" s="390">
        <f t="shared" si="136"/>
        <v>0.16999999999999998</v>
      </c>
      <c r="R75" s="391"/>
      <c r="S75" s="377"/>
      <c r="T75" s="389">
        <v>150</v>
      </c>
      <c r="U75" s="399">
        <f t="shared" si="137"/>
        <v>-0.13</v>
      </c>
      <c r="V75" s="291"/>
      <c r="W75" s="390">
        <f t="shared" si="138"/>
        <v>8.666666666666667E-2</v>
      </c>
      <c r="X75" s="391"/>
      <c r="Y75" s="377"/>
      <c r="Z75" s="389">
        <v>150</v>
      </c>
      <c r="AA75" s="399">
        <f t="shared" si="139"/>
        <v>0.49</v>
      </c>
      <c r="AB75" s="291">
        <v>-0.04</v>
      </c>
      <c r="AC75" s="390">
        <f t="shared" si="140"/>
        <v>0.53</v>
      </c>
      <c r="AD75" s="391"/>
      <c r="AE75" s="377"/>
      <c r="AF75" s="389">
        <v>150</v>
      </c>
      <c r="AG75" s="399">
        <f t="shared" si="141"/>
        <v>0.47</v>
      </c>
      <c r="AH75" s="291">
        <v>0.1</v>
      </c>
      <c r="AI75" s="390">
        <f t="shared" si="142"/>
        <v>0.37</v>
      </c>
      <c r="AJ75" s="391"/>
      <c r="AK75" s="377"/>
      <c r="AL75" s="389">
        <v>150</v>
      </c>
      <c r="AM75" s="399">
        <f t="shared" si="143"/>
        <v>0.7</v>
      </c>
      <c r="AN75" s="291"/>
      <c r="AO75" s="390">
        <f t="shared" si="144"/>
        <v>8.3333333333333329E-2</v>
      </c>
      <c r="AP75" s="391"/>
      <c r="AQ75" s="377"/>
      <c r="AR75" s="389">
        <v>150</v>
      </c>
      <c r="AS75" s="399">
        <f t="shared" si="145"/>
        <v>0.68</v>
      </c>
      <c r="AT75" s="291"/>
      <c r="AU75" s="390">
        <f t="shared" si="146"/>
        <v>8.3333333333333329E-2</v>
      </c>
      <c r="AV75" s="391"/>
      <c r="AW75" s="377"/>
      <c r="AX75" s="389">
        <v>150</v>
      </c>
      <c r="AY75" s="399">
        <f t="shared" si="147"/>
        <v>9.9999999999999995E-7</v>
      </c>
      <c r="AZ75" s="291"/>
      <c r="BA75" s="390">
        <f t="shared" si="148"/>
        <v>0.26333333333333336</v>
      </c>
      <c r="BB75" s="391"/>
      <c r="BC75" s="377"/>
      <c r="BD75" s="389">
        <v>150</v>
      </c>
      <c r="BE75" s="399">
        <f t="shared" si="149"/>
        <v>0.06</v>
      </c>
      <c r="BF75" s="291"/>
      <c r="BG75" s="390">
        <f t="shared" si="150"/>
        <v>8.666666666666667E-2</v>
      </c>
      <c r="BH75" s="391"/>
      <c r="BI75" s="377"/>
      <c r="BJ75" s="389">
        <v>150</v>
      </c>
      <c r="BK75" s="399">
        <f t="shared" si="151"/>
        <v>9.9999999999999995E-7</v>
      </c>
      <c r="BL75" s="291"/>
      <c r="BM75" s="390">
        <f t="shared" si="152"/>
        <v>0.26333333333333336</v>
      </c>
      <c r="BN75" s="391"/>
      <c r="BO75" s="377"/>
      <c r="BP75" s="389">
        <v>150</v>
      </c>
      <c r="BQ75" s="399">
        <f t="shared" si="153"/>
        <v>-0.37</v>
      </c>
      <c r="BR75" s="291"/>
      <c r="BS75" s="390">
        <f t="shared" si="154"/>
        <v>8.666666666666667E-2</v>
      </c>
      <c r="BT75" s="391"/>
      <c r="BU75" s="377"/>
      <c r="BV75" s="389">
        <v>150</v>
      </c>
      <c r="BW75" s="399">
        <f t="shared" si="155"/>
        <v>-0.11</v>
      </c>
      <c r="BX75" s="291"/>
      <c r="BY75" s="390">
        <f t="shared" si="156"/>
        <v>8.3333333333333329E-2</v>
      </c>
      <c r="BZ75" s="391"/>
      <c r="CA75" s="377"/>
      <c r="CB75" s="389">
        <v>150</v>
      </c>
      <c r="CC75" s="399">
        <f t="shared" si="157"/>
        <v>-1.7</v>
      </c>
      <c r="CD75" s="291">
        <f t="shared" si="162"/>
        <v>-0.7</v>
      </c>
      <c r="CE75" s="390">
        <f t="shared" si="158"/>
        <v>1</v>
      </c>
      <c r="CF75" s="391"/>
      <c r="CH75" s="389">
        <v>150</v>
      </c>
      <c r="CI75" s="399">
        <f t="shared" si="159"/>
        <v>0.3</v>
      </c>
      <c r="CJ75" s="291">
        <f t="shared" si="159"/>
        <v>0.22</v>
      </c>
      <c r="CK75" s="390">
        <f t="shared" si="159"/>
        <v>7.9999999999999988E-2</v>
      </c>
      <c r="CL75" s="391"/>
      <c r="CN75" s="389">
        <v>150</v>
      </c>
      <c r="CO75" s="399">
        <f t="shared" si="160"/>
        <v>0.49</v>
      </c>
      <c r="CP75" s="291">
        <f t="shared" si="160"/>
        <v>0.87</v>
      </c>
      <c r="CQ75" s="390">
        <f t="shared" si="160"/>
        <v>0.38</v>
      </c>
      <c r="CR75" s="391"/>
    </row>
    <row r="76" spans="2:96" ht="13">
      <c r="B76" s="389">
        <v>200</v>
      </c>
      <c r="C76" s="399">
        <v>0.42</v>
      </c>
      <c r="D76" s="399">
        <f t="shared" si="132"/>
        <v>-0.02</v>
      </c>
      <c r="E76" s="390">
        <f t="shared" si="161"/>
        <v>0.44</v>
      </c>
      <c r="F76" s="391"/>
      <c r="G76" s="392"/>
      <c r="H76" s="389">
        <v>200</v>
      </c>
      <c r="I76" s="291">
        <v>0.43</v>
      </c>
      <c r="J76" s="291">
        <f t="shared" si="133"/>
        <v>0.19</v>
      </c>
      <c r="K76" s="390">
        <f t="shared" si="134"/>
        <v>0.24</v>
      </c>
      <c r="L76" s="391"/>
      <c r="M76" s="392"/>
      <c r="N76" s="389">
        <v>200</v>
      </c>
      <c r="O76" s="399">
        <v>-0.09</v>
      </c>
      <c r="P76" s="291">
        <f t="shared" si="135"/>
        <v>0.04</v>
      </c>
      <c r="Q76" s="390">
        <f t="shared" si="136"/>
        <v>0.13</v>
      </c>
      <c r="R76" s="391"/>
      <c r="S76" s="377"/>
      <c r="T76" s="389">
        <v>200</v>
      </c>
      <c r="U76" s="399">
        <f t="shared" si="137"/>
        <v>-0.84</v>
      </c>
      <c r="V76" s="291"/>
      <c r="W76" s="390">
        <f t="shared" si="138"/>
        <v>8.666666666666667E-2</v>
      </c>
      <c r="X76" s="391"/>
      <c r="Y76" s="377"/>
      <c r="Z76" s="389">
        <v>200</v>
      </c>
      <c r="AA76" s="399">
        <f t="shared" si="139"/>
        <v>0.75</v>
      </c>
      <c r="AB76" s="291">
        <v>0.02</v>
      </c>
      <c r="AC76" s="390">
        <f t="shared" si="140"/>
        <v>0.73</v>
      </c>
      <c r="AD76" s="391"/>
      <c r="AE76" s="377"/>
      <c r="AF76" s="389">
        <v>200</v>
      </c>
      <c r="AG76" s="399">
        <f t="shared" si="141"/>
        <v>0.76</v>
      </c>
      <c r="AH76" s="291">
        <v>-0.28999999999999998</v>
      </c>
      <c r="AI76" s="390">
        <f t="shared" si="142"/>
        <v>1.05</v>
      </c>
      <c r="AJ76" s="391"/>
      <c r="AK76" s="377"/>
      <c r="AL76" s="389">
        <v>200</v>
      </c>
      <c r="AM76" s="399">
        <f t="shared" si="143"/>
        <v>0.91</v>
      </c>
      <c r="AN76" s="291"/>
      <c r="AO76" s="390">
        <f t="shared" si="144"/>
        <v>8.3333333333333329E-2</v>
      </c>
      <c r="AP76" s="391"/>
      <c r="AQ76" s="377"/>
      <c r="AR76" s="389">
        <v>200</v>
      </c>
      <c r="AS76" s="399">
        <f t="shared" si="145"/>
        <v>0.9</v>
      </c>
      <c r="AT76" s="291"/>
      <c r="AU76" s="390">
        <f t="shared" si="146"/>
        <v>8.3333333333333329E-2</v>
      </c>
      <c r="AV76" s="391"/>
      <c r="AW76" s="377"/>
      <c r="AX76" s="389">
        <v>200</v>
      </c>
      <c r="AY76" s="399">
        <f t="shared" si="147"/>
        <v>-0.26</v>
      </c>
      <c r="AZ76" s="291"/>
      <c r="BA76" s="390">
        <f t="shared" si="148"/>
        <v>0.26333333333333336</v>
      </c>
      <c r="BB76" s="391"/>
      <c r="BC76" s="377"/>
      <c r="BD76" s="389">
        <v>200</v>
      </c>
      <c r="BE76" s="399">
        <f t="shared" si="149"/>
        <v>0.09</v>
      </c>
      <c r="BF76" s="291"/>
      <c r="BG76" s="390">
        <f t="shared" si="150"/>
        <v>8.666666666666667E-2</v>
      </c>
      <c r="BH76" s="391"/>
      <c r="BI76" s="377"/>
      <c r="BJ76" s="389">
        <v>200</v>
      </c>
      <c r="BK76" s="399">
        <f t="shared" si="151"/>
        <v>-0.26</v>
      </c>
      <c r="BL76" s="291"/>
      <c r="BM76" s="390">
        <f t="shared" si="152"/>
        <v>0.26333333333333336</v>
      </c>
      <c r="BN76" s="391"/>
      <c r="BO76" s="377"/>
      <c r="BP76" s="389">
        <v>200</v>
      </c>
      <c r="BQ76" s="399">
        <f t="shared" si="153"/>
        <v>-0.74</v>
      </c>
      <c r="BR76" s="291"/>
      <c r="BS76" s="390">
        <f t="shared" si="154"/>
        <v>8.666666666666667E-2</v>
      </c>
      <c r="BT76" s="391"/>
      <c r="BU76" s="377"/>
      <c r="BV76" s="389">
        <v>200</v>
      </c>
      <c r="BW76" s="399">
        <f t="shared" si="155"/>
        <v>-1.08</v>
      </c>
      <c r="BX76" s="291"/>
      <c r="BY76" s="390">
        <f t="shared" si="156"/>
        <v>8.3333333333333329E-2</v>
      </c>
      <c r="BZ76" s="391"/>
      <c r="CA76" s="377"/>
      <c r="CB76" s="389">
        <v>200</v>
      </c>
      <c r="CC76" s="399">
        <f t="shared" si="157"/>
        <v>-0.9</v>
      </c>
      <c r="CD76" s="291">
        <f t="shared" si="162"/>
        <v>-0.6</v>
      </c>
      <c r="CE76" s="390">
        <f t="shared" si="158"/>
        <v>0.30000000000000004</v>
      </c>
      <c r="CF76" s="391"/>
      <c r="CH76" s="389">
        <v>200</v>
      </c>
      <c r="CI76" s="399">
        <f t="shared" si="159"/>
        <v>0.34</v>
      </c>
      <c r="CJ76" s="291">
        <f t="shared" si="159"/>
        <v>0.47</v>
      </c>
      <c r="CK76" s="390">
        <f t="shared" si="159"/>
        <v>0.12999999999999995</v>
      </c>
      <c r="CL76" s="391"/>
      <c r="CN76" s="389">
        <v>200</v>
      </c>
      <c r="CO76" s="399">
        <f t="shared" si="160"/>
        <v>-0.26</v>
      </c>
      <c r="CP76" s="291">
        <f t="shared" si="160"/>
        <v>0.99</v>
      </c>
      <c r="CQ76" s="390">
        <f t="shared" si="160"/>
        <v>1.25</v>
      </c>
      <c r="CR76" s="391"/>
    </row>
    <row r="77" spans="2:96" s="377" customFormat="1" ht="13">
      <c r="B77" s="397"/>
      <c r="C77" s="378"/>
      <c r="D77" s="378"/>
      <c r="E77" s="395"/>
      <c r="F77" s="392"/>
      <c r="G77" s="392"/>
      <c r="H77" s="397"/>
      <c r="I77" s="378"/>
      <c r="J77" s="378"/>
      <c r="K77" s="395"/>
      <c r="L77" s="379"/>
      <c r="M77" s="392"/>
      <c r="N77" s="397"/>
      <c r="O77" s="772"/>
      <c r="P77" s="378"/>
      <c r="Q77" s="395"/>
      <c r="R77" s="379"/>
      <c r="T77" s="397"/>
      <c r="U77" s="378"/>
      <c r="V77" s="378"/>
      <c r="W77" s="395"/>
      <c r="X77" s="379"/>
      <c r="Z77" s="397"/>
      <c r="AA77" s="378"/>
      <c r="AB77" s="763"/>
      <c r="AC77" s="395"/>
      <c r="AD77" s="379"/>
      <c r="AF77" s="397"/>
      <c r="AG77" s="378"/>
      <c r="AH77" s="763"/>
      <c r="AI77" s="395"/>
      <c r="AJ77" s="379"/>
      <c r="AL77" s="397"/>
      <c r="AM77" s="378"/>
      <c r="AN77" s="378"/>
      <c r="AO77" s="395"/>
      <c r="AP77" s="379"/>
      <c r="AR77" s="397"/>
      <c r="AS77" s="378"/>
      <c r="AT77" s="378"/>
      <c r="AU77" s="395"/>
      <c r="AV77" s="379"/>
      <c r="AX77" s="397"/>
      <c r="AY77" s="378"/>
      <c r="AZ77" s="378"/>
      <c r="BA77" s="395"/>
      <c r="BB77" s="379"/>
      <c r="BD77" s="397"/>
      <c r="BE77" s="378"/>
      <c r="BF77" s="378"/>
      <c r="BG77" s="395"/>
      <c r="BH77" s="379"/>
      <c r="BJ77" s="397"/>
      <c r="BK77" s="378"/>
      <c r="BL77" s="378"/>
      <c r="BM77" s="395"/>
      <c r="BN77" s="379"/>
      <c r="BP77" s="397"/>
      <c r="BQ77" s="378"/>
      <c r="BR77" s="378"/>
      <c r="BS77" s="395"/>
      <c r="BT77" s="379"/>
      <c r="BV77" s="397"/>
      <c r="BW77" s="378"/>
      <c r="BX77" s="378"/>
      <c r="BY77" s="395"/>
      <c r="BZ77" s="379"/>
      <c r="CB77" s="397"/>
      <c r="CC77" s="378"/>
      <c r="CD77" s="378"/>
      <c r="CE77" s="395"/>
      <c r="CF77" s="379"/>
      <c r="CH77" s="397"/>
      <c r="CI77" s="378"/>
      <c r="CJ77" s="378"/>
      <c r="CK77" s="395"/>
      <c r="CL77" s="379"/>
      <c r="CN77" s="397"/>
      <c r="CO77" s="378"/>
      <c r="CP77" s="378"/>
      <c r="CQ77" s="395"/>
      <c r="CR77" s="379"/>
    </row>
    <row r="78" spans="2:96" ht="22.5" customHeight="1">
      <c r="B78" s="1198" t="s">
        <v>391</v>
      </c>
      <c r="C78" s="1200" t="str">
        <f>C63</f>
        <v>Thermocouple Data Logger, Merek : MADGETECH, Model : OctTemp 2000, SN : P40270</v>
      </c>
      <c r="D78" s="1200"/>
      <c r="E78" s="1200"/>
      <c r="F78" s="380" t="s">
        <v>648</v>
      </c>
      <c r="G78" s="381"/>
      <c r="H78" s="1198" t="s">
        <v>391</v>
      </c>
      <c r="I78" s="1200" t="str">
        <f>I63</f>
        <v>Thermocouple Data Logger, Merek : MADGETECH, Model : OctTemp 2000, SN : P41878</v>
      </c>
      <c r="J78" s="1200"/>
      <c r="K78" s="1200"/>
      <c r="L78" s="380" t="s">
        <v>648</v>
      </c>
      <c r="M78" s="381"/>
      <c r="N78" s="1198" t="s">
        <v>391</v>
      </c>
      <c r="O78" s="1200" t="str">
        <f>O63</f>
        <v>Mobile Corder, Merek : Yokogawa, Model : GP 10, SN : S5T810599</v>
      </c>
      <c r="P78" s="1203"/>
      <c r="Q78" s="1200"/>
      <c r="R78" s="380" t="s">
        <v>648</v>
      </c>
      <c r="S78" s="377"/>
      <c r="T78" s="1198" t="s">
        <v>391</v>
      </c>
      <c r="U78" s="1200" t="str">
        <f>U63</f>
        <v>Wireless Temperature Recorder, Merek : HIOKI, Model : LR 8510, SN : 200936000</v>
      </c>
      <c r="V78" s="1203"/>
      <c r="W78" s="1200"/>
      <c r="X78" s="380" t="s">
        <v>648</v>
      </c>
      <c r="Y78" s="377"/>
      <c r="Z78" s="1198" t="s">
        <v>391</v>
      </c>
      <c r="AA78" s="1200" t="str">
        <f>AA63</f>
        <v>Wireless Temperature Recorder, Merek : HIOKI, Model : LR 8510, SN : 200936001</v>
      </c>
      <c r="AB78" s="1203"/>
      <c r="AC78" s="1200"/>
      <c r="AD78" s="380" t="s">
        <v>648</v>
      </c>
      <c r="AE78" s="377"/>
      <c r="AF78" s="1198" t="s">
        <v>391</v>
      </c>
      <c r="AG78" s="1200" t="str">
        <f>AG63</f>
        <v>Wireless Temperature Recorder, Merek : HIOKI, Model : LR 8510, SN : 200821397</v>
      </c>
      <c r="AH78" s="1203"/>
      <c r="AI78" s="1200"/>
      <c r="AJ78" s="380" t="s">
        <v>648</v>
      </c>
      <c r="AK78" s="377"/>
      <c r="AL78" s="1198" t="s">
        <v>391</v>
      </c>
      <c r="AM78" s="1200" t="str">
        <f>AM63</f>
        <v>Wireless Temperature Recorder, Merek : HIOKI, Model : LR 8510, SN : 210411983</v>
      </c>
      <c r="AN78" s="1203"/>
      <c r="AO78" s="1200"/>
      <c r="AP78" s="380" t="s">
        <v>648</v>
      </c>
      <c r="AQ78" s="377"/>
      <c r="AR78" s="1198" t="s">
        <v>391</v>
      </c>
      <c r="AS78" s="1200" t="str">
        <f>AS63</f>
        <v>Wireless Temperature Recorder, Merek : HIOKI, Model : LR 8510, SN : 210411984</v>
      </c>
      <c r="AT78" s="1203"/>
      <c r="AU78" s="1200"/>
      <c r="AV78" s="380" t="s">
        <v>648</v>
      </c>
      <c r="AW78" s="377"/>
      <c r="AX78" s="1198" t="s">
        <v>391</v>
      </c>
      <c r="AY78" s="1200" t="str">
        <f>AY63</f>
        <v>Wireless Temperature Recorder, Merek : HIOKI, Model : LR 8510, SN : 210411985</v>
      </c>
      <c r="AZ78" s="1203"/>
      <c r="BA78" s="1200"/>
      <c r="BB78" s="380" t="s">
        <v>648</v>
      </c>
      <c r="BC78" s="377"/>
      <c r="BD78" s="1198" t="s">
        <v>391</v>
      </c>
      <c r="BE78" s="1200" t="str">
        <f>BE63</f>
        <v>Wireless Temperature Recorder, Merek : HIOKI, Model : LR 8510, SN : 210746054</v>
      </c>
      <c r="BF78" s="1203"/>
      <c r="BG78" s="1200"/>
      <c r="BH78" s="380" t="s">
        <v>648</v>
      </c>
      <c r="BI78" s="377"/>
      <c r="BJ78" s="1198" t="s">
        <v>391</v>
      </c>
      <c r="BK78" s="1200" t="str">
        <f>BK63</f>
        <v>Wireless Temperature Recorder, Merek : HIOKI, Model : LR 8510, SN : 210746055</v>
      </c>
      <c r="BL78" s="1203"/>
      <c r="BM78" s="1200"/>
      <c r="BN78" s="380" t="s">
        <v>648</v>
      </c>
      <c r="BO78" s="377"/>
      <c r="BP78" s="1198" t="s">
        <v>391</v>
      </c>
      <c r="BQ78" s="1200" t="str">
        <f>BQ63</f>
        <v>Wireless Temperature Recorder, Merek : HIOKI, Model : LR 8510, SN : 210746056</v>
      </c>
      <c r="BR78" s="1203"/>
      <c r="BS78" s="1200"/>
      <c r="BT78" s="380" t="s">
        <v>648</v>
      </c>
      <c r="BU78" s="377"/>
      <c r="BV78" s="1198" t="s">
        <v>391</v>
      </c>
      <c r="BW78" s="1200" t="str">
        <f>BW63</f>
        <v>Wireless Temperature Recorder, Merek : HIOKI, Model : LR 8510, SN : 200821396</v>
      </c>
      <c r="BX78" s="1203"/>
      <c r="BY78" s="1200"/>
      <c r="BZ78" s="380" t="s">
        <v>648</v>
      </c>
      <c r="CA78" s="377"/>
      <c r="CB78" s="1198" t="s">
        <v>391</v>
      </c>
      <c r="CC78" s="1200" t="str">
        <f>CC63</f>
        <v>Reference Thermometer, Merek : APPA, Model : APPA51, SN : 03002948</v>
      </c>
      <c r="CD78" s="1203"/>
      <c r="CE78" s="1200"/>
      <c r="CF78" s="380" t="s">
        <v>648</v>
      </c>
      <c r="CH78" s="1198" t="s">
        <v>391</v>
      </c>
      <c r="CI78" s="1200" t="str">
        <f>CI63</f>
        <v>Reference Thermometer, Merek : FLUKE, Model : 1524, SN : 1803038</v>
      </c>
      <c r="CJ78" s="1203"/>
      <c r="CK78" s="1200"/>
      <c r="CL78" s="380" t="s">
        <v>648</v>
      </c>
      <c r="CN78" s="1198" t="s">
        <v>391</v>
      </c>
      <c r="CO78" s="1200" t="str">
        <f>CO63</f>
        <v>Reference Thermometer, Merek : FLUKE, Model : 1524, SN : 1803037</v>
      </c>
      <c r="CP78" s="1203"/>
      <c r="CQ78" s="1200"/>
      <c r="CR78" s="380" t="s">
        <v>648</v>
      </c>
    </row>
    <row r="79" spans="2:96" ht="13">
      <c r="B79" s="1199"/>
      <c r="C79" s="387">
        <f>C64</f>
        <v>2021</v>
      </c>
      <c r="D79" s="387">
        <f>D64</f>
        <v>2022</v>
      </c>
      <c r="E79" s="384" t="s">
        <v>386</v>
      </c>
      <c r="F79" s="388">
        <f ca="1">$B$290</f>
        <v>37.19</v>
      </c>
      <c r="G79" s="385"/>
      <c r="H79" s="1199"/>
      <c r="I79" s="386">
        <f>I64</f>
        <v>2021</v>
      </c>
      <c r="J79" s="387">
        <f>J64</f>
        <v>2022</v>
      </c>
      <c r="K79" s="384" t="s">
        <v>386</v>
      </c>
      <c r="L79" s="388">
        <f ca="1">$B$290</f>
        <v>37.19</v>
      </c>
      <c r="M79" s="385"/>
      <c r="N79" s="1199"/>
      <c r="O79" s="386">
        <f>O4</f>
        <v>2021</v>
      </c>
      <c r="P79" s="387">
        <f>P4</f>
        <v>2023</v>
      </c>
      <c r="Q79" s="384" t="s">
        <v>386</v>
      </c>
      <c r="R79" s="388">
        <f ca="1">$B$290</f>
        <v>37.19</v>
      </c>
      <c r="S79" s="377"/>
      <c r="T79" s="1199"/>
      <c r="U79" s="386">
        <f>U64</f>
        <v>2021</v>
      </c>
      <c r="V79" s="387"/>
      <c r="W79" s="384" t="s">
        <v>386</v>
      </c>
      <c r="X79" s="388">
        <f ca="1">$B$290</f>
        <v>37.19</v>
      </c>
      <c r="Y79" s="377"/>
      <c r="Z79" s="1199"/>
      <c r="AA79" s="386">
        <f>AA64</f>
        <v>2023</v>
      </c>
      <c r="AB79" s="387">
        <f>AB64</f>
        <v>2021</v>
      </c>
      <c r="AC79" s="384" t="s">
        <v>386</v>
      </c>
      <c r="AD79" s="388">
        <f ca="1">$B$290</f>
        <v>37.19</v>
      </c>
      <c r="AE79" s="377"/>
      <c r="AF79" s="1199"/>
      <c r="AG79" s="386">
        <f>AG64</f>
        <v>2023</v>
      </c>
      <c r="AH79" s="386">
        <f>AH64</f>
        <v>2021</v>
      </c>
      <c r="AI79" s="384" t="s">
        <v>386</v>
      </c>
      <c r="AJ79" s="388">
        <f ca="1">$B$290</f>
        <v>37.19</v>
      </c>
      <c r="AK79" s="377"/>
      <c r="AL79" s="1199"/>
      <c r="AM79" s="386">
        <f>AM64</f>
        <v>2021</v>
      </c>
      <c r="AN79" s="387"/>
      <c r="AO79" s="384" t="s">
        <v>386</v>
      </c>
      <c r="AP79" s="388">
        <f ca="1">$B$290</f>
        <v>37.19</v>
      </c>
      <c r="AQ79" s="377"/>
      <c r="AR79" s="1199"/>
      <c r="AS79" s="386">
        <f>AS64</f>
        <v>2021</v>
      </c>
      <c r="AT79" s="387"/>
      <c r="AU79" s="384" t="s">
        <v>386</v>
      </c>
      <c r="AV79" s="388">
        <f ca="1">$B$290</f>
        <v>37.19</v>
      </c>
      <c r="AW79" s="377"/>
      <c r="AX79" s="1199"/>
      <c r="AY79" s="386">
        <f>AY64</f>
        <v>2021</v>
      </c>
      <c r="AZ79" s="387"/>
      <c r="BA79" s="384" t="s">
        <v>386</v>
      </c>
      <c r="BB79" s="388">
        <f ca="1">$B$290</f>
        <v>37.19</v>
      </c>
      <c r="BC79" s="377"/>
      <c r="BD79" s="1199"/>
      <c r="BE79" s="386">
        <f>BE64</f>
        <v>2021</v>
      </c>
      <c r="BF79" s="387"/>
      <c r="BG79" s="384" t="s">
        <v>386</v>
      </c>
      <c r="BH79" s="388">
        <f ca="1">$B$290</f>
        <v>37.19</v>
      </c>
      <c r="BI79" s="377"/>
      <c r="BJ79" s="1199"/>
      <c r="BK79" s="386">
        <f>BK64</f>
        <v>2021</v>
      </c>
      <c r="BL79" s="387"/>
      <c r="BM79" s="384" t="s">
        <v>386</v>
      </c>
      <c r="BN79" s="388">
        <f ca="1">$B$290</f>
        <v>37.19</v>
      </c>
      <c r="BO79" s="377"/>
      <c r="BP79" s="1199"/>
      <c r="BQ79" s="386">
        <f>BQ64</f>
        <v>2021</v>
      </c>
      <c r="BR79" s="387"/>
      <c r="BS79" s="384" t="s">
        <v>386</v>
      </c>
      <c r="BT79" s="388">
        <f ca="1">$B$290</f>
        <v>37.19</v>
      </c>
      <c r="BU79" s="377"/>
      <c r="BV79" s="1199"/>
      <c r="BW79" s="386">
        <f>BW64</f>
        <v>2022</v>
      </c>
      <c r="BX79" s="387"/>
      <c r="BY79" s="384" t="s">
        <v>386</v>
      </c>
      <c r="BZ79" s="388">
        <f ca="1">$B$290</f>
        <v>37.19</v>
      </c>
      <c r="CA79" s="377"/>
      <c r="CB79" s="1199"/>
      <c r="CC79" s="386">
        <f>CC64</f>
        <v>2022</v>
      </c>
      <c r="CD79" s="387">
        <f>CD94</f>
        <v>2020</v>
      </c>
      <c r="CE79" s="384" t="s">
        <v>386</v>
      </c>
      <c r="CF79" s="388">
        <f ca="1">$B$290</f>
        <v>37.19</v>
      </c>
      <c r="CH79" s="1199"/>
      <c r="CI79" s="386">
        <f>CI64</f>
        <v>2021</v>
      </c>
      <c r="CJ79" s="387">
        <f>CJ64</f>
        <v>2019</v>
      </c>
      <c r="CK79" s="384" t="s">
        <v>386</v>
      </c>
      <c r="CL79" s="388">
        <f ca="1">$B$290</f>
        <v>37.19</v>
      </c>
      <c r="CN79" s="1199"/>
      <c r="CO79" s="386">
        <f>CO64</f>
        <v>2021</v>
      </c>
      <c r="CP79" s="387">
        <f>CP64</f>
        <v>2020</v>
      </c>
      <c r="CQ79" s="384" t="s">
        <v>386</v>
      </c>
      <c r="CR79" s="388">
        <f ca="1">$B$290</f>
        <v>37.19</v>
      </c>
    </row>
    <row r="80" spans="2:96" ht="13">
      <c r="B80" s="389">
        <v>-20</v>
      </c>
      <c r="C80" s="291">
        <v>-0.41</v>
      </c>
      <c r="D80" s="291">
        <f t="shared" ref="D80:D91" si="163">U192</f>
        <v>-0.63</v>
      </c>
      <c r="E80" s="390">
        <f t="shared" ref="E80:E91" si="164">IF(OR(C80=0,D80=0),$U$204/3,((MAX(C80:D80)-(MIN(C80:D80)))))</f>
        <v>0.22000000000000003</v>
      </c>
      <c r="F80" s="932">
        <f ca="1">IF($L$4&lt;=$B$10,$B$9,IF($L$4&lt;=$B$11,$B$10,IF($L$4&lt;=$B$12,$B$11,IF($L$4&lt;=$B$13,$B$12,IF($L$4&lt;=$B$14,$B$13)))))</f>
        <v>37</v>
      </c>
      <c r="G80" s="392"/>
      <c r="H80" s="389">
        <v>-20</v>
      </c>
      <c r="I80" s="291">
        <v>-0.77</v>
      </c>
      <c r="J80" s="291">
        <f t="shared" ref="J80:J91" si="165">V192</f>
        <v>-0.43</v>
      </c>
      <c r="K80" s="390">
        <f t="shared" ref="K80:K91" si="166">IF(OR(I80=0,J80=0),$V$204/3,((MAX(I80:J80)-(MIN(I80:J80)))))</f>
        <v>0.34</v>
      </c>
      <c r="L80" s="932">
        <f ca="1">IF($L$4&lt;=$B$10,$B$9,IF($L$4&lt;=$B$11,$B$10,IF($L$4&lt;=$B$12,$B$11,IF($L$4&lt;=$B$13,$B$12,IF($L$4&lt;=$B$14,$B$13)))))</f>
        <v>37</v>
      </c>
      <c r="M80" s="392"/>
      <c r="N80" s="389">
        <v>-20</v>
      </c>
      <c r="O80" s="291">
        <v>9.9999999999999995E-7</v>
      </c>
      <c r="P80" s="291">
        <f t="shared" ref="P80:P91" si="167">W192</f>
        <v>-0.45</v>
      </c>
      <c r="Q80" s="390">
        <f t="shared" ref="Q80:Q91" si="168">IF(OR(O80=0,P80=0),$W$204/3,((MAX(O80:P80)-(MIN(O80:P80)))))</f>
        <v>0.45000099999999998</v>
      </c>
      <c r="R80" s="932">
        <f ca="1">IF($L$4&lt;=$B$10,$B$9,IF($L$4&lt;=$B$11,$B$10,IF($L$4&lt;=$B$12,$B$11,IF($L$4&lt;=$B$13,$B$12,IF($L$4&lt;=$B$14,$B$13)))))</f>
        <v>37</v>
      </c>
      <c r="S80" s="377"/>
      <c r="T80" s="389">
        <v>-20</v>
      </c>
      <c r="U80" s="291">
        <f t="shared" ref="U80:U91" si="169">X192</f>
        <v>-1.37</v>
      </c>
      <c r="V80" s="291"/>
      <c r="W80" s="390">
        <f t="shared" ref="W80:W91" si="170">IF(OR(U80=0,V80=0),$X$204/3,((MAX(U80:V80)-(MIN(U80:V80)))))</f>
        <v>8.666666666666667E-2</v>
      </c>
      <c r="X80" s="932">
        <f ca="1">IF($L$4&lt;=$B$10,$B$9,IF($L$4&lt;=$B$11,$B$10,IF($L$4&lt;=$B$12,$B$11,IF($L$4&lt;=$B$13,$B$12,IF($L$4&lt;=$B$14,$B$13)))))</f>
        <v>37</v>
      </c>
      <c r="Y80" s="377"/>
      <c r="Z80" s="389">
        <v>-20</v>
      </c>
      <c r="AA80" s="291">
        <f t="shared" ref="AA80:AA91" si="171">Y192</f>
        <v>0.11</v>
      </c>
      <c r="AB80" s="291">
        <v>-0.57999999999999996</v>
      </c>
      <c r="AC80" s="390">
        <f t="shared" ref="AC80:AC91" si="172">IF(OR(AA80=0,AB80=0),$Y$204/3,((MAX(AA80:AB80)-(MIN(AA80:AB80)))))</f>
        <v>0.69</v>
      </c>
      <c r="AD80" s="932">
        <f ca="1">IF($L$4&lt;=$B$10,$B$9,IF($L$4&lt;=$B$11,$B$10,IF($L$4&lt;=$B$12,$B$11,IF($L$4&lt;=$B$13,$B$12,IF($L$4&lt;=$B$14,$B$13)))))</f>
        <v>37</v>
      </c>
      <c r="AE80" s="377"/>
      <c r="AF80" s="389">
        <v>-20</v>
      </c>
      <c r="AG80" s="291">
        <f t="shared" ref="AG80:AG91" si="173">Z192</f>
        <v>0.15</v>
      </c>
      <c r="AH80" s="291">
        <v>-7.0000000000000007E-2</v>
      </c>
      <c r="AI80" s="390">
        <f t="shared" ref="AI80:AI91" si="174">IF(OR(AG80=0,AH80=0),$Z$204/3,((MAX(AG80:AH80)-(MIN(AG80:AH80)))))</f>
        <v>0.22</v>
      </c>
      <c r="AJ80" s="932">
        <f ca="1">IF($L$4&lt;=$B$10,$B$9,IF($L$4&lt;=$B$11,$B$10,IF($L$4&lt;=$B$12,$B$11,IF($L$4&lt;=$B$13,$B$12,IF($L$4&lt;=$B$14,$B$13)))))</f>
        <v>37</v>
      </c>
      <c r="AK80" s="377"/>
      <c r="AL80" s="389">
        <v>-20</v>
      </c>
      <c r="AM80" s="291">
        <f t="shared" ref="AM80:AM91" si="175">AA192</f>
        <v>0.48</v>
      </c>
      <c r="AN80" s="291"/>
      <c r="AO80" s="390">
        <f t="shared" ref="AO80:AO91" si="176">IF(OR(AM80=0,AN80=0),$AA$204/3,((MAX(AM80:AN80)-(MIN(AM80:AN80)))))</f>
        <v>0.08</v>
      </c>
      <c r="AP80" s="932">
        <f ca="1">IF($L$4&lt;=$B$10,$B$9,IF($L$4&lt;=$B$11,$B$10,IF($L$4&lt;=$B$12,$B$11,IF($L$4&lt;=$B$13,$B$12,IF($L$4&lt;=$B$14,$B$13)))))</f>
        <v>37</v>
      </c>
      <c r="AQ80" s="377"/>
      <c r="AR80" s="389">
        <v>-20</v>
      </c>
      <c r="AS80" s="291">
        <f t="shared" ref="AS80:AS91" si="177">AB192</f>
        <v>0.35</v>
      </c>
      <c r="AT80" s="291"/>
      <c r="AU80" s="390">
        <f t="shared" ref="AU80:AU91" si="178">IF(OR(AS80=0,AT80=0),$AB$204/3,((MAX(AS80:AT80)-(MIN(AS80:AT80)))))</f>
        <v>8.3333333333333329E-2</v>
      </c>
      <c r="AV80" s="932">
        <f ca="1">IF($L$4&lt;=$B$10,$B$9,IF($L$4&lt;=$B$11,$B$10,IF($L$4&lt;=$B$12,$B$11,IF($L$4&lt;=$B$13,$B$12,IF($L$4&lt;=$B$14,$B$13)))))</f>
        <v>37</v>
      </c>
      <c r="AW80" s="377"/>
      <c r="AX80" s="389">
        <v>-20</v>
      </c>
      <c r="AY80" s="291">
        <f t="shared" ref="AY80:AY91" si="179">AC192</f>
        <v>0.57999999999999996</v>
      </c>
      <c r="AZ80" s="291"/>
      <c r="BA80" s="390">
        <f t="shared" ref="BA80:BA91" si="180">IF(OR(AY80=0,AZ80=0),$AC$204/3,((MAX(AY80:AZ80)-(MIN(AY80:AZ80)))))</f>
        <v>0.26333333333333336</v>
      </c>
      <c r="BB80" s="932">
        <f ca="1">IF($L$4&lt;=$B$10,$B$9,IF($L$4&lt;=$B$11,$B$10,IF($L$4&lt;=$B$12,$B$11,IF($L$4&lt;=$B$13,$B$12,IF($L$4&lt;=$B$14,$B$13)))))</f>
        <v>37</v>
      </c>
      <c r="BC80" s="377"/>
      <c r="BD80" s="389">
        <v>-20</v>
      </c>
      <c r="BE80" s="291">
        <f t="shared" ref="BE80:BE91" si="181">AD192</f>
        <v>-0.91</v>
      </c>
      <c r="BF80" s="291"/>
      <c r="BG80" s="390">
        <f t="shared" ref="BG80:BG91" si="182">IF(OR(BE80=0,BF80=0),$AD$204/3,((MAX(BE80:BF80)-(MIN(BE80:BF80)))))</f>
        <v>9.0000000000000011E-2</v>
      </c>
      <c r="BH80" s="932">
        <f ca="1">IF($L$4&lt;=$B$10,$B$9,IF($L$4&lt;=$B$11,$B$10,IF($L$4&lt;=$B$12,$B$11,IF($L$4&lt;=$B$13,$B$12,IF($L$4&lt;=$B$14,$B$13)))))</f>
        <v>37</v>
      </c>
      <c r="BI80" s="377"/>
      <c r="BJ80" s="389">
        <v>-20</v>
      </c>
      <c r="BK80" s="291">
        <f t="shared" ref="BK80:BK91" si="183">AE192</f>
        <v>0.57999999999999996</v>
      </c>
      <c r="BL80" s="291"/>
      <c r="BM80" s="390">
        <f t="shared" ref="BM80:BM91" si="184">IF(OR(BK80=0,BL80=0),$AE$204/3,((MAX(BK80:BL80)-(MIN(BK80:BL80)))))</f>
        <v>0.26333333333333336</v>
      </c>
      <c r="BN80" s="932">
        <f ca="1">IF($L$4&lt;=$B$10,$B$9,IF($L$4&lt;=$B$11,$B$10,IF($L$4&lt;=$B$12,$B$11,IF($L$4&lt;=$B$13,$B$12,IF($L$4&lt;=$B$14,$B$13)))))</f>
        <v>37</v>
      </c>
      <c r="BO80" s="377"/>
      <c r="BP80" s="389">
        <v>-20</v>
      </c>
      <c r="BQ80" s="291">
        <f t="shared" ref="BQ80:BQ91" si="185">AF192</f>
        <v>-1.27</v>
      </c>
      <c r="BR80" s="291"/>
      <c r="BS80" s="390">
        <f t="shared" ref="BS80:BS91" si="186">IF(OR(BQ80=0,BR80=0),$AF$204/3,((MAX(BQ80:BR80)-(MIN(BQ80:BR80)))))</f>
        <v>8.666666666666667E-2</v>
      </c>
      <c r="BT80" s="932">
        <f ca="1">IF($L$4&lt;=$B$10,$B$9,IF($L$4&lt;=$B$11,$B$10,IF($L$4&lt;=$B$12,$B$11,IF($L$4&lt;=$B$13,$B$12,IF($L$4&lt;=$B$14,$B$13)))))</f>
        <v>37</v>
      </c>
      <c r="BU80" s="377"/>
      <c r="BV80" s="389">
        <v>-20</v>
      </c>
      <c r="BW80" s="291">
        <f t="shared" ref="BW80:BW91" si="187">AG192</f>
        <v>-1.43</v>
      </c>
      <c r="BX80" s="291"/>
      <c r="BY80" s="390">
        <f t="shared" ref="BY80:BY91" si="188">IF(OR(BW80=0,BX80=0),$AG$204/3,((MAX(BW80:BX80)-(MIN(BW80:BX80)))))</f>
        <v>8.3333333333333329E-2</v>
      </c>
      <c r="BZ80" s="932">
        <f ca="1">IF($L$4&lt;=$B$10,$B$9,IF($L$4&lt;=$B$11,$B$10,IF($L$4&lt;=$B$12,$B$11,IF($L$4&lt;=$B$13,$B$12,IF($L$4&lt;=$B$14,$B$13)))))</f>
        <v>37</v>
      </c>
      <c r="CA80" s="377"/>
      <c r="CB80" s="389">
        <v>-20</v>
      </c>
      <c r="CC80" s="291">
        <f>CC66</f>
        <v>-1.1000000000000001</v>
      </c>
      <c r="CD80" s="291">
        <f>CD95</f>
        <v>-0.7</v>
      </c>
      <c r="CE80" s="390">
        <f>CE66</f>
        <v>0.40000000000000013</v>
      </c>
      <c r="CF80" s="932">
        <f ca="1">IF($L$4&lt;=$B$10,$B$9,IF($L$4&lt;=$B$11,$B$10,IF($L$4&lt;=$B$12,$B$11,IF($L$4&lt;=$B$13,$B$12,IF($L$4&lt;=$B$14,$B$13)))))</f>
        <v>37</v>
      </c>
      <c r="CH80" s="389">
        <v>-20</v>
      </c>
      <c r="CI80" s="291">
        <f>CI50</f>
        <v>-0.15</v>
      </c>
      <c r="CJ80" s="291">
        <f>CJ50</f>
        <v>-0.32</v>
      </c>
      <c r="CK80" s="390">
        <f>CK50</f>
        <v>0.17</v>
      </c>
      <c r="CL80" s="932">
        <f ca="1">IF($L$4&lt;=$B$10,$B$9,IF($L$4&lt;=$B$11,$B$10,IF($L$4&lt;=$B$12,$B$11,IF($L$4&lt;=$B$13,$B$12,IF($L$4&lt;=$B$14,$B$13)))))</f>
        <v>37</v>
      </c>
      <c r="CN80" s="389">
        <v>-20</v>
      </c>
      <c r="CO80" s="291">
        <f>CO50</f>
        <v>-1.8</v>
      </c>
      <c r="CP80" s="291">
        <f>CP50</f>
        <v>-0.51</v>
      </c>
      <c r="CQ80" s="390">
        <f>CQ50</f>
        <v>1.29</v>
      </c>
      <c r="CR80" s="932">
        <f ca="1">IF($L$4&lt;=$B$10,$B$9,IF($L$4&lt;=$B$11,$B$10,IF($L$4&lt;=$B$12,$B$11,IF($L$4&lt;=$B$13,$B$12,IF($L$4&lt;=$B$14,$B$13)))))</f>
        <v>37</v>
      </c>
    </row>
    <row r="81" spans="2:96" ht="13">
      <c r="B81" s="389">
        <v>-15</v>
      </c>
      <c r="C81" s="291">
        <v>-0.36</v>
      </c>
      <c r="D81" s="291">
        <f t="shared" si="163"/>
        <v>-0.56000000000000005</v>
      </c>
      <c r="E81" s="390">
        <f t="shared" si="164"/>
        <v>0.20000000000000007</v>
      </c>
      <c r="F81" s="391"/>
      <c r="G81" s="392"/>
      <c r="H81" s="389">
        <v>-15</v>
      </c>
      <c r="I81" s="291">
        <v>-0.63</v>
      </c>
      <c r="J81" s="291">
        <f t="shared" si="165"/>
        <v>-0.37</v>
      </c>
      <c r="K81" s="390">
        <f t="shared" si="166"/>
        <v>0.26</v>
      </c>
      <c r="L81" s="391"/>
      <c r="M81" s="392"/>
      <c r="N81" s="389">
        <v>-15</v>
      </c>
      <c r="O81" s="291">
        <v>-0.5</v>
      </c>
      <c r="P81" s="291">
        <f t="shared" si="167"/>
        <v>-0.38</v>
      </c>
      <c r="Q81" s="390">
        <f t="shared" si="168"/>
        <v>0.12</v>
      </c>
      <c r="R81" s="391"/>
      <c r="S81" s="377"/>
      <c r="T81" s="389">
        <v>-15</v>
      </c>
      <c r="U81" s="291">
        <f t="shared" si="169"/>
        <v>-1.1399999999999999</v>
      </c>
      <c r="V81" s="291"/>
      <c r="W81" s="390">
        <f t="shared" si="170"/>
        <v>8.666666666666667E-2</v>
      </c>
      <c r="X81" s="391"/>
      <c r="Y81" s="377"/>
      <c r="Z81" s="389">
        <v>-15</v>
      </c>
      <c r="AA81" s="291">
        <f t="shared" si="171"/>
        <v>0.15</v>
      </c>
      <c r="AB81" s="291">
        <v>9.9999999999999995E-7</v>
      </c>
      <c r="AC81" s="390">
        <f t="shared" si="172"/>
        <v>0.14999899999999999</v>
      </c>
      <c r="AD81" s="391"/>
      <c r="AE81" s="377"/>
      <c r="AF81" s="389">
        <v>-15</v>
      </c>
      <c r="AG81" s="291">
        <f t="shared" si="173"/>
        <v>0.18</v>
      </c>
      <c r="AH81" s="291">
        <v>9.9999999999999995E-7</v>
      </c>
      <c r="AI81" s="390">
        <f t="shared" si="174"/>
        <v>0.17999899999999999</v>
      </c>
      <c r="AJ81" s="391"/>
      <c r="AK81" s="377"/>
      <c r="AL81" s="389">
        <v>-15</v>
      </c>
      <c r="AM81" s="291">
        <f t="shared" si="175"/>
        <v>0.49</v>
      </c>
      <c r="AN81" s="291"/>
      <c r="AO81" s="390">
        <f t="shared" si="176"/>
        <v>0.08</v>
      </c>
      <c r="AP81" s="391"/>
      <c r="AQ81" s="377"/>
      <c r="AR81" s="389">
        <v>-15</v>
      </c>
      <c r="AS81" s="291">
        <f t="shared" si="177"/>
        <v>0.38</v>
      </c>
      <c r="AT81" s="291"/>
      <c r="AU81" s="390">
        <f t="shared" si="178"/>
        <v>8.3333333333333329E-2</v>
      </c>
      <c r="AV81" s="391"/>
      <c r="AW81" s="377"/>
      <c r="AX81" s="389">
        <v>-15</v>
      </c>
      <c r="AY81" s="291">
        <f t="shared" si="179"/>
        <v>9.9999999999999995E-7</v>
      </c>
      <c r="AZ81" s="291"/>
      <c r="BA81" s="390">
        <f t="shared" si="180"/>
        <v>0.26333333333333336</v>
      </c>
      <c r="BB81" s="391"/>
      <c r="BC81" s="377"/>
      <c r="BD81" s="389">
        <v>-15</v>
      </c>
      <c r="BE81" s="291">
        <f t="shared" si="181"/>
        <v>-0.65</v>
      </c>
      <c r="BF81" s="291"/>
      <c r="BG81" s="390">
        <f t="shared" si="182"/>
        <v>9.0000000000000011E-2</v>
      </c>
      <c r="BH81" s="391"/>
      <c r="BI81" s="377"/>
      <c r="BJ81" s="389">
        <v>-15</v>
      </c>
      <c r="BK81" s="291">
        <f t="shared" si="183"/>
        <v>9.9999999999999995E-7</v>
      </c>
      <c r="BL81" s="291"/>
      <c r="BM81" s="390">
        <f t="shared" si="184"/>
        <v>0.26333333333333336</v>
      </c>
      <c r="BN81" s="391"/>
      <c r="BO81" s="377"/>
      <c r="BP81" s="389">
        <v>-15</v>
      </c>
      <c r="BQ81" s="291">
        <f t="shared" si="185"/>
        <v>-1.01</v>
      </c>
      <c r="BR81" s="291"/>
      <c r="BS81" s="390">
        <f t="shared" si="186"/>
        <v>8.666666666666667E-2</v>
      </c>
      <c r="BT81" s="391"/>
      <c r="BU81" s="377"/>
      <c r="BV81" s="389">
        <v>-15</v>
      </c>
      <c r="BW81" s="291">
        <f t="shared" si="187"/>
        <v>-1.17</v>
      </c>
      <c r="BX81" s="291"/>
      <c r="BY81" s="390">
        <f t="shared" si="188"/>
        <v>8.3333333333333329E-2</v>
      </c>
      <c r="BZ81" s="391"/>
      <c r="CA81" s="377"/>
      <c r="CB81" s="389">
        <v>-15</v>
      </c>
      <c r="CC81" s="291">
        <f t="shared" ref="CC81:CC91" si="189">CC67</f>
        <v>-1.2</v>
      </c>
      <c r="CD81" s="291">
        <f t="shared" ref="CD81:CD91" si="190">CD96</f>
        <v>-0.7</v>
      </c>
      <c r="CE81" s="390">
        <f t="shared" ref="CE81:CE91" si="191">CE66</f>
        <v>0.40000000000000013</v>
      </c>
      <c r="CF81" s="391"/>
      <c r="CH81" s="389">
        <v>-15</v>
      </c>
      <c r="CI81" s="291">
        <f t="shared" ref="CI81:CI91" si="192">CI66</f>
        <v>-0.1</v>
      </c>
      <c r="CJ81" s="291">
        <f t="shared" ref="CJ81:CJ91" si="193">CJ51</f>
        <v>-0.24</v>
      </c>
      <c r="CK81" s="390">
        <f t="shared" ref="CK81:CK91" si="194">CK66</f>
        <v>0.13999999999999999</v>
      </c>
      <c r="CL81" s="391"/>
      <c r="CN81" s="389">
        <v>-15</v>
      </c>
      <c r="CO81" s="291">
        <f t="shared" ref="CO81:CP91" si="195">CO51</f>
        <v>-1.52</v>
      </c>
      <c r="CP81" s="291">
        <f t="shared" si="195"/>
        <v>-0.39</v>
      </c>
      <c r="CQ81" s="390">
        <f t="shared" ref="CQ81:CQ91" si="196">CQ66</f>
        <v>1.1299999999999999</v>
      </c>
      <c r="CR81" s="391"/>
    </row>
    <row r="82" spans="2:96" ht="13">
      <c r="B82" s="389">
        <v>-10</v>
      </c>
      <c r="C82" s="291">
        <v>-0.31</v>
      </c>
      <c r="D82" s="291">
        <f t="shared" si="163"/>
        <v>-0.49</v>
      </c>
      <c r="E82" s="390">
        <f t="shared" si="164"/>
        <v>0.18</v>
      </c>
      <c r="F82" s="932">
        <f ca="1">IF($L$4&lt;=$B$9,$B$9,IF($L$4&lt;=$B$10,$B$10,IF($L$4&lt;=$B$11,$B$11,IF($L$4&lt;=$B$12,$B$12,IF($L$4&lt;=$B$13,$B$13,IF($L$4&lt;=$B$14,$B$14))))))</f>
        <v>44</v>
      </c>
      <c r="G82" s="392"/>
      <c r="H82" s="389">
        <v>-10</v>
      </c>
      <c r="I82" s="291">
        <v>9.9999999999999995E-7</v>
      </c>
      <c r="J82" s="291">
        <f t="shared" si="165"/>
        <v>-0.31</v>
      </c>
      <c r="K82" s="390">
        <f t="shared" si="166"/>
        <v>0.31000099999999997</v>
      </c>
      <c r="L82" s="932">
        <f ca="1">IF($L$4&lt;=$B$9,$B$9,IF($L$4&lt;=$B$10,$B$10,IF($L$4&lt;=$B$11,$B$11,IF($L$4&lt;=$B$12,$B$12,IF($L$4&lt;=$B$13,$B$13,IF($L$4&lt;=$B$14,$B$14))))))</f>
        <v>44</v>
      </c>
      <c r="M82" s="392"/>
      <c r="N82" s="389">
        <v>-10</v>
      </c>
      <c r="O82" s="291">
        <v>-0.41</v>
      </c>
      <c r="P82" s="291">
        <f t="shared" si="167"/>
        <v>-0.31</v>
      </c>
      <c r="Q82" s="390">
        <f t="shared" si="168"/>
        <v>9.9999999999999978E-2</v>
      </c>
      <c r="R82" s="932">
        <f ca="1">IF($L$4&lt;=$B$9,$B$9,IF($L$4&lt;=$B$10,$B$10,IF($L$4&lt;=$B$11,$B$11,IF($L$4&lt;=$B$12,$B$12,IF($L$4&lt;=$B$13,$B$13,IF($L$4&lt;=$B$14,$B$14))))))</f>
        <v>44</v>
      </c>
      <c r="S82" s="377"/>
      <c r="T82" s="389">
        <v>-10</v>
      </c>
      <c r="U82" s="291">
        <f t="shared" si="169"/>
        <v>-0.9</v>
      </c>
      <c r="V82" s="291"/>
      <c r="W82" s="390">
        <f t="shared" si="170"/>
        <v>8.666666666666667E-2</v>
      </c>
      <c r="X82" s="932">
        <f ca="1">IF($L$4&lt;=$B$9,$B$9,IF($L$4&lt;=$B$10,$B$10,IF($L$4&lt;=$B$11,$B$11,IF($L$4&lt;=$B$12,$B$12,IF($L$4&lt;=$B$13,$B$13,IF($L$4&lt;=$B$14,$B$14))))))</f>
        <v>44</v>
      </c>
      <c r="Y82" s="377"/>
      <c r="Z82" s="389">
        <v>-10</v>
      </c>
      <c r="AA82" s="291">
        <f t="shared" si="171"/>
        <v>0.18</v>
      </c>
      <c r="AB82" s="291">
        <v>-0.31</v>
      </c>
      <c r="AC82" s="390">
        <f t="shared" si="172"/>
        <v>0.49</v>
      </c>
      <c r="AD82" s="932">
        <f ca="1">IF($L$4&lt;=$B$9,$B$9,IF($L$4&lt;=$B$10,$B$10,IF($L$4&lt;=$B$11,$B$11,IF($L$4&lt;=$B$12,$B$12,IF($L$4&lt;=$B$13,$B$13,IF($L$4&lt;=$B$14,$B$14))))))</f>
        <v>44</v>
      </c>
      <c r="AE82" s="377"/>
      <c r="AF82" s="389">
        <v>-10</v>
      </c>
      <c r="AG82" s="291">
        <f t="shared" si="173"/>
        <v>0.2</v>
      </c>
      <c r="AH82" s="291">
        <v>0.16</v>
      </c>
      <c r="AI82" s="390">
        <f t="shared" si="174"/>
        <v>4.0000000000000008E-2</v>
      </c>
      <c r="AJ82" s="932">
        <f ca="1">IF($L$4&lt;=$B$9,$B$9,IF($L$4&lt;=$B$10,$B$10,IF($L$4&lt;=$B$11,$B$11,IF($L$4&lt;=$B$12,$B$12,IF($L$4&lt;=$B$13,$B$13,IF($L$4&lt;=$B$14,$B$14))))))</f>
        <v>44</v>
      </c>
      <c r="AK82" s="377"/>
      <c r="AL82" s="389">
        <v>-10</v>
      </c>
      <c r="AM82" s="291">
        <f t="shared" si="175"/>
        <v>0.5</v>
      </c>
      <c r="AN82" s="291"/>
      <c r="AO82" s="390">
        <f t="shared" si="176"/>
        <v>0.08</v>
      </c>
      <c r="AP82" s="932">
        <f ca="1">IF($L$4&lt;=$B$9,$B$9,IF($L$4&lt;=$B$10,$B$10,IF($L$4&lt;=$B$11,$B$11,IF($L$4&lt;=$B$12,$B$12,IF($L$4&lt;=$B$13,$B$13,IF($L$4&lt;=$B$14,$B$14))))))</f>
        <v>44</v>
      </c>
      <c r="AQ82" s="377"/>
      <c r="AR82" s="389">
        <v>-10</v>
      </c>
      <c r="AS82" s="291">
        <f t="shared" si="177"/>
        <v>0.4</v>
      </c>
      <c r="AT82" s="291"/>
      <c r="AU82" s="390">
        <f t="shared" si="178"/>
        <v>8.3333333333333329E-2</v>
      </c>
      <c r="AV82" s="932">
        <f ca="1">IF($L$4&lt;=$B$9,$B$9,IF($L$4&lt;=$B$10,$B$10,IF($L$4&lt;=$B$11,$B$11,IF($L$4&lt;=$B$12,$B$12,IF($L$4&lt;=$B$13,$B$13,IF($L$4&lt;=$B$14,$B$14))))))</f>
        <v>44</v>
      </c>
      <c r="AW82" s="377"/>
      <c r="AX82" s="389">
        <v>-10</v>
      </c>
      <c r="AY82" s="291">
        <f t="shared" si="179"/>
        <v>0.55000000000000004</v>
      </c>
      <c r="AZ82" s="291"/>
      <c r="BA82" s="390">
        <f t="shared" si="180"/>
        <v>0.26333333333333336</v>
      </c>
      <c r="BB82" s="932">
        <f ca="1">IF($L$4&lt;=$B$9,$B$9,IF($L$4&lt;=$B$10,$B$10,IF($L$4&lt;=$B$11,$B$11,IF($L$4&lt;=$B$12,$B$12,IF($L$4&lt;=$B$13,$B$13,IF($L$4&lt;=$B$14,$B$14))))))</f>
        <v>44</v>
      </c>
      <c r="BC82" s="377"/>
      <c r="BD82" s="389">
        <v>-10</v>
      </c>
      <c r="BE82" s="291">
        <f t="shared" si="181"/>
        <v>-0.46</v>
      </c>
      <c r="BF82" s="291"/>
      <c r="BG82" s="390">
        <f t="shared" si="182"/>
        <v>9.0000000000000011E-2</v>
      </c>
      <c r="BH82" s="932">
        <f ca="1">IF($L$4&lt;=$B$9,$B$9,IF($L$4&lt;=$B$10,$B$10,IF($L$4&lt;=$B$11,$B$11,IF($L$4&lt;=$B$12,$B$12,IF($L$4&lt;=$B$13,$B$13,IF($L$4&lt;=$B$14,$B$14))))))</f>
        <v>44</v>
      </c>
      <c r="BI82" s="377"/>
      <c r="BJ82" s="389">
        <v>-10</v>
      </c>
      <c r="BK82" s="291">
        <f t="shared" si="183"/>
        <v>0.55000000000000004</v>
      </c>
      <c r="BL82" s="291"/>
      <c r="BM82" s="390">
        <f t="shared" si="184"/>
        <v>0.26333333333333336</v>
      </c>
      <c r="BN82" s="932">
        <f ca="1">IF($L$4&lt;=$B$9,$B$9,IF($L$4&lt;=$B$10,$B$10,IF($L$4&lt;=$B$11,$B$11,IF($L$4&lt;=$B$12,$B$12,IF($L$4&lt;=$B$13,$B$13,IF($L$4&lt;=$B$14,$B$14))))))</f>
        <v>44</v>
      </c>
      <c r="BO82" s="377"/>
      <c r="BP82" s="389">
        <v>-10</v>
      </c>
      <c r="BQ82" s="291">
        <f t="shared" si="185"/>
        <v>-0.8</v>
      </c>
      <c r="BR82" s="291"/>
      <c r="BS82" s="390">
        <f t="shared" si="186"/>
        <v>8.666666666666667E-2</v>
      </c>
      <c r="BT82" s="932">
        <f ca="1">IF($L$4&lt;=$B$9,$B$9,IF($L$4&lt;=$B$10,$B$10,IF($L$4&lt;=$B$11,$B$11,IF($L$4&lt;=$B$12,$B$12,IF($L$4&lt;=$B$13,$B$13,IF($L$4&lt;=$B$14,$B$14))))))</f>
        <v>44</v>
      </c>
      <c r="BU82" s="377"/>
      <c r="BV82" s="389">
        <v>-10</v>
      </c>
      <c r="BW82" s="291">
        <f t="shared" si="187"/>
        <v>-0.94</v>
      </c>
      <c r="BX82" s="291"/>
      <c r="BY82" s="390">
        <f t="shared" si="188"/>
        <v>8.3333333333333329E-2</v>
      </c>
      <c r="BZ82" s="932">
        <f ca="1">IF($L$4&lt;=$B$9,$B$9,IF($L$4&lt;=$B$10,$B$10,IF($L$4&lt;=$B$11,$B$11,IF($L$4&lt;=$B$12,$B$12,IF($L$4&lt;=$B$13,$B$13,IF($L$4&lt;=$B$14,$B$14))))))</f>
        <v>44</v>
      </c>
      <c r="CA82" s="377"/>
      <c r="CB82" s="389">
        <v>-10</v>
      </c>
      <c r="CC82" s="291">
        <f t="shared" si="189"/>
        <v>-1.4</v>
      </c>
      <c r="CD82" s="291">
        <f t="shared" si="190"/>
        <v>-0.7</v>
      </c>
      <c r="CE82" s="390">
        <f t="shared" si="191"/>
        <v>0.5</v>
      </c>
      <c r="CF82" s="932">
        <f ca="1">IF($L$4&lt;=$B$9,$B$9,IF($L$4&lt;=$B$10,$B$10,IF($L$4&lt;=$B$11,$B$11,IF($L$4&lt;=$B$12,$B$12,IF($L$4&lt;=$B$13,$B$13,IF($L$4&lt;=$B$14,$B$14))))))</f>
        <v>44</v>
      </c>
      <c r="CH82" s="389">
        <v>-10</v>
      </c>
      <c r="CI82" s="291">
        <f t="shared" si="192"/>
        <v>-0.05</v>
      </c>
      <c r="CJ82" s="291">
        <f t="shared" si="193"/>
        <v>-0.18</v>
      </c>
      <c r="CK82" s="390">
        <f t="shared" si="194"/>
        <v>0.13</v>
      </c>
      <c r="CL82" s="932">
        <f ca="1">IF($L$4&lt;=$B$9,$B$9,IF($L$4&lt;=$B$10,$B$10,IF($L$4&lt;=$B$11,$B$11,IF($L$4&lt;=$B$12,$B$12,IF($L$4&lt;=$B$13,$B$13,IF($L$4&lt;=$B$14,$B$14))))))</f>
        <v>44</v>
      </c>
      <c r="CN82" s="389">
        <v>-10</v>
      </c>
      <c r="CO82" s="291">
        <f t="shared" si="195"/>
        <v>-1.26</v>
      </c>
      <c r="CP82" s="291">
        <f t="shared" si="195"/>
        <v>-0.28000000000000003</v>
      </c>
      <c r="CQ82" s="390">
        <f t="shared" si="196"/>
        <v>0.98</v>
      </c>
      <c r="CR82" s="932">
        <f ca="1">IF($L$4&lt;=$B$9,$B$9,IF($L$4&lt;=$B$10,$B$10,IF($L$4&lt;=$B$11,$B$11,IF($L$4&lt;=$B$12,$B$12,IF($L$4&lt;=$B$13,$B$13,IF($L$4&lt;=$B$14,$B$14))))))</f>
        <v>44</v>
      </c>
    </row>
    <row r="83" spans="2:96" ht="13">
      <c r="B83" s="389">
        <v>9.9999999999999995E-7</v>
      </c>
      <c r="C83" s="291">
        <v>-0.22</v>
      </c>
      <c r="D83" s="291">
        <f t="shared" si="163"/>
        <v>-0.35</v>
      </c>
      <c r="E83" s="390">
        <f t="shared" si="164"/>
        <v>0.12999999999999998</v>
      </c>
      <c r="F83" s="391"/>
      <c r="G83" s="392"/>
      <c r="H83" s="389">
        <v>9.9999999999999995E-7</v>
      </c>
      <c r="I83" s="291">
        <v>-0.28000000000000003</v>
      </c>
      <c r="J83" s="291">
        <f t="shared" si="165"/>
        <v>-0.19</v>
      </c>
      <c r="K83" s="390">
        <f t="shared" si="166"/>
        <v>9.0000000000000024E-2</v>
      </c>
      <c r="L83" s="391"/>
      <c r="M83" s="392"/>
      <c r="N83" s="389">
        <v>9.9999999999999995E-7</v>
      </c>
      <c r="O83" s="291">
        <v>-0.34</v>
      </c>
      <c r="P83" s="291">
        <f t="shared" si="167"/>
        <v>-0.21</v>
      </c>
      <c r="Q83" s="390">
        <f t="shared" si="168"/>
        <v>0.13000000000000003</v>
      </c>
      <c r="R83" s="391"/>
      <c r="S83" s="377"/>
      <c r="T83" s="389">
        <v>9.9999999999999995E-7</v>
      </c>
      <c r="U83" s="291">
        <f t="shared" si="169"/>
        <v>-0.27</v>
      </c>
      <c r="V83" s="291"/>
      <c r="W83" s="390">
        <f t="shared" si="170"/>
        <v>8.666666666666667E-2</v>
      </c>
      <c r="X83" s="391"/>
      <c r="Y83" s="377"/>
      <c r="Z83" s="389">
        <v>9.9999999999999995E-7</v>
      </c>
      <c r="AA83" s="291">
        <f t="shared" si="171"/>
        <v>0.16</v>
      </c>
      <c r="AB83" s="291">
        <v>-0.08</v>
      </c>
      <c r="AC83" s="390">
        <f t="shared" si="172"/>
        <v>0.24</v>
      </c>
      <c r="AD83" s="391"/>
      <c r="AE83" s="377"/>
      <c r="AF83" s="389">
        <v>9.9999999999999995E-7</v>
      </c>
      <c r="AG83" s="291">
        <f t="shared" si="173"/>
        <v>0.19</v>
      </c>
      <c r="AH83" s="291">
        <v>0.34</v>
      </c>
      <c r="AI83" s="390">
        <f t="shared" si="174"/>
        <v>0.15000000000000002</v>
      </c>
      <c r="AJ83" s="391"/>
      <c r="AK83" s="377"/>
      <c r="AL83" s="389">
        <v>9.9999999999999995E-7</v>
      </c>
      <c r="AM83" s="291">
        <f t="shared" si="175"/>
        <v>0.45</v>
      </c>
      <c r="AN83" s="291"/>
      <c r="AO83" s="390">
        <f t="shared" si="176"/>
        <v>0.08</v>
      </c>
      <c r="AP83" s="391"/>
      <c r="AQ83" s="377"/>
      <c r="AR83" s="389">
        <v>9.9999999999999995E-7</v>
      </c>
      <c r="AS83" s="291">
        <f t="shared" si="177"/>
        <v>0.38</v>
      </c>
      <c r="AT83" s="291"/>
      <c r="AU83" s="390">
        <f t="shared" si="178"/>
        <v>8.3333333333333329E-2</v>
      </c>
      <c r="AV83" s="391"/>
      <c r="AW83" s="377"/>
      <c r="AX83" s="389">
        <v>9.9999999999999995E-7</v>
      </c>
      <c r="AY83" s="291">
        <f t="shared" si="179"/>
        <v>0.52</v>
      </c>
      <c r="AZ83" s="291"/>
      <c r="BA83" s="390">
        <f t="shared" si="180"/>
        <v>0.26333333333333336</v>
      </c>
      <c r="BB83" s="391"/>
      <c r="BC83" s="377"/>
      <c r="BD83" s="389">
        <v>9.9999999999999995E-7</v>
      </c>
      <c r="BE83" s="291">
        <f t="shared" si="181"/>
        <v>-0.25</v>
      </c>
      <c r="BF83" s="291"/>
      <c r="BG83" s="390">
        <f t="shared" si="182"/>
        <v>9.0000000000000011E-2</v>
      </c>
      <c r="BH83" s="391"/>
      <c r="BI83" s="377"/>
      <c r="BJ83" s="389">
        <v>9.9999999999999995E-7</v>
      </c>
      <c r="BK83" s="291">
        <f t="shared" si="183"/>
        <v>0.52</v>
      </c>
      <c r="BL83" s="291"/>
      <c r="BM83" s="390">
        <f t="shared" si="184"/>
        <v>0.26333333333333336</v>
      </c>
      <c r="BN83" s="391"/>
      <c r="BO83" s="377"/>
      <c r="BP83" s="389">
        <v>9.9999999999999995E-7</v>
      </c>
      <c r="BQ83" s="291">
        <f t="shared" si="185"/>
        <v>-0.61</v>
      </c>
      <c r="BR83" s="291"/>
      <c r="BS83" s="390">
        <f t="shared" si="186"/>
        <v>8.666666666666667E-2</v>
      </c>
      <c r="BT83" s="391"/>
      <c r="BU83" s="377"/>
      <c r="BV83" s="389">
        <v>9.9999999999999995E-7</v>
      </c>
      <c r="BW83" s="291">
        <f t="shared" si="187"/>
        <v>-0.53</v>
      </c>
      <c r="BX83" s="291"/>
      <c r="BY83" s="390">
        <f t="shared" si="188"/>
        <v>8.3333333333333329E-2</v>
      </c>
      <c r="BZ83" s="391"/>
      <c r="CA83" s="377"/>
      <c r="CB83" s="389">
        <v>9.9999999999999995E-7</v>
      </c>
      <c r="CC83" s="291">
        <f t="shared" si="189"/>
        <v>0</v>
      </c>
      <c r="CD83" s="291">
        <f t="shared" si="190"/>
        <v>-0.7</v>
      </c>
      <c r="CE83" s="390">
        <f t="shared" si="191"/>
        <v>0.7</v>
      </c>
      <c r="CF83" s="391"/>
      <c r="CH83" s="389">
        <v>9.9999999999999995E-7</v>
      </c>
      <c r="CI83" s="291">
        <f t="shared" si="192"/>
        <v>0.03</v>
      </c>
      <c r="CJ83" s="291">
        <f t="shared" si="193"/>
        <v>-0.06</v>
      </c>
      <c r="CK83" s="390">
        <f t="shared" si="194"/>
        <v>0.09</v>
      </c>
      <c r="CL83" s="391"/>
      <c r="CN83" s="389">
        <v>9.9999999999999995E-7</v>
      </c>
      <c r="CO83" s="291">
        <f t="shared" si="195"/>
        <v>-0.79</v>
      </c>
      <c r="CP83" s="291">
        <f t="shared" si="195"/>
        <v>-0.08</v>
      </c>
      <c r="CQ83" s="390">
        <f t="shared" si="196"/>
        <v>0.71000000000000008</v>
      </c>
      <c r="CR83" s="391"/>
    </row>
    <row r="84" spans="2:96" ht="13">
      <c r="B84" s="389">
        <v>2</v>
      </c>
      <c r="C84" s="291">
        <v>-0.21</v>
      </c>
      <c r="D84" s="291">
        <f t="shared" si="163"/>
        <v>-0.32</v>
      </c>
      <c r="E84" s="390">
        <f t="shared" si="164"/>
        <v>0.11000000000000001</v>
      </c>
      <c r="F84" s="933">
        <f ca="1">VLOOKUP(F80,B84:E89,4)</f>
        <v>0.15</v>
      </c>
      <c r="G84" s="392"/>
      <c r="H84" s="389">
        <v>2</v>
      </c>
      <c r="I84" s="291">
        <v>-0.25</v>
      </c>
      <c r="J84" s="291">
        <f t="shared" si="165"/>
        <v>-0.17</v>
      </c>
      <c r="K84" s="390">
        <f t="shared" si="166"/>
        <v>7.9999999999999988E-2</v>
      </c>
      <c r="L84" s="933">
        <f ca="1">VLOOKUP(L80,H84:K89,4)</f>
        <v>1.0000000000000009E-2</v>
      </c>
      <c r="M84" s="392"/>
      <c r="N84" s="389">
        <v>2</v>
      </c>
      <c r="O84" s="291">
        <v>-0.33</v>
      </c>
      <c r="P84" s="291">
        <f t="shared" si="167"/>
        <v>-0.19</v>
      </c>
      <c r="Q84" s="390">
        <f t="shared" si="168"/>
        <v>0.14000000000000001</v>
      </c>
      <c r="R84" s="933">
        <f ca="1">VLOOKUP(R80,N84:Q89,4)</f>
        <v>0.28999999999999998</v>
      </c>
      <c r="S84" s="377"/>
      <c r="T84" s="389">
        <v>2</v>
      </c>
      <c r="U84" s="291">
        <f t="shared" si="169"/>
        <v>-0.56999999999999995</v>
      </c>
      <c r="V84" s="291"/>
      <c r="W84" s="390">
        <f t="shared" si="170"/>
        <v>8.666666666666667E-2</v>
      </c>
      <c r="X84" s="933">
        <f ca="1">VLOOKUP(X80,T84:W89,4)</f>
        <v>8.666666666666667E-2</v>
      </c>
      <c r="Y84" s="377"/>
      <c r="Z84" s="389">
        <v>2</v>
      </c>
      <c r="AA84" s="291">
        <f t="shared" si="171"/>
        <v>0.2</v>
      </c>
      <c r="AB84" s="291">
        <v>-0.04</v>
      </c>
      <c r="AC84" s="390">
        <f t="shared" si="172"/>
        <v>0.24000000000000002</v>
      </c>
      <c r="AD84" s="933">
        <f ca="1">VLOOKUP(AD80,Z84:AC89,4)</f>
        <v>0.3</v>
      </c>
      <c r="AE84" s="377"/>
      <c r="AF84" s="389">
        <v>2</v>
      </c>
      <c r="AG84" s="291">
        <f t="shared" si="173"/>
        <v>0.2</v>
      </c>
      <c r="AH84" s="291">
        <v>0.38</v>
      </c>
      <c r="AI84" s="390">
        <f t="shared" si="174"/>
        <v>0.18</v>
      </c>
      <c r="AJ84" s="933">
        <f ca="1">VLOOKUP(AJ80,AF84:AI89,4)</f>
        <v>0.56000000000000005</v>
      </c>
      <c r="AK84" s="377"/>
      <c r="AL84" s="389">
        <v>2</v>
      </c>
      <c r="AM84" s="291">
        <f t="shared" si="175"/>
        <v>0.48</v>
      </c>
      <c r="AN84" s="291"/>
      <c r="AO84" s="390">
        <f t="shared" si="176"/>
        <v>0.08</v>
      </c>
      <c r="AP84" s="933">
        <f ca="1">VLOOKUP(AP80,AL84:AO89,4)</f>
        <v>0.08</v>
      </c>
      <c r="AQ84" s="377"/>
      <c r="AR84" s="389">
        <v>2</v>
      </c>
      <c r="AS84" s="291">
        <f t="shared" si="177"/>
        <v>0.39</v>
      </c>
      <c r="AT84" s="291"/>
      <c r="AU84" s="390">
        <f t="shared" si="178"/>
        <v>8.3333333333333329E-2</v>
      </c>
      <c r="AV84" s="933">
        <f ca="1">VLOOKUP(AV80,AR84:AU89,4)</f>
        <v>8.3333333333333329E-2</v>
      </c>
      <c r="AW84" s="377"/>
      <c r="AX84" s="389">
        <v>2</v>
      </c>
      <c r="AY84" s="291">
        <f t="shared" si="179"/>
        <v>0.51</v>
      </c>
      <c r="AZ84" s="291"/>
      <c r="BA84" s="390">
        <f t="shared" si="180"/>
        <v>0.26333333333333336</v>
      </c>
      <c r="BB84" s="933">
        <f ca="1">VLOOKUP(BB80,AX84:BA89,4)</f>
        <v>0.26333333333333336</v>
      </c>
      <c r="BC84" s="377"/>
      <c r="BD84" s="389">
        <v>2</v>
      </c>
      <c r="BE84" s="291">
        <f t="shared" si="181"/>
        <v>-0.27</v>
      </c>
      <c r="BF84" s="291"/>
      <c r="BG84" s="390">
        <f t="shared" si="182"/>
        <v>9.0000000000000011E-2</v>
      </c>
      <c r="BH84" s="933">
        <f ca="1">VLOOKUP(BH80,BD84:BG89,4)</f>
        <v>9.0000000000000011E-2</v>
      </c>
      <c r="BI84" s="377"/>
      <c r="BJ84" s="389">
        <v>2</v>
      </c>
      <c r="BK84" s="291">
        <f t="shared" si="183"/>
        <v>0.51</v>
      </c>
      <c r="BL84" s="291"/>
      <c r="BM84" s="390">
        <f t="shared" si="184"/>
        <v>0.26333333333333336</v>
      </c>
      <c r="BN84" s="933">
        <f ca="1">VLOOKUP(BN80,BJ84:BM89,4)</f>
        <v>0.26333333333333336</v>
      </c>
      <c r="BO84" s="377"/>
      <c r="BP84" s="389">
        <v>2</v>
      </c>
      <c r="BQ84" s="291">
        <f t="shared" si="185"/>
        <v>-0.5</v>
      </c>
      <c r="BR84" s="291"/>
      <c r="BS84" s="390">
        <f t="shared" si="186"/>
        <v>8.666666666666667E-2</v>
      </c>
      <c r="BT84" s="933">
        <f ca="1">VLOOKUP(BT80,BP84:BS89,4)</f>
        <v>8.666666666666667E-2</v>
      </c>
      <c r="BU84" s="377"/>
      <c r="BV84" s="389">
        <v>2</v>
      </c>
      <c r="BW84" s="291">
        <f t="shared" si="187"/>
        <v>-0.6</v>
      </c>
      <c r="BX84" s="291"/>
      <c r="BY84" s="390">
        <f t="shared" si="188"/>
        <v>8.3333333333333329E-2</v>
      </c>
      <c r="BZ84" s="933">
        <f ca="1">VLOOKUP(BZ80,BV84:BY89,4)</f>
        <v>8.3333333333333329E-2</v>
      </c>
      <c r="CA84" s="377"/>
      <c r="CB84" s="389">
        <v>2</v>
      </c>
      <c r="CC84" s="291">
        <f t="shared" si="189"/>
        <v>0</v>
      </c>
      <c r="CD84" s="291">
        <f t="shared" si="190"/>
        <v>-0.7</v>
      </c>
      <c r="CE84" s="390">
        <f t="shared" si="191"/>
        <v>0.19999999999999998</v>
      </c>
      <c r="CF84" s="933">
        <f ca="1">VLOOKUP(CF80,CB84:CE89,4)</f>
        <v>0.19999999999999998</v>
      </c>
      <c r="CH84" s="389">
        <v>2</v>
      </c>
      <c r="CI84" s="291">
        <f t="shared" si="192"/>
        <v>0.04</v>
      </c>
      <c r="CJ84" s="291">
        <f t="shared" si="193"/>
        <v>-0.04</v>
      </c>
      <c r="CK84" s="390">
        <f t="shared" si="194"/>
        <v>0.08</v>
      </c>
      <c r="CL84" s="933">
        <f ca="1">VLOOKUP(CL80,CH84:CK89,4)</f>
        <v>4.0000000000000008E-2</v>
      </c>
      <c r="CN84" s="389">
        <v>2</v>
      </c>
      <c r="CO84" s="291">
        <f t="shared" si="195"/>
        <v>-0.7</v>
      </c>
      <c r="CP84" s="291">
        <f t="shared" si="195"/>
        <v>-0.05</v>
      </c>
      <c r="CQ84" s="390">
        <f t="shared" si="196"/>
        <v>0.64999999999999991</v>
      </c>
      <c r="CR84" s="933">
        <f ca="1">VLOOKUP(CR80,CN84:CQ89,4)</f>
        <v>3.0000000000000027E-2</v>
      </c>
    </row>
    <row r="85" spans="2:96" ht="13">
      <c r="B85" s="389">
        <v>8</v>
      </c>
      <c r="C85" s="291">
        <v>-0.16</v>
      </c>
      <c r="D85" s="291">
        <f t="shared" si="163"/>
        <v>-0.24</v>
      </c>
      <c r="E85" s="390">
        <f t="shared" si="164"/>
        <v>7.9999999999999988E-2</v>
      </c>
      <c r="F85" s="391"/>
      <c r="G85" s="392"/>
      <c r="H85" s="389">
        <v>8</v>
      </c>
      <c r="I85" s="291">
        <v>-0.14000000000000001</v>
      </c>
      <c r="J85" s="291">
        <f t="shared" si="165"/>
        <v>-0.1</v>
      </c>
      <c r="K85" s="390">
        <f t="shared" si="166"/>
        <v>4.0000000000000008E-2</v>
      </c>
      <c r="L85" s="391"/>
      <c r="M85" s="392"/>
      <c r="N85" s="389">
        <v>8</v>
      </c>
      <c r="O85" s="291">
        <v>-0.21</v>
      </c>
      <c r="P85" s="291">
        <f t="shared" si="167"/>
        <v>-0.14000000000000001</v>
      </c>
      <c r="Q85" s="390">
        <f t="shared" si="168"/>
        <v>6.9999999999999979E-2</v>
      </c>
      <c r="R85" s="391"/>
      <c r="S85" s="377"/>
      <c r="T85" s="389">
        <v>8</v>
      </c>
      <c r="U85" s="291">
        <f t="shared" si="169"/>
        <v>-0.3</v>
      </c>
      <c r="V85" s="291"/>
      <c r="W85" s="390">
        <f t="shared" si="170"/>
        <v>8.666666666666667E-2</v>
      </c>
      <c r="X85" s="391"/>
      <c r="Y85" s="377"/>
      <c r="Z85" s="389">
        <v>8</v>
      </c>
      <c r="AA85" s="291">
        <f t="shared" si="171"/>
        <v>0.19</v>
      </c>
      <c r="AB85" s="291">
        <v>0.08</v>
      </c>
      <c r="AC85" s="390">
        <f t="shared" si="172"/>
        <v>0.11</v>
      </c>
      <c r="AD85" s="391"/>
      <c r="AE85" s="377"/>
      <c r="AF85" s="389">
        <v>8</v>
      </c>
      <c r="AG85" s="291">
        <f t="shared" si="173"/>
        <v>0.19</v>
      </c>
      <c r="AH85" s="291">
        <v>0.47</v>
      </c>
      <c r="AI85" s="390">
        <f t="shared" si="174"/>
        <v>0.27999999999999997</v>
      </c>
      <c r="AJ85" s="391"/>
      <c r="AK85" s="377"/>
      <c r="AL85" s="389">
        <v>8</v>
      </c>
      <c r="AM85" s="291">
        <f t="shared" si="175"/>
        <v>0.47</v>
      </c>
      <c r="AN85" s="291"/>
      <c r="AO85" s="390">
        <f t="shared" si="176"/>
        <v>0.08</v>
      </c>
      <c r="AP85" s="391"/>
      <c r="AQ85" s="377"/>
      <c r="AR85" s="389">
        <v>8</v>
      </c>
      <c r="AS85" s="291">
        <f t="shared" si="177"/>
        <v>0.37</v>
      </c>
      <c r="AT85" s="291"/>
      <c r="AU85" s="390">
        <f t="shared" si="178"/>
        <v>8.3333333333333329E-2</v>
      </c>
      <c r="AV85" s="391"/>
      <c r="AW85" s="377"/>
      <c r="AX85" s="389">
        <v>8</v>
      </c>
      <c r="AY85" s="291">
        <f t="shared" si="179"/>
        <v>0.5</v>
      </c>
      <c r="AZ85" s="291"/>
      <c r="BA85" s="390">
        <f t="shared" si="180"/>
        <v>0.26333333333333336</v>
      </c>
      <c r="BB85" s="391"/>
      <c r="BC85" s="377"/>
      <c r="BD85" s="389">
        <v>8</v>
      </c>
      <c r="BE85" s="291">
        <f t="shared" si="181"/>
        <v>-0.03</v>
      </c>
      <c r="BF85" s="291"/>
      <c r="BG85" s="390">
        <f t="shared" si="182"/>
        <v>9.0000000000000011E-2</v>
      </c>
      <c r="BH85" s="391"/>
      <c r="BI85" s="377"/>
      <c r="BJ85" s="389">
        <v>8</v>
      </c>
      <c r="BK85" s="291">
        <f t="shared" si="183"/>
        <v>0.5</v>
      </c>
      <c r="BL85" s="291"/>
      <c r="BM85" s="390">
        <f t="shared" si="184"/>
        <v>0.26333333333333336</v>
      </c>
      <c r="BN85" s="391"/>
      <c r="BO85" s="377"/>
      <c r="BP85" s="389">
        <v>8</v>
      </c>
      <c r="BQ85" s="291">
        <f t="shared" si="185"/>
        <v>-0.27</v>
      </c>
      <c r="BR85" s="291"/>
      <c r="BS85" s="390">
        <f t="shared" si="186"/>
        <v>8.666666666666667E-2</v>
      </c>
      <c r="BT85" s="391"/>
      <c r="BU85" s="377"/>
      <c r="BV85" s="389">
        <v>8</v>
      </c>
      <c r="BW85" s="291">
        <f t="shared" si="187"/>
        <v>-0.34</v>
      </c>
      <c r="BX85" s="291"/>
      <c r="BY85" s="390">
        <f t="shared" si="188"/>
        <v>8.3333333333333329E-2</v>
      </c>
      <c r="BZ85" s="391"/>
      <c r="CA85" s="377"/>
      <c r="CB85" s="389">
        <v>8</v>
      </c>
      <c r="CC85" s="291">
        <f t="shared" si="189"/>
        <v>0</v>
      </c>
      <c r="CD85" s="291">
        <f t="shared" si="190"/>
        <v>-0.7</v>
      </c>
      <c r="CE85" s="390">
        <f t="shared" si="191"/>
        <v>0.19999999999999998</v>
      </c>
      <c r="CF85" s="391"/>
      <c r="CH85" s="389">
        <v>8</v>
      </c>
      <c r="CI85" s="291">
        <f t="shared" si="192"/>
        <v>0.08</v>
      </c>
      <c r="CJ85" s="291">
        <f t="shared" si="193"/>
        <v>0.01</v>
      </c>
      <c r="CK85" s="390">
        <f t="shared" si="194"/>
        <v>7.0000000000000007E-2</v>
      </c>
      <c r="CL85" s="391"/>
      <c r="CN85" s="389">
        <v>8</v>
      </c>
      <c r="CO85" s="291">
        <f t="shared" si="195"/>
        <v>-0.46</v>
      </c>
      <c r="CP85" s="291">
        <f t="shared" si="195"/>
        <v>0.06</v>
      </c>
      <c r="CQ85" s="390">
        <f t="shared" si="196"/>
        <v>0.52</v>
      </c>
      <c r="CR85" s="391"/>
    </row>
    <row r="86" spans="2:96" ht="13">
      <c r="B86" s="389">
        <v>37</v>
      </c>
      <c r="C86" s="291">
        <v>0.01</v>
      </c>
      <c r="D86" s="291">
        <f t="shared" si="163"/>
        <v>0.16</v>
      </c>
      <c r="E86" s="390">
        <f t="shared" si="164"/>
        <v>0.15</v>
      </c>
      <c r="F86" s="933">
        <f ca="1">VLOOKUP(F82,B84:E89,4)</f>
        <v>0.21</v>
      </c>
      <c r="G86" s="392"/>
      <c r="H86" s="389">
        <v>37</v>
      </c>
      <c r="I86" s="291">
        <v>0.18</v>
      </c>
      <c r="J86" s="291">
        <f t="shared" si="165"/>
        <v>0.19</v>
      </c>
      <c r="K86" s="390">
        <f t="shared" si="166"/>
        <v>1.0000000000000009E-2</v>
      </c>
      <c r="L86" s="933">
        <f ca="1">VLOOKUP(L82,H84:K89,4)</f>
        <v>4.0000000000000008E-2</v>
      </c>
      <c r="M86" s="392"/>
      <c r="N86" s="389">
        <v>37</v>
      </c>
      <c r="O86" s="291">
        <v>-0.31</v>
      </c>
      <c r="P86" s="291">
        <f t="shared" si="167"/>
        <v>-0.02</v>
      </c>
      <c r="Q86" s="390">
        <f t="shared" si="168"/>
        <v>0.28999999999999998</v>
      </c>
      <c r="R86" s="933">
        <f ca="1">VLOOKUP(R82,N84:Q89,4)</f>
        <v>0.13999999999999999</v>
      </c>
      <c r="S86" s="377"/>
      <c r="T86" s="389">
        <v>37</v>
      </c>
      <c r="U86" s="291">
        <f t="shared" si="169"/>
        <v>0.56999999999999995</v>
      </c>
      <c r="V86" s="291"/>
      <c r="W86" s="390">
        <f t="shared" si="170"/>
        <v>8.666666666666667E-2</v>
      </c>
      <c r="X86" s="933">
        <f ca="1">VLOOKUP(X82,T84:W89,4)</f>
        <v>8.666666666666667E-2</v>
      </c>
      <c r="Y86" s="377"/>
      <c r="Z86" s="389">
        <v>37</v>
      </c>
      <c r="AA86" s="291">
        <f t="shared" si="171"/>
        <v>0.18</v>
      </c>
      <c r="AB86" s="291">
        <v>0.48</v>
      </c>
      <c r="AC86" s="390">
        <f t="shared" si="172"/>
        <v>0.3</v>
      </c>
      <c r="AD86" s="933">
        <f ca="1">VLOOKUP(AD82,Z84:AC89,4)</f>
        <v>0.36000000000000004</v>
      </c>
      <c r="AE86" s="377"/>
      <c r="AF86" s="389">
        <v>37</v>
      </c>
      <c r="AG86" s="291">
        <f t="shared" si="173"/>
        <v>0.18</v>
      </c>
      <c r="AH86" s="291">
        <v>0.74</v>
      </c>
      <c r="AI86" s="390">
        <f t="shared" si="174"/>
        <v>0.56000000000000005</v>
      </c>
      <c r="AJ86" s="933">
        <f ca="1">VLOOKUP(AJ82,AF84:AI89,4)</f>
        <v>0.59000000000000008</v>
      </c>
      <c r="AK86" s="377"/>
      <c r="AL86" s="389">
        <v>37</v>
      </c>
      <c r="AM86" s="291">
        <f t="shared" si="175"/>
        <v>0.45</v>
      </c>
      <c r="AN86" s="291"/>
      <c r="AO86" s="390">
        <f t="shared" si="176"/>
        <v>0.08</v>
      </c>
      <c r="AP86" s="933">
        <f ca="1">VLOOKUP(AP82,AL84:AO89,4)</f>
        <v>0.08</v>
      </c>
      <c r="AQ86" s="377"/>
      <c r="AR86" s="389">
        <v>37</v>
      </c>
      <c r="AS86" s="291">
        <f t="shared" si="177"/>
        <v>0.33</v>
      </c>
      <c r="AT86" s="291"/>
      <c r="AU86" s="390">
        <f t="shared" si="178"/>
        <v>8.3333333333333329E-2</v>
      </c>
      <c r="AV86" s="933">
        <f ca="1">VLOOKUP(AV82,AR84:AU89,4)</f>
        <v>8.3333333333333329E-2</v>
      </c>
      <c r="AW86" s="377"/>
      <c r="AX86" s="389">
        <v>37</v>
      </c>
      <c r="AY86" s="291">
        <f t="shared" si="179"/>
        <v>0.4</v>
      </c>
      <c r="AZ86" s="291"/>
      <c r="BA86" s="390">
        <f t="shared" si="180"/>
        <v>0.26333333333333336</v>
      </c>
      <c r="BB86" s="933">
        <f ca="1">VLOOKUP(BB82,AX84:BA89,4)</f>
        <v>0.26333333333333336</v>
      </c>
      <c r="BC86" s="377"/>
      <c r="BD86" s="389">
        <v>37</v>
      </c>
      <c r="BE86" s="291">
        <f t="shared" si="181"/>
        <v>0.7</v>
      </c>
      <c r="BF86" s="291"/>
      <c r="BG86" s="390">
        <f t="shared" si="182"/>
        <v>9.0000000000000011E-2</v>
      </c>
      <c r="BH86" s="933">
        <f ca="1">VLOOKUP(BH82,BD84:BG89,4)</f>
        <v>9.0000000000000011E-2</v>
      </c>
      <c r="BI86" s="377"/>
      <c r="BJ86" s="389">
        <v>37</v>
      </c>
      <c r="BK86" s="291">
        <f t="shared" si="183"/>
        <v>0.4</v>
      </c>
      <c r="BL86" s="291"/>
      <c r="BM86" s="390">
        <f t="shared" si="184"/>
        <v>0.26333333333333336</v>
      </c>
      <c r="BN86" s="933">
        <f ca="1">VLOOKUP(BN82,BJ84:BM89,4)</f>
        <v>0.26333333333333336</v>
      </c>
      <c r="BO86" s="377"/>
      <c r="BP86" s="389">
        <v>37</v>
      </c>
      <c r="BQ86" s="291">
        <f t="shared" si="185"/>
        <v>0.49</v>
      </c>
      <c r="BR86" s="291"/>
      <c r="BS86" s="390">
        <f t="shared" si="186"/>
        <v>8.666666666666667E-2</v>
      </c>
      <c r="BT86" s="933">
        <f ca="1">VLOOKUP(BT82,BP84:BS89,4)</f>
        <v>8.666666666666667E-2</v>
      </c>
      <c r="BU86" s="377"/>
      <c r="BV86" s="389">
        <v>37</v>
      </c>
      <c r="BW86" s="291">
        <f t="shared" si="187"/>
        <v>0.56000000000000005</v>
      </c>
      <c r="BX86" s="291"/>
      <c r="BY86" s="390">
        <f t="shared" si="188"/>
        <v>8.3333333333333329E-2</v>
      </c>
      <c r="BZ86" s="933">
        <f ca="1">VLOOKUP(BZ82,BV84:BY89,4)</f>
        <v>8.3333333333333329E-2</v>
      </c>
      <c r="CA86" s="377"/>
      <c r="CB86" s="389">
        <v>37</v>
      </c>
      <c r="CC86" s="291">
        <f t="shared" si="189"/>
        <v>0</v>
      </c>
      <c r="CD86" s="291">
        <f t="shared" si="190"/>
        <v>-0.6</v>
      </c>
      <c r="CE86" s="390">
        <f t="shared" si="191"/>
        <v>0.19999999999999998</v>
      </c>
      <c r="CF86" s="933">
        <f ca="1">VLOOKUP(CF82,CB84:CE89,4)</f>
        <v>0.19999999999999998</v>
      </c>
      <c r="CH86" s="389">
        <v>37</v>
      </c>
      <c r="CI86" s="291">
        <f t="shared" si="192"/>
        <v>0.23</v>
      </c>
      <c r="CJ86" s="291">
        <f t="shared" si="193"/>
        <v>0.19</v>
      </c>
      <c r="CK86" s="390">
        <f t="shared" si="194"/>
        <v>4.0000000000000008E-2</v>
      </c>
      <c r="CL86" s="933">
        <f ca="1">VLOOKUP(CL82,CH84:CK89,4)</f>
        <v>4.0000000000000008E-2</v>
      </c>
      <c r="CN86" s="389">
        <v>37</v>
      </c>
      <c r="CO86" s="291">
        <f t="shared" si="195"/>
        <v>0.42</v>
      </c>
      <c r="CP86" s="291">
        <f t="shared" si="195"/>
        <v>0.45</v>
      </c>
      <c r="CQ86" s="390">
        <f t="shared" si="196"/>
        <v>3.0000000000000027E-2</v>
      </c>
      <c r="CR86" s="933">
        <f ca="1">VLOOKUP(CR82,CN84:CQ89,4)</f>
        <v>4.9999999999999933E-2</v>
      </c>
    </row>
    <row r="87" spans="2:96" ht="13">
      <c r="B87" s="389">
        <v>44</v>
      </c>
      <c r="C87" s="291">
        <v>0.04</v>
      </c>
      <c r="D87" s="291">
        <f t="shared" si="163"/>
        <v>0.25</v>
      </c>
      <c r="E87" s="390">
        <f t="shared" si="164"/>
        <v>0.21</v>
      </c>
      <c r="F87" s="934"/>
      <c r="G87" s="392"/>
      <c r="H87" s="389">
        <v>44</v>
      </c>
      <c r="I87" s="291">
        <v>0.21</v>
      </c>
      <c r="J87" s="291">
        <f t="shared" si="165"/>
        <v>0.25</v>
      </c>
      <c r="K87" s="390">
        <f t="shared" si="166"/>
        <v>4.0000000000000008E-2</v>
      </c>
      <c r="L87" s="934"/>
      <c r="M87" s="392"/>
      <c r="N87" s="389">
        <v>44</v>
      </c>
      <c r="O87" s="291">
        <v>-0.15</v>
      </c>
      <c r="P87" s="291">
        <f t="shared" si="167"/>
        <v>-0.01</v>
      </c>
      <c r="Q87" s="390">
        <f t="shared" si="168"/>
        <v>0.13999999999999999</v>
      </c>
      <c r="R87" s="934"/>
      <c r="S87" s="377"/>
      <c r="T87" s="389">
        <v>44</v>
      </c>
      <c r="U87" s="291">
        <f t="shared" si="169"/>
        <v>0.68</v>
      </c>
      <c r="V87" s="291"/>
      <c r="W87" s="390">
        <f t="shared" si="170"/>
        <v>8.666666666666667E-2</v>
      </c>
      <c r="X87" s="934"/>
      <c r="Y87" s="377"/>
      <c r="Z87" s="389">
        <v>44</v>
      </c>
      <c r="AA87" s="291">
        <f t="shared" si="171"/>
        <v>0.18</v>
      </c>
      <c r="AB87" s="291">
        <v>0.54</v>
      </c>
      <c r="AC87" s="390">
        <f t="shared" si="172"/>
        <v>0.36000000000000004</v>
      </c>
      <c r="AD87" s="934"/>
      <c r="AE87" s="377"/>
      <c r="AF87" s="389">
        <v>44</v>
      </c>
      <c r="AG87" s="291">
        <f t="shared" si="173"/>
        <v>0.18</v>
      </c>
      <c r="AH87" s="291">
        <v>0.77</v>
      </c>
      <c r="AI87" s="390">
        <f t="shared" si="174"/>
        <v>0.59000000000000008</v>
      </c>
      <c r="AJ87" s="934"/>
      <c r="AK87" s="377"/>
      <c r="AL87" s="389">
        <v>44</v>
      </c>
      <c r="AM87" s="291">
        <f t="shared" si="175"/>
        <v>0.46</v>
      </c>
      <c r="AN87" s="291"/>
      <c r="AO87" s="390">
        <f t="shared" si="176"/>
        <v>0.08</v>
      </c>
      <c r="AP87" s="934"/>
      <c r="AQ87" s="377"/>
      <c r="AR87" s="389">
        <v>44</v>
      </c>
      <c r="AS87" s="291">
        <f t="shared" si="177"/>
        <v>0.33</v>
      </c>
      <c r="AT87" s="291"/>
      <c r="AU87" s="390">
        <f t="shared" si="178"/>
        <v>8.3333333333333329E-2</v>
      </c>
      <c r="AV87" s="934"/>
      <c r="AW87" s="377"/>
      <c r="AX87" s="389">
        <v>44</v>
      </c>
      <c r="AY87" s="291">
        <f t="shared" si="179"/>
        <v>0.38</v>
      </c>
      <c r="AZ87" s="291"/>
      <c r="BA87" s="390">
        <f t="shared" si="180"/>
        <v>0.26333333333333336</v>
      </c>
      <c r="BB87" s="934"/>
      <c r="BC87" s="377"/>
      <c r="BD87" s="389">
        <v>44</v>
      </c>
      <c r="BE87" s="291">
        <f t="shared" si="181"/>
        <v>0.79</v>
      </c>
      <c r="BF87" s="291"/>
      <c r="BG87" s="390">
        <f t="shared" si="182"/>
        <v>9.0000000000000011E-2</v>
      </c>
      <c r="BH87" s="934"/>
      <c r="BI87" s="377"/>
      <c r="BJ87" s="389">
        <v>44</v>
      </c>
      <c r="BK87" s="291">
        <f t="shared" si="183"/>
        <v>0.38</v>
      </c>
      <c r="BL87" s="291"/>
      <c r="BM87" s="390">
        <f t="shared" si="184"/>
        <v>0.26333333333333336</v>
      </c>
      <c r="BN87" s="934"/>
      <c r="BO87" s="377"/>
      <c r="BP87" s="389">
        <v>44</v>
      </c>
      <c r="BQ87" s="291">
        <f t="shared" si="185"/>
        <v>0.59</v>
      </c>
      <c r="BR87" s="291"/>
      <c r="BS87" s="390">
        <f t="shared" si="186"/>
        <v>8.666666666666667E-2</v>
      </c>
      <c r="BT87" s="934"/>
      <c r="BU87" s="377"/>
      <c r="BV87" s="389">
        <v>44</v>
      </c>
      <c r="BW87" s="291">
        <f t="shared" si="187"/>
        <v>0.7</v>
      </c>
      <c r="BX87" s="291"/>
      <c r="BY87" s="390">
        <f t="shared" si="188"/>
        <v>8.3333333333333329E-2</v>
      </c>
      <c r="BZ87" s="934"/>
      <c r="CA87" s="377"/>
      <c r="CB87" s="389">
        <v>44</v>
      </c>
      <c r="CC87" s="291">
        <f t="shared" si="189"/>
        <v>-1</v>
      </c>
      <c r="CD87" s="291">
        <f t="shared" si="190"/>
        <v>-0.7</v>
      </c>
      <c r="CE87" s="390">
        <f t="shared" si="191"/>
        <v>0.19999999999999998</v>
      </c>
      <c r="CF87" s="934"/>
      <c r="CH87" s="389">
        <v>44</v>
      </c>
      <c r="CI87" s="291">
        <f t="shared" si="192"/>
        <v>0.25</v>
      </c>
      <c r="CJ87" s="291">
        <f t="shared" si="193"/>
        <v>0.21</v>
      </c>
      <c r="CK87" s="390">
        <f t="shared" si="194"/>
        <v>4.0000000000000008E-2</v>
      </c>
      <c r="CL87" s="934"/>
      <c r="CN87" s="389">
        <v>44</v>
      </c>
      <c r="CO87" s="291">
        <f t="shared" si="195"/>
        <v>0.56999999999999995</v>
      </c>
      <c r="CP87" s="291">
        <f t="shared" si="195"/>
        <v>0.52</v>
      </c>
      <c r="CQ87" s="390">
        <f t="shared" si="196"/>
        <v>4.9999999999999933E-2</v>
      </c>
      <c r="CR87" s="934"/>
    </row>
    <row r="88" spans="2:96" ht="13">
      <c r="B88" s="389">
        <v>50</v>
      </c>
      <c r="C88" s="291">
        <v>7.0000000000000007E-2</v>
      </c>
      <c r="D88" s="291">
        <f t="shared" si="163"/>
        <v>0.32</v>
      </c>
      <c r="E88" s="390">
        <f t="shared" si="164"/>
        <v>0.25</v>
      </c>
      <c r="F88" s="935">
        <f ca="1">(((F86-F84)/(F82-F80))*(F79-F80))+F84</f>
        <v>0.15162857142857139</v>
      </c>
      <c r="G88" s="392"/>
      <c r="H88" s="389">
        <v>50</v>
      </c>
      <c r="I88" s="291">
        <v>0.24</v>
      </c>
      <c r="J88" s="291">
        <f t="shared" si="165"/>
        <v>0.3</v>
      </c>
      <c r="K88" s="390">
        <f t="shared" si="166"/>
        <v>0.06</v>
      </c>
      <c r="L88" s="935">
        <f ca="1">(((L86-L84)/(L82-L80))*(L79-L80))+L84</f>
        <v>1.0814285714285714E-2</v>
      </c>
      <c r="M88" s="392"/>
      <c r="N88" s="389">
        <v>50</v>
      </c>
      <c r="O88" s="291">
        <v>0.2</v>
      </c>
      <c r="P88" s="291">
        <f t="shared" si="167"/>
        <v>-0.02</v>
      </c>
      <c r="Q88" s="390">
        <f t="shared" si="168"/>
        <v>0.22</v>
      </c>
      <c r="R88" s="935">
        <f ca="1">(((R86-R84)/(R82-R80))*(R79-R80))+R84</f>
        <v>0.28592857142857148</v>
      </c>
      <c r="S88" s="377"/>
      <c r="T88" s="389">
        <v>50</v>
      </c>
      <c r="U88" s="291">
        <f t="shared" si="169"/>
        <v>0.76</v>
      </c>
      <c r="V88" s="291"/>
      <c r="W88" s="390">
        <f t="shared" si="170"/>
        <v>8.666666666666667E-2</v>
      </c>
      <c r="X88" s="935">
        <f ca="1">(((X86-X84)/(X82-X80))*(X79-X80))+X84</f>
        <v>8.666666666666667E-2</v>
      </c>
      <c r="Y88" s="377"/>
      <c r="Z88" s="389">
        <v>50</v>
      </c>
      <c r="AA88" s="291">
        <f t="shared" si="171"/>
        <v>0.19</v>
      </c>
      <c r="AB88" s="291">
        <v>0.57999999999999996</v>
      </c>
      <c r="AC88" s="390">
        <f t="shared" si="172"/>
        <v>0.38999999999999996</v>
      </c>
      <c r="AD88" s="935">
        <f ca="1">(((AD86-AD84)/(AD82-AD80))*(AD79-AD80))+AD84</f>
        <v>0.30162857142857141</v>
      </c>
      <c r="AE88" s="377"/>
      <c r="AF88" s="389">
        <v>50</v>
      </c>
      <c r="AG88" s="291">
        <f t="shared" si="173"/>
        <v>0.19</v>
      </c>
      <c r="AH88" s="291">
        <v>0.78</v>
      </c>
      <c r="AI88" s="390">
        <f t="shared" si="174"/>
        <v>0.59000000000000008</v>
      </c>
      <c r="AJ88" s="935">
        <f ca="1">(((AJ86-AJ84)/(AJ82-AJ80))*(AJ79-AJ80))+AJ84</f>
        <v>0.56081428571428571</v>
      </c>
      <c r="AK88" s="377"/>
      <c r="AL88" s="389">
        <v>50</v>
      </c>
      <c r="AM88" s="291">
        <f t="shared" si="175"/>
        <v>0.46</v>
      </c>
      <c r="AN88" s="291"/>
      <c r="AO88" s="390">
        <f t="shared" si="176"/>
        <v>0.08</v>
      </c>
      <c r="AP88" s="935">
        <f ca="1">(((AP86-AP84)/(AP82-AP80))*(AP79-AP80))+AP84</f>
        <v>0.08</v>
      </c>
      <c r="AQ88" s="377"/>
      <c r="AR88" s="389">
        <v>50</v>
      </c>
      <c r="AS88" s="291">
        <f t="shared" si="177"/>
        <v>0.34</v>
      </c>
      <c r="AT88" s="291"/>
      <c r="AU88" s="390">
        <f t="shared" si="178"/>
        <v>8.3333333333333329E-2</v>
      </c>
      <c r="AV88" s="935">
        <f ca="1">(((AV86-AV84)/(AV82-AV80))*(AV79-AV80))+AV84</f>
        <v>8.3333333333333329E-2</v>
      </c>
      <c r="AW88" s="377"/>
      <c r="AX88" s="389">
        <v>50</v>
      </c>
      <c r="AY88" s="291">
        <f t="shared" si="179"/>
        <v>0.36</v>
      </c>
      <c r="AZ88" s="291"/>
      <c r="BA88" s="390">
        <f t="shared" si="180"/>
        <v>0.26333333333333336</v>
      </c>
      <c r="BB88" s="935">
        <f ca="1">(((BB86-BB84)/(BB82-BB80))*(BB79-BB80))+BB84</f>
        <v>0.26333333333333336</v>
      </c>
      <c r="BC88" s="377"/>
      <c r="BD88" s="389">
        <v>50</v>
      </c>
      <c r="BE88" s="291">
        <f t="shared" si="181"/>
        <v>0.84</v>
      </c>
      <c r="BF88" s="291"/>
      <c r="BG88" s="390">
        <f t="shared" si="182"/>
        <v>9.0000000000000011E-2</v>
      </c>
      <c r="BH88" s="935">
        <f ca="1">(((BH86-BH84)/(BH82-BH80))*(BH79-BH80))+BH84</f>
        <v>9.0000000000000011E-2</v>
      </c>
      <c r="BI88" s="377"/>
      <c r="BJ88" s="389">
        <v>50</v>
      </c>
      <c r="BK88" s="291">
        <f t="shared" si="183"/>
        <v>0.36</v>
      </c>
      <c r="BL88" s="291"/>
      <c r="BM88" s="390">
        <f t="shared" si="184"/>
        <v>0.26333333333333336</v>
      </c>
      <c r="BN88" s="935">
        <f ca="1">(((BN86-BN84)/(BN82-BN80))*(BN79-BN80))+BN84</f>
        <v>0.26333333333333336</v>
      </c>
      <c r="BO88" s="377"/>
      <c r="BP88" s="389">
        <v>50</v>
      </c>
      <c r="BQ88" s="291">
        <f t="shared" si="185"/>
        <v>0.66</v>
      </c>
      <c r="BR88" s="291"/>
      <c r="BS88" s="390">
        <f t="shared" si="186"/>
        <v>8.666666666666667E-2</v>
      </c>
      <c r="BT88" s="935">
        <f ca="1">(((BT86-BT84)/(BT82-BT80))*(BT79-BT80))+BT84</f>
        <v>8.666666666666667E-2</v>
      </c>
      <c r="BU88" s="377"/>
      <c r="BV88" s="389">
        <v>50</v>
      </c>
      <c r="BW88" s="291">
        <f t="shared" si="187"/>
        <v>0.79</v>
      </c>
      <c r="BX88" s="291"/>
      <c r="BY88" s="390">
        <f t="shared" si="188"/>
        <v>8.3333333333333329E-2</v>
      </c>
      <c r="BZ88" s="935">
        <f ca="1">(((BZ86-BZ84)/(BZ82-BZ80))*(BZ79-BZ80))+BZ84</f>
        <v>8.3333333333333329E-2</v>
      </c>
      <c r="CA88" s="377"/>
      <c r="CB88" s="389">
        <v>50</v>
      </c>
      <c r="CC88" s="291">
        <f t="shared" si="189"/>
        <v>-1.6</v>
      </c>
      <c r="CD88" s="291">
        <f t="shared" si="190"/>
        <v>-0.7</v>
      </c>
      <c r="CE88" s="390">
        <f t="shared" si="191"/>
        <v>0.30000000000000004</v>
      </c>
      <c r="CF88" s="935">
        <f ca="1">(((CF86-CF84)/(CF82-CF80))*(CF79-CF80))+CF84</f>
        <v>0.19999999999999998</v>
      </c>
      <c r="CH88" s="389">
        <v>50</v>
      </c>
      <c r="CI88" s="291">
        <f t="shared" si="192"/>
        <v>0.27</v>
      </c>
      <c r="CJ88" s="291">
        <f t="shared" si="193"/>
        <v>0.22</v>
      </c>
      <c r="CK88" s="390">
        <f t="shared" si="194"/>
        <v>5.0000000000000017E-2</v>
      </c>
      <c r="CL88" s="935">
        <f ca="1">(((CL86-CL84)/(CL82-CL80))*(CL79-CL80))+CL84</f>
        <v>4.0000000000000008E-2</v>
      </c>
      <c r="CN88" s="389">
        <v>50</v>
      </c>
      <c r="CO88" s="291">
        <f t="shared" si="195"/>
        <v>0.67</v>
      </c>
      <c r="CP88" s="291">
        <f t="shared" si="195"/>
        <v>0.56999999999999995</v>
      </c>
      <c r="CQ88" s="390">
        <f t="shared" si="196"/>
        <v>0.10000000000000009</v>
      </c>
      <c r="CR88" s="935">
        <f ca="1">(((CR86-CR84)/(CR82-CR80))*(CR79-CR80))+CR84</f>
        <v>3.054285714285716E-2</v>
      </c>
    </row>
    <row r="89" spans="2:96" ht="13">
      <c r="B89" s="389">
        <v>100</v>
      </c>
      <c r="C89" s="291">
        <v>0.2</v>
      </c>
      <c r="D89" s="291">
        <f t="shared" si="163"/>
        <v>0.78</v>
      </c>
      <c r="E89" s="390">
        <f t="shared" si="164"/>
        <v>0.58000000000000007</v>
      </c>
      <c r="F89" s="391"/>
      <c r="G89" s="392"/>
      <c r="H89" s="389">
        <v>100</v>
      </c>
      <c r="I89" s="291">
        <v>0.17</v>
      </c>
      <c r="J89" s="291">
        <f t="shared" si="165"/>
        <v>0.57999999999999996</v>
      </c>
      <c r="K89" s="390">
        <f t="shared" si="166"/>
        <v>0.40999999999999992</v>
      </c>
      <c r="L89" s="391"/>
      <c r="M89" s="392"/>
      <c r="N89" s="389">
        <v>100</v>
      </c>
      <c r="O89" s="291">
        <v>0.05</v>
      </c>
      <c r="P89" s="291">
        <f t="shared" si="167"/>
        <v>-0.14000000000000001</v>
      </c>
      <c r="Q89" s="390">
        <f t="shared" si="168"/>
        <v>0.19</v>
      </c>
      <c r="R89" s="391"/>
      <c r="S89" s="377"/>
      <c r="T89" s="389">
        <v>100</v>
      </c>
      <c r="U89" s="291">
        <f t="shared" si="169"/>
        <v>0.65</v>
      </c>
      <c r="V89" s="291"/>
      <c r="W89" s="390">
        <f t="shared" si="170"/>
        <v>8.666666666666667E-2</v>
      </c>
      <c r="X89" s="391"/>
      <c r="Y89" s="377"/>
      <c r="Z89" s="389">
        <v>100</v>
      </c>
      <c r="AA89" s="291">
        <f t="shared" si="171"/>
        <v>0.28999999999999998</v>
      </c>
      <c r="AB89" s="291">
        <v>0.61</v>
      </c>
      <c r="AC89" s="390">
        <f t="shared" si="172"/>
        <v>0.32</v>
      </c>
      <c r="AD89" s="391"/>
      <c r="AE89" s="377"/>
      <c r="AF89" s="389">
        <v>100</v>
      </c>
      <c r="AG89" s="291">
        <f t="shared" si="173"/>
        <v>0.28000000000000003</v>
      </c>
      <c r="AH89" s="291">
        <v>0.62</v>
      </c>
      <c r="AI89" s="390">
        <f t="shared" si="174"/>
        <v>0.33999999999999997</v>
      </c>
      <c r="AJ89" s="391"/>
      <c r="AK89" s="377"/>
      <c r="AL89" s="389">
        <v>100</v>
      </c>
      <c r="AM89" s="291">
        <f t="shared" si="175"/>
        <v>0.53</v>
      </c>
      <c r="AN89" s="291"/>
      <c r="AO89" s="390">
        <f t="shared" si="176"/>
        <v>0.08</v>
      </c>
      <c r="AP89" s="391"/>
      <c r="AQ89" s="377"/>
      <c r="AR89" s="389">
        <v>100</v>
      </c>
      <c r="AS89" s="291">
        <f t="shared" si="177"/>
        <v>0.46</v>
      </c>
      <c r="AT89" s="291"/>
      <c r="AU89" s="390">
        <f t="shared" si="178"/>
        <v>8.3333333333333329E-2</v>
      </c>
      <c r="AV89" s="391"/>
      <c r="AW89" s="377"/>
      <c r="AX89" s="389">
        <v>100</v>
      </c>
      <c r="AY89" s="291">
        <f t="shared" si="179"/>
        <v>0.17</v>
      </c>
      <c r="AZ89" s="291"/>
      <c r="BA89" s="390">
        <f t="shared" si="180"/>
        <v>0.26333333333333336</v>
      </c>
      <c r="BB89" s="391"/>
      <c r="BC89" s="377"/>
      <c r="BD89" s="389">
        <v>100</v>
      </c>
      <c r="BE89" s="291">
        <f t="shared" si="181"/>
        <v>0.63</v>
      </c>
      <c r="BF89" s="291"/>
      <c r="BG89" s="390">
        <f t="shared" si="182"/>
        <v>9.0000000000000011E-2</v>
      </c>
      <c r="BH89" s="391"/>
      <c r="BI89" s="377"/>
      <c r="BJ89" s="389">
        <v>100</v>
      </c>
      <c r="BK89" s="291">
        <f t="shared" si="183"/>
        <v>0.17</v>
      </c>
      <c r="BL89" s="291"/>
      <c r="BM89" s="390">
        <f t="shared" si="184"/>
        <v>0.26333333333333336</v>
      </c>
      <c r="BN89" s="391"/>
      <c r="BO89" s="377"/>
      <c r="BP89" s="389">
        <v>100</v>
      </c>
      <c r="BQ89" s="291">
        <f t="shared" si="185"/>
        <v>0.63</v>
      </c>
      <c r="BR89" s="291"/>
      <c r="BS89" s="390">
        <f t="shared" si="186"/>
        <v>8.666666666666667E-2</v>
      </c>
      <c r="BT89" s="391"/>
      <c r="BU89" s="377"/>
      <c r="BV89" s="389">
        <v>100</v>
      </c>
      <c r="BW89" s="291">
        <f t="shared" si="187"/>
        <v>0.87</v>
      </c>
      <c r="BX89" s="291"/>
      <c r="BY89" s="390">
        <f t="shared" si="188"/>
        <v>8.3333333333333329E-2</v>
      </c>
      <c r="BZ89" s="391"/>
      <c r="CA89" s="377"/>
      <c r="CB89" s="389">
        <v>100</v>
      </c>
      <c r="CC89" s="291">
        <f t="shared" si="189"/>
        <v>-1.7</v>
      </c>
      <c r="CD89" s="291">
        <f t="shared" si="190"/>
        <v>-0.7</v>
      </c>
      <c r="CE89" s="390">
        <f t="shared" si="191"/>
        <v>0.90000000000000013</v>
      </c>
      <c r="CF89" s="391"/>
      <c r="CH89" s="389">
        <v>100</v>
      </c>
      <c r="CI89" s="291">
        <f t="shared" si="192"/>
        <v>0.31</v>
      </c>
      <c r="CJ89" s="291">
        <f t="shared" si="193"/>
        <v>0.23</v>
      </c>
      <c r="CK89" s="390">
        <f t="shared" si="194"/>
        <v>7.9999999999999988E-2</v>
      </c>
      <c r="CL89" s="391"/>
      <c r="CN89" s="389">
        <v>100</v>
      </c>
      <c r="CO89" s="291">
        <f t="shared" si="195"/>
        <v>0.95</v>
      </c>
      <c r="CP89" s="291">
        <f t="shared" si="195"/>
        <v>0.81</v>
      </c>
      <c r="CQ89" s="390">
        <f t="shared" si="196"/>
        <v>0.1399999999999999</v>
      </c>
      <c r="CR89" s="391"/>
    </row>
    <row r="90" spans="2:96" ht="13">
      <c r="B90" s="389">
        <v>150</v>
      </c>
      <c r="C90" s="291">
        <v>0.28000000000000003</v>
      </c>
      <c r="D90" s="291">
        <f t="shared" si="163"/>
        <v>0.77</v>
      </c>
      <c r="E90" s="390">
        <f t="shared" si="164"/>
        <v>0.49</v>
      </c>
      <c r="F90" s="391"/>
      <c r="G90" s="392"/>
      <c r="H90" s="389">
        <v>150</v>
      </c>
      <c r="I90" s="291">
        <v>0.02</v>
      </c>
      <c r="J90" s="291">
        <f t="shared" si="165"/>
        <v>0.57999999999999996</v>
      </c>
      <c r="K90" s="390">
        <f t="shared" si="166"/>
        <v>0.55999999999999994</v>
      </c>
      <c r="L90" s="391"/>
      <c r="M90" s="392"/>
      <c r="N90" s="389">
        <v>150</v>
      </c>
      <c r="O90" s="291">
        <v>-0.17</v>
      </c>
      <c r="P90" s="291">
        <f t="shared" si="167"/>
        <v>-0.24</v>
      </c>
      <c r="Q90" s="390">
        <f t="shared" si="168"/>
        <v>6.9999999999999979E-2</v>
      </c>
      <c r="R90" s="391"/>
      <c r="S90" s="377"/>
      <c r="T90" s="389">
        <v>150</v>
      </c>
      <c r="U90" s="291">
        <f t="shared" si="169"/>
        <v>-0.23</v>
      </c>
      <c r="V90" s="291"/>
      <c r="W90" s="390">
        <f t="shared" si="170"/>
        <v>8.666666666666667E-2</v>
      </c>
      <c r="X90" s="391"/>
      <c r="Y90" s="377"/>
      <c r="Z90" s="389">
        <v>150</v>
      </c>
      <c r="AA90" s="291">
        <f t="shared" si="171"/>
        <v>0.47</v>
      </c>
      <c r="AB90" s="291">
        <v>0.3</v>
      </c>
      <c r="AC90" s="390">
        <f t="shared" si="172"/>
        <v>0.16999999999999998</v>
      </c>
      <c r="AD90" s="391"/>
      <c r="AE90" s="377"/>
      <c r="AF90" s="389">
        <v>150</v>
      </c>
      <c r="AG90" s="291">
        <f t="shared" si="173"/>
        <v>0.48</v>
      </c>
      <c r="AH90" s="291">
        <v>0.17</v>
      </c>
      <c r="AI90" s="390">
        <f t="shared" si="174"/>
        <v>0.30999999999999994</v>
      </c>
      <c r="AJ90" s="391"/>
      <c r="AK90" s="377"/>
      <c r="AL90" s="389">
        <v>150</v>
      </c>
      <c r="AM90" s="291">
        <f t="shared" si="175"/>
        <v>0.69</v>
      </c>
      <c r="AN90" s="291"/>
      <c r="AO90" s="390">
        <f t="shared" si="176"/>
        <v>0.08</v>
      </c>
      <c r="AP90" s="391"/>
      <c r="AQ90" s="377"/>
      <c r="AR90" s="389">
        <v>150</v>
      </c>
      <c r="AS90" s="291">
        <f t="shared" si="177"/>
        <v>0.68</v>
      </c>
      <c r="AT90" s="291"/>
      <c r="AU90" s="390">
        <f t="shared" si="178"/>
        <v>8.3333333333333329E-2</v>
      </c>
      <c r="AV90" s="391"/>
      <c r="AW90" s="377"/>
      <c r="AX90" s="389">
        <v>150</v>
      </c>
      <c r="AY90" s="291">
        <f t="shared" si="179"/>
        <v>-0.05</v>
      </c>
      <c r="AZ90" s="291"/>
      <c r="BA90" s="390">
        <f t="shared" si="180"/>
        <v>0.26333333333333336</v>
      </c>
      <c r="BB90" s="391"/>
      <c r="BC90" s="377"/>
      <c r="BD90" s="389">
        <v>150</v>
      </c>
      <c r="BE90" s="291">
        <f t="shared" si="181"/>
        <v>-0.04</v>
      </c>
      <c r="BF90" s="291"/>
      <c r="BG90" s="390">
        <f t="shared" si="182"/>
        <v>9.0000000000000011E-2</v>
      </c>
      <c r="BH90" s="391"/>
      <c r="BI90" s="377"/>
      <c r="BJ90" s="389">
        <v>150</v>
      </c>
      <c r="BK90" s="291">
        <f t="shared" si="183"/>
        <v>-0.05</v>
      </c>
      <c r="BL90" s="291"/>
      <c r="BM90" s="390">
        <f t="shared" si="184"/>
        <v>0.26333333333333336</v>
      </c>
      <c r="BN90" s="391"/>
      <c r="BO90" s="377"/>
      <c r="BP90" s="389">
        <v>150</v>
      </c>
      <c r="BQ90" s="291">
        <f t="shared" si="185"/>
        <v>-0.1</v>
      </c>
      <c r="BR90" s="291"/>
      <c r="BS90" s="390">
        <f t="shared" si="186"/>
        <v>8.666666666666667E-2</v>
      </c>
      <c r="BT90" s="391"/>
      <c r="BU90" s="377"/>
      <c r="BV90" s="389">
        <v>150</v>
      </c>
      <c r="BW90" s="291">
        <f t="shared" si="187"/>
        <v>7.0000000000000007E-2</v>
      </c>
      <c r="BX90" s="291"/>
      <c r="BY90" s="390">
        <f t="shared" si="188"/>
        <v>8.3333333333333329E-2</v>
      </c>
      <c r="BZ90" s="391"/>
      <c r="CA90" s="377"/>
      <c r="CB90" s="389">
        <v>150</v>
      </c>
      <c r="CC90" s="291">
        <f t="shared" si="189"/>
        <v>-0.9</v>
      </c>
      <c r="CD90" s="291">
        <f t="shared" si="190"/>
        <v>-0.7</v>
      </c>
      <c r="CE90" s="390">
        <f t="shared" si="191"/>
        <v>1</v>
      </c>
      <c r="CF90" s="391"/>
      <c r="CH90" s="389">
        <v>150</v>
      </c>
      <c r="CI90" s="291">
        <f t="shared" si="192"/>
        <v>0.3</v>
      </c>
      <c r="CJ90" s="291">
        <f t="shared" si="193"/>
        <v>0.22</v>
      </c>
      <c r="CK90" s="390">
        <f t="shared" si="194"/>
        <v>7.9999999999999988E-2</v>
      </c>
      <c r="CL90" s="391"/>
      <c r="CN90" s="389">
        <v>150</v>
      </c>
      <c r="CO90" s="291">
        <f t="shared" si="195"/>
        <v>0.49</v>
      </c>
      <c r="CP90" s="291">
        <f t="shared" si="195"/>
        <v>0.87</v>
      </c>
      <c r="CQ90" s="390">
        <f t="shared" si="196"/>
        <v>0.38</v>
      </c>
      <c r="CR90" s="391"/>
    </row>
    <row r="91" spans="2:96" ht="13">
      <c r="B91" s="389">
        <v>200</v>
      </c>
      <c r="C91" s="291">
        <v>0.44</v>
      </c>
      <c r="D91" s="291">
        <f t="shared" si="163"/>
        <v>0.06</v>
      </c>
      <c r="E91" s="390">
        <f t="shared" si="164"/>
        <v>0.38</v>
      </c>
      <c r="F91" s="391"/>
      <c r="G91" s="392"/>
      <c r="H91" s="389">
        <v>200</v>
      </c>
      <c r="I91" s="291">
        <v>0.3</v>
      </c>
      <c r="J91" s="291">
        <f t="shared" si="165"/>
        <v>0.26</v>
      </c>
      <c r="K91" s="390">
        <f t="shared" si="166"/>
        <v>3.999999999999998E-2</v>
      </c>
      <c r="L91" s="391"/>
      <c r="M91" s="392"/>
      <c r="N91" s="389">
        <v>200</v>
      </c>
      <c r="O91" s="291">
        <v>0.21</v>
      </c>
      <c r="P91" s="291">
        <f t="shared" si="167"/>
        <v>0.03</v>
      </c>
      <c r="Q91" s="390">
        <f t="shared" si="168"/>
        <v>0.18</v>
      </c>
      <c r="R91" s="391"/>
      <c r="S91" s="377"/>
      <c r="T91" s="389">
        <v>200</v>
      </c>
      <c r="U91" s="291">
        <f t="shared" si="169"/>
        <v>-1.1299999999999999</v>
      </c>
      <c r="V91" s="291"/>
      <c r="W91" s="390">
        <f t="shared" si="170"/>
        <v>8.666666666666667E-2</v>
      </c>
      <c r="X91" s="391"/>
      <c r="Y91" s="377"/>
      <c r="Z91" s="389">
        <v>200</v>
      </c>
      <c r="AA91" s="291">
        <f t="shared" si="171"/>
        <v>0.71</v>
      </c>
      <c r="AB91" s="291">
        <v>-0.08</v>
      </c>
      <c r="AC91" s="390">
        <f t="shared" si="172"/>
        <v>0.78999999999999992</v>
      </c>
      <c r="AD91" s="391"/>
      <c r="AE91" s="377"/>
      <c r="AF91" s="389">
        <v>200</v>
      </c>
      <c r="AG91" s="291">
        <f t="shared" si="173"/>
        <v>0.75</v>
      </c>
      <c r="AH91" s="291">
        <v>-0.24</v>
      </c>
      <c r="AI91" s="390">
        <f t="shared" si="174"/>
        <v>0.99</v>
      </c>
      <c r="AJ91" s="391"/>
      <c r="AK91" s="377"/>
      <c r="AL91" s="389">
        <v>200</v>
      </c>
      <c r="AM91" s="291">
        <f t="shared" si="175"/>
        <v>0.92</v>
      </c>
      <c r="AN91" s="291"/>
      <c r="AO91" s="390">
        <f t="shared" si="176"/>
        <v>0.08</v>
      </c>
      <c r="AP91" s="391"/>
      <c r="AQ91" s="377"/>
      <c r="AR91" s="389">
        <v>200</v>
      </c>
      <c r="AS91" s="291">
        <f t="shared" si="177"/>
        <v>0.91</v>
      </c>
      <c r="AT91" s="291"/>
      <c r="AU91" s="390">
        <f t="shared" si="178"/>
        <v>8.3333333333333329E-2</v>
      </c>
      <c r="AV91" s="391"/>
      <c r="AW91" s="377"/>
      <c r="AX91" s="389">
        <v>200</v>
      </c>
      <c r="AY91" s="291">
        <f t="shared" si="179"/>
        <v>-0.28999999999999998</v>
      </c>
      <c r="AZ91" s="291"/>
      <c r="BA91" s="390">
        <f t="shared" si="180"/>
        <v>0.26333333333333336</v>
      </c>
      <c r="BB91" s="391"/>
      <c r="BC91" s="377"/>
      <c r="BD91" s="389">
        <v>200</v>
      </c>
      <c r="BE91" s="291">
        <f t="shared" si="181"/>
        <v>-0.26</v>
      </c>
      <c r="BF91" s="291"/>
      <c r="BG91" s="390">
        <f t="shared" si="182"/>
        <v>9.0000000000000011E-2</v>
      </c>
      <c r="BH91" s="391"/>
      <c r="BI91" s="377"/>
      <c r="BJ91" s="389">
        <v>200</v>
      </c>
      <c r="BK91" s="291">
        <f t="shared" si="183"/>
        <v>-0.28999999999999998</v>
      </c>
      <c r="BL91" s="291"/>
      <c r="BM91" s="390">
        <f t="shared" si="184"/>
        <v>0.26333333333333336</v>
      </c>
      <c r="BN91" s="391"/>
      <c r="BO91" s="377"/>
      <c r="BP91" s="389">
        <v>200</v>
      </c>
      <c r="BQ91" s="291">
        <f t="shared" si="185"/>
        <v>-0.93</v>
      </c>
      <c r="BR91" s="291"/>
      <c r="BS91" s="390">
        <f t="shared" si="186"/>
        <v>8.666666666666667E-2</v>
      </c>
      <c r="BT91" s="391"/>
      <c r="BU91" s="377"/>
      <c r="BV91" s="389">
        <v>200</v>
      </c>
      <c r="BW91" s="291">
        <f t="shared" si="187"/>
        <v>-1.1000000000000001</v>
      </c>
      <c r="BX91" s="291"/>
      <c r="BY91" s="390">
        <f t="shared" si="188"/>
        <v>8.3333333333333329E-2</v>
      </c>
      <c r="BZ91" s="391"/>
      <c r="CA91" s="377"/>
      <c r="CB91" s="389">
        <v>200</v>
      </c>
      <c r="CC91" s="291">
        <f t="shared" si="189"/>
        <v>0</v>
      </c>
      <c r="CD91" s="291">
        <f t="shared" si="190"/>
        <v>-0.6</v>
      </c>
      <c r="CE91" s="390">
        <f t="shared" si="191"/>
        <v>0.30000000000000004</v>
      </c>
      <c r="CF91" s="391"/>
      <c r="CH91" s="389">
        <v>200</v>
      </c>
      <c r="CI91" s="291">
        <f t="shared" si="192"/>
        <v>0.34</v>
      </c>
      <c r="CJ91" s="291">
        <f t="shared" si="193"/>
        <v>0.47</v>
      </c>
      <c r="CK91" s="390">
        <f t="shared" si="194"/>
        <v>0.12999999999999995</v>
      </c>
      <c r="CL91" s="391"/>
      <c r="CN91" s="389">
        <v>200</v>
      </c>
      <c r="CO91" s="291">
        <f t="shared" si="195"/>
        <v>-0.26</v>
      </c>
      <c r="CP91" s="291">
        <f t="shared" si="195"/>
        <v>0.99</v>
      </c>
      <c r="CQ91" s="390">
        <f t="shared" si="196"/>
        <v>1.25</v>
      </c>
      <c r="CR91" s="391"/>
    </row>
    <row r="92" spans="2:96" s="377" customFormat="1" ht="13">
      <c r="B92" s="397"/>
      <c r="C92" s="378"/>
      <c r="D92" s="378"/>
      <c r="E92" s="395"/>
      <c r="F92" s="392"/>
      <c r="G92" s="392"/>
      <c r="H92" s="397"/>
      <c r="I92" s="378"/>
      <c r="J92" s="378"/>
      <c r="K92" s="395"/>
      <c r="L92" s="379"/>
      <c r="M92" s="392"/>
      <c r="N92" s="397"/>
      <c r="O92" s="378"/>
      <c r="P92" s="378"/>
      <c r="Q92" s="395"/>
      <c r="R92" s="379"/>
      <c r="T92" s="397"/>
      <c r="U92" s="378"/>
      <c r="V92" s="378"/>
      <c r="W92" s="395"/>
      <c r="X92" s="379"/>
      <c r="Z92" s="397"/>
      <c r="AA92" s="378"/>
      <c r="AB92" s="378"/>
      <c r="AC92" s="395"/>
      <c r="AD92" s="379"/>
      <c r="AF92" s="397"/>
      <c r="AG92" s="378"/>
      <c r="AH92" s="378"/>
      <c r="AI92" s="395"/>
      <c r="AJ92" s="379"/>
      <c r="AL92" s="397"/>
      <c r="AM92" s="378"/>
      <c r="AN92" s="378"/>
      <c r="AO92" s="395"/>
      <c r="AP92" s="379"/>
      <c r="AR92" s="397"/>
      <c r="AS92" s="378"/>
      <c r="AT92" s="378"/>
      <c r="AU92" s="395"/>
      <c r="AV92" s="379"/>
      <c r="AX92" s="397"/>
      <c r="AY92" s="378"/>
      <c r="AZ92" s="378"/>
      <c r="BA92" s="395"/>
      <c r="BB92" s="379"/>
      <c r="BD92" s="397"/>
      <c r="BE92" s="378"/>
      <c r="BF92" s="378"/>
      <c r="BG92" s="395"/>
      <c r="BH92" s="379"/>
      <c r="BJ92" s="397"/>
      <c r="BK92" s="378"/>
      <c r="BL92" s="378"/>
      <c r="BM92" s="395"/>
      <c r="BN92" s="379"/>
      <c r="BP92" s="397"/>
      <c r="BQ92" s="378"/>
      <c r="BR92" s="378"/>
      <c r="BS92" s="395"/>
      <c r="BT92" s="379"/>
      <c r="BV92" s="397"/>
      <c r="BW92" s="378"/>
      <c r="BX92" s="378"/>
      <c r="BY92" s="395"/>
      <c r="BZ92" s="379"/>
      <c r="CB92" s="397"/>
      <c r="CC92" s="378"/>
      <c r="CD92" s="378"/>
      <c r="CE92" s="395"/>
      <c r="CF92" s="379"/>
      <c r="CH92" s="397"/>
      <c r="CI92" s="378"/>
      <c r="CJ92" s="378"/>
      <c r="CK92" s="395"/>
      <c r="CL92" s="379"/>
      <c r="CN92" s="397"/>
      <c r="CO92" s="378"/>
      <c r="CP92" s="378"/>
      <c r="CQ92" s="395"/>
      <c r="CR92" s="379"/>
    </row>
    <row r="93" spans="2:96" ht="21.75" customHeight="1">
      <c r="B93" s="1198" t="s">
        <v>392</v>
      </c>
      <c r="C93" s="1200" t="str">
        <f>C78</f>
        <v>Thermocouple Data Logger, Merek : MADGETECH, Model : OctTemp 2000, SN : P40270</v>
      </c>
      <c r="D93" s="1200"/>
      <c r="E93" s="1200"/>
      <c r="F93" s="380" t="s">
        <v>648</v>
      </c>
      <c r="G93" s="381"/>
      <c r="H93" s="1198" t="s">
        <v>392</v>
      </c>
      <c r="I93" s="1200" t="str">
        <f>I78</f>
        <v>Thermocouple Data Logger, Merek : MADGETECH, Model : OctTemp 2000, SN : P41878</v>
      </c>
      <c r="J93" s="1200"/>
      <c r="K93" s="1200"/>
      <c r="L93" s="380" t="s">
        <v>648</v>
      </c>
      <c r="M93" s="381"/>
      <c r="N93" s="1198" t="s">
        <v>392</v>
      </c>
      <c r="O93" s="1200" t="str">
        <f>O78</f>
        <v>Mobile Corder, Merek : Yokogawa, Model : GP 10, SN : S5T810599</v>
      </c>
      <c r="P93" s="1203"/>
      <c r="Q93" s="1200"/>
      <c r="R93" s="380" t="s">
        <v>648</v>
      </c>
      <c r="S93" s="377"/>
      <c r="T93" s="1198" t="s">
        <v>392</v>
      </c>
      <c r="U93" s="1200" t="str">
        <f>U78</f>
        <v>Wireless Temperature Recorder, Merek : HIOKI, Model : LR 8510, SN : 200936000</v>
      </c>
      <c r="V93" s="1203"/>
      <c r="W93" s="1200"/>
      <c r="X93" s="380" t="s">
        <v>648</v>
      </c>
      <c r="Y93" s="377"/>
      <c r="Z93" s="1198" t="s">
        <v>392</v>
      </c>
      <c r="AA93" s="1200" t="str">
        <f>AA78</f>
        <v>Wireless Temperature Recorder, Merek : HIOKI, Model : LR 8510, SN : 200936001</v>
      </c>
      <c r="AB93" s="1203"/>
      <c r="AC93" s="1200"/>
      <c r="AD93" s="380" t="s">
        <v>648</v>
      </c>
      <c r="AE93" s="377"/>
      <c r="AF93" s="1198" t="s">
        <v>392</v>
      </c>
      <c r="AG93" s="1200" t="str">
        <f>AG78</f>
        <v>Wireless Temperature Recorder, Merek : HIOKI, Model : LR 8510, SN : 200821397</v>
      </c>
      <c r="AH93" s="1203"/>
      <c r="AI93" s="1200"/>
      <c r="AJ93" s="380" t="s">
        <v>648</v>
      </c>
      <c r="AK93" s="377"/>
      <c r="AL93" s="1198" t="s">
        <v>392</v>
      </c>
      <c r="AM93" s="1200" t="str">
        <f>AM78</f>
        <v>Wireless Temperature Recorder, Merek : HIOKI, Model : LR 8510, SN : 210411983</v>
      </c>
      <c r="AN93" s="1203"/>
      <c r="AO93" s="1200"/>
      <c r="AP93" s="380" t="s">
        <v>648</v>
      </c>
      <c r="AQ93" s="377"/>
      <c r="AR93" s="1198" t="s">
        <v>392</v>
      </c>
      <c r="AS93" s="1200" t="str">
        <f>AS78</f>
        <v>Wireless Temperature Recorder, Merek : HIOKI, Model : LR 8510, SN : 210411984</v>
      </c>
      <c r="AT93" s="1203"/>
      <c r="AU93" s="1200"/>
      <c r="AV93" s="380" t="s">
        <v>648</v>
      </c>
      <c r="AW93" s="377"/>
      <c r="AX93" s="1198" t="s">
        <v>392</v>
      </c>
      <c r="AY93" s="1200" t="str">
        <f>AY78</f>
        <v>Wireless Temperature Recorder, Merek : HIOKI, Model : LR 8510, SN : 210411985</v>
      </c>
      <c r="AZ93" s="1203"/>
      <c r="BA93" s="1200"/>
      <c r="BB93" s="380" t="s">
        <v>648</v>
      </c>
      <c r="BC93" s="377"/>
      <c r="BD93" s="1198" t="s">
        <v>392</v>
      </c>
      <c r="BE93" s="1200" t="str">
        <f>BE78</f>
        <v>Wireless Temperature Recorder, Merek : HIOKI, Model : LR 8510, SN : 210746054</v>
      </c>
      <c r="BF93" s="1203"/>
      <c r="BG93" s="1200"/>
      <c r="BH93" s="380" t="s">
        <v>648</v>
      </c>
      <c r="BI93" s="377"/>
      <c r="BJ93" s="1198" t="s">
        <v>392</v>
      </c>
      <c r="BK93" s="1200" t="str">
        <f>BK78</f>
        <v>Wireless Temperature Recorder, Merek : HIOKI, Model : LR 8510, SN : 210746055</v>
      </c>
      <c r="BL93" s="1203"/>
      <c r="BM93" s="1200"/>
      <c r="BN93" s="380" t="s">
        <v>648</v>
      </c>
      <c r="BO93" s="377"/>
      <c r="BP93" s="1198" t="s">
        <v>392</v>
      </c>
      <c r="BQ93" s="1200" t="str">
        <f>BQ78</f>
        <v>Wireless Temperature Recorder, Merek : HIOKI, Model : LR 8510, SN : 210746056</v>
      </c>
      <c r="BR93" s="1203"/>
      <c r="BS93" s="1200"/>
      <c r="BT93" s="380" t="s">
        <v>648</v>
      </c>
      <c r="BU93" s="377"/>
      <c r="BV93" s="1198" t="s">
        <v>392</v>
      </c>
      <c r="BW93" s="1200" t="str">
        <f>BW78</f>
        <v>Wireless Temperature Recorder, Merek : HIOKI, Model : LR 8510, SN : 200821396</v>
      </c>
      <c r="BX93" s="1203"/>
      <c r="BY93" s="1200"/>
      <c r="BZ93" s="380" t="s">
        <v>648</v>
      </c>
      <c r="CA93" s="377"/>
      <c r="CB93" s="1198" t="s">
        <v>392</v>
      </c>
      <c r="CC93" s="1200" t="str">
        <f t="shared" ref="CC93:CC106" si="197">CC78</f>
        <v>Reference Thermometer, Merek : APPA, Model : APPA51, SN : 03002948</v>
      </c>
      <c r="CD93" s="1203"/>
      <c r="CE93" s="1200"/>
      <c r="CF93" s="380" t="s">
        <v>648</v>
      </c>
      <c r="CH93" s="1198" t="s">
        <v>392</v>
      </c>
      <c r="CI93" s="1200" t="str">
        <f t="shared" ref="CI93:CJ106" si="198">CI78</f>
        <v>Reference Thermometer, Merek : FLUKE, Model : 1524, SN : 1803038</v>
      </c>
      <c r="CJ93" s="1203"/>
      <c r="CK93" s="1200"/>
      <c r="CL93" s="380" t="s">
        <v>648</v>
      </c>
      <c r="CN93" s="1198" t="s">
        <v>392</v>
      </c>
      <c r="CO93" s="1200" t="str">
        <f t="shared" ref="CO93:CP106" si="199">CO78</f>
        <v>Reference Thermometer, Merek : FLUKE, Model : 1524, SN : 1803037</v>
      </c>
      <c r="CP93" s="1203"/>
      <c r="CQ93" s="1200"/>
      <c r="CR93" s="380" t="s">
        <v>648</v>
      </c>
    </row>
    <row r="94" spans="2:96" ht="13">
      <c r="B94" s="1199"/>
      <c r="C94" s="387">
        <f>C79</f>
        <v>2021</v>
      </c>
      <c r="D94" s="387">
        <f>D79</f>
        <v>2022</v>
      </c>
      <c r="E94" s="384" t="s">
        <v>386</v>
      </c>
      <c r="F94" s="388">
        <f ca="1">$B$290</f>
        <v>37.19</v>
      </c>
      <c r="G94" s="385"/>
      <c r="H94" s="1199"/>
      <c r="I94" s="386">
        <f>I79</f>
        <v>2021</v>
      </c>
      <c r="J94" s="387">
        <f>J79</f>
        <v>2022</v>
      </c>
      <c r="K94" s="384" t="s">
        <v>386</v>
      </c>
      <c r="L94" s="388">
        <f ca="1">$B$290</f>
        <v>37.19</v>
      </c>
      <c r="M94" s="385"/>
      <c r="N94" s="1199"/>
      <c r="O94" s="386">
        <f>O4</f>
        <v>2021</v>
      </c>
      <c r="P94" s="387">
        <f>P4</f>
        <v>2023</v>
      </c>
      <c r="Q94" s="384" t="s">
        <v>386</v>
      </c>
      <c r="R94" s="388">
        <f ca="1">$B$290</f>
        <v>37.19</v>
      </c>
      <c r="S94" s="377"/>
      <c r="T94" s="1199"/>
      <c r="U94" s="386">
        <f>U79</f>
        <v>2021</v>
      </c>
      <c r="V94" s="387"/>
      <c r="W94" s="384" t="s">
        <v>386</v>
      </c>
      <c r="X94" s="388">
        <f ca="1">$B$290</f>
        <v>37.19</v>
      </c>
      <c r="Y94" s="377"/>
      <c r="Z94" s="1199"/>
      <c r="AA94" s="386">
        <f>AA79</f>
        <v>2023</v>
      </c>
      <c r="AB94" s="387">
        <f>AB79</f>
        <v>2021</v>
      </c>
      <c r="AC94" s="384" t="s">
        <v>386</v>
      </c>
      <c r="AD94" s="388">
        <f ca="1">$B$290</f>
        <v>37.19</v>
      </c>
      <c r="AE94" s="377"/>
      <c r="AF94" s="1199"/>
      <c r="AG94" s="386">
        <f>AG79</f>
        <v>2023</v>
      </c>
      <c r="AH94" s="386">
        <f>AH79</f>
        <v>2021</v>
      </c>
      <c r="AI94" s="384" t="s">
        <v>386</v>
      </c>
      <c r="AJ94" s="388">
        <f ca="1">$B$290</f>
        <v>37.19</v>
      </c>
      <c r="AK94" s="377"/>
      <c r="AL94" s="1199"/>
      <c r="AM94" s="386">
        <f>AM79</f>
        <v>2021</v>
      </c>
      <c r="AN94" s="387"/>
      <c r="AO94" s="384" t="s">
        <v>386</v>
      </c>
      <c r="AP94" s="388">
        <f ca="1">$B$290</f>
        <v>37.19</v>
      </c>
      <c r="AQ94" s="377"/>
      <c r="AR94" s="1199"/>
      <c r="AS94" s="386">
        <f>AS79</f>
        <v>2021</v>
      </c>
      <c r="AT94" s="387"/>
      <c r="AU94" s="384" t="s">
        <v>386</v>
      </c>
      <c r="AV94" s="388">
        <f ca="1">$B$290</f>
        <v>37.19</v>
      </c>
      <c r="AW94" s="377"/>
      <c r="AX94" s="1199"/>
      <c r="AY94" s="386">
        <f>AY79</f>
        <v>2021</v>
      </c>
      <c r="AZ94" s="387"/>
      <c r="BA94" s="384" t="s">
        <v>386</v>
      </c>
      <c r="BB94" s="388">
        <f ca="1">$B$290</f>
        <v>37.19</v>
      </c>
      <c r="BC94" s="377"/>
      <c r="BD94" s="1199"/>
      <c r="BE94" s="386">
        <f>BE79</f>
        <v>2021</v>
      </c>
      <c r="BF94" s="387"/>
      <c r="BG94" s="384" t="s">
        <v>386</v>
      </c>
      <c r="BH94" s="388">
        <f ca="1">$B$290</f>
        <v>37.19</v>
      </c>
      <c r="BI94" s="377"/>
      <c r="BJ94" s="1199"/>
      <c r="BK94" s="386">
        <f>BK79</f>
        <v>2021</v>
      </c>
      <c r="BL94" s="387"/>
      <c r="BM94" s="384" t="s">
        <v>386</v>
      </c>
      <c r="BN94" s="388">
        <f ca="1">$B$290</f>
        <v>37.19</v>
      </c>
      <c r="BO94" s="377"/>
      <c r="BP94" s="1199"/>
      <c r="BQ94" s="386">
        <f>BQ79</f>
        <v>2021</v>
      </c>
      <c r="BR94" s="387"/>
      <c r="BS94" s="384" t="s">
        <v>386</v>
      </c>
      <c r="BT94" s="388">
        <f ca="1">$B$290</f>
        <v>37.19</v>
      </c>
      <c r="BU94" s="377"/>
      <c r="BV94" s="1199"/>
      <c r="BW94" s="386">
        <f>BW79</f>
        <v>2022</v>
      </c>
      <c r="BX94" s="387"/>
      <c r="BY94" s="384" t="s">
        <v>386</v>
      </c>
      <c r="BZ94" s="388">
        <f ca="1">$B$290</f>
        <v>37.19</v>
      </c>
      <c r="CA94" s="377"/>
      <c r="CB94" s="1199"/>
      <c r="CC94" s="386">
        <f t="shared" si="197"/>
        <v>2022</v>
      </c>
      <c r="CD94" s="387">
        <f>CD109</f>
        <v>2020</v>
      </c>
      <c r="CE94" s="384" t="s">
        <v>386</v>
      </c>
      <c r="CF94" s="388">
        <f ca="1">$B$290</f>
        <v>37.19</v>
      </c>
      <c r="CH94" s="1199"/>
      <c r="CI94" s="386">
        <f t="shared" si="198"/>
        <v>2021</v>
      </c>
      <c r="CJ94" s="387">
        <f>CJ79</f>
        <v>2019</v>
      </c>
      <c r="CK94" s="384" t="s">
        <v>386</v>
      </c>
      <c r="CL94" s="388">
        <f ca="1">$B$290</f>
        <v>37.19</v>
      </c>
      <c r="CN94" s="1199"/>
      <c r="CO94" s="386">
        <f t="shared" si="199"/>
        <v>2021</v>
      </c>
      <c r="CP94" s="387">
        <f>CP79</f>
        <v>2020</v>
      </c>
      <c r="CQ94" s="384" t="s">
        <v>386</v>
      </c>
      <c r="CR94" s="388">
        <f ca="1">$B$290</f>
        <v>37.19</v>
      </c>
    </row>
    <row r="95" spans="2:96" ht="13">
      <c r="B95" s="389">
        <v>-20</v>
      </c>
      <c r="C95" s="291">
        <v>-0.41</v>
      </c>
      <c r="D95" s="291">
        <f t="shared" ref="D95:D106" si="200">C209</f>
        <v>-0.56999999999999995</v>
      </c>
      <c r="E95" s="390">
        <f t="shared" ref="E95:E106" si="201">IF(OR(C95=0,D95=0),$C$221/3,((MAX(C95:D95)-(MIN(C95:D95)))))</f>
        <v>0.15999999999999998</v>
      </c>
      <c r="F95" s="932">
        <f ca="1">IF($L$4&lt;=$B$10,$B$9,IF($L$4&lt;=$B$11,$B$10,IF($L$4&lt;=$B$12,$B$11,IF($L$4&lt;=$B$13,$B$12,IF($L$4&lt;=$B$14,$B$13)))))</f>
        <v>37</v>
      </c>
      <c r="G95" s="392"/>
      <c r="H95" s="389">
        <v>-20</v>
      </c>
      <c r="I95" s="291">
        <v>-0.75</v>
      </c>
      <c r="J95" s="291">
        <f t="shared" ref="J95:J106" si="202">D209</f>
        <v>-0.49</v>
      </c>
      <c r="K95" s="390">
        <f t="shared" ref="K95:K106" si="203">IF(OR(I95=0,J95=0),$D$221/3,((MAX(I95:J95)-(MIN(I95:J95)))))</f>
        <v>0.26</v>
      </c>
      <c r="L95" s="932">
        <f ca="1">IF($L$4&lt;=$B$10,$B$9,IF($L$4&lt;=$B$11,$B$10,IF($L$4&lt;=$B$12,$B$11,IF($L$4&lt;=$B$13,$B$12,IF($L$4&lt;=$B$14,$B$13)))))</f>
        <v>37</v>
      </c>
      <c r="M95" s="392"/>
      <c r="N95" s="389">
        <v>-20</v>
      </c>
      <c r="O95" s="291">
        <v>9.9999999999999995E-7</v>
      </c>
      <c r="P95" s="291">
        <f t="shared" ref="P95:P106" si="204">E209</f>
        <v>-0.36</v>
      </c>
      <c r="Q95" s="390">
        <f t="shared" ref="Q95:Q106" si="205">IF(OR(O95=0,P95=0),$E$221/3,((MAX(O95:P95)-(MIN(O95:P95)))))</f>
        <v>0.36000099999999996</v>
      </c>
      <c r="R95" s="932">
        <f ca="1">IF($L$4&lt;=$B$10,$B$9,IF($L$4&lt;=$B$11,$B$10,IF($L$4&lt;=$B$12,$B$11,IF($L$4&lt;=$B$13,$B$12,IF($L$4&lt;=$B$14,$B$13)))))</f>
        <v>37</v>
      </c>
      <c r="S95" s="377"/>
      <c r="T95" s="389">
        <v>-20</v>
      </c>
      <c r="U95" s="291">
        <f t="shared" ref="U95:U106" si="206">F209</f>
        <v>-1.33</v>
      </c>
      <c r="V95" s="291"/>
      <c r="W95" s="390">
        <f t="shared" ref="W95:W106" si="207">IF(OR(U95=0,V95=0),$F$221/3,((MAX(U95:V95)-(MIN(U95:V95)))))</f>
        <v>8.3333333333333329E-2</v>
      </c>
      <c r="X95" s="932">
        <f ca="1">IF($L$4&lt;=$B$10,$B$9,IF($L$4&lt;=$B$11,$B$10,IF($L$4&lt;=$B$12,$B$11,IF($L$4&lt;=$B$13,$B$12,IF($L$4&lt;=$B$14,$B$13)))))</f>
        <v>37</v>
      </c>
      <c r="Y95" s="377"/>
      <c r="Z95" s="389">
        <v>-20</v>
      </c>
      <c r="AA95" s="291">
        <f t="shared" ref="AA95:AA106" si="208">G209</f>
        <v>0.13</v>
      </c>
      <c r="AB95" s="291">
        <v>-0.52</v>
      </c>
      <c r="AC95" s="390">
        <f t="shared" ref="AC95:AC106" si="209">IF(OR(AA95=0,AB95=0),$G$221/3,((MAX(AA95:AB95)-(MIN(AA95:AB95)))))</f>
        <v>0.65</v>
      </c>
      <c r="AD95" s="932">
        <f ca="1">IF($L$4&lt;=$B$10,$B$9,IF($L$4&lt;=$B$11,$B$10,IF($L$4&lt;=$B$12,$B$11,IF($L$4&lt;=$B$13,$B$12,IF($L$4&lt;=$B$14,$B$13)))))</f>
        <v>37</v>
      </c>
      <c r="AE95" s="377"/>
      <c r="AF95" s="389">
        <v>-20</v>
      </c>
      <c r="AG95" s="291">
        <f t="shared" ref="AG95:AG106" si="210">H209</f>
        <v>0.16</v>
      </c>
      <c r="AH95" s="291">
        <v>-0.09</v>
      </c>
      <c r="AI95" s="390">
        <f t="shared" ref="AI95:AI106" si="211">IF(OR(AG95=0,AH95=0),$H$221/3,((MAX(AG95:AH95)-(MIN(AG95:AH95)))))</f>
        <v>0.25</v>
      </c>
      <c r="AJ95" s="932">
        <f ca="1">IF($L$4&lt;=$B$10,$B$9,IF($L$4&lt;=$B$11,$B$10,IF($L$4&lt;=$B$12,$B$11,IF($L$4&lt;=$B$13,$B$12,IF($L$4&lt;=$B$14,$B$13)))))</f>
        <v>37</v>
      </c>
      <c r="AK95" s="377"/>
      <c r="AL95" s="389">
        <v>-20</v>
      </c>
      <c r="AM95" s="291">
        <f t="shared" ref="AM95:AM105" si="212">I209</f>
        <v>0.45</v>
      </c>
      <c r="AN95" s="291"/>
      <c r="AO95" s="390">
        <f t="shared" ref="AO95:AO106" si="213">IF(OR(AM95=0,AN95=0),$I$221/3,((MAX(AM95:AN95)-(MIN(AM95:AN95)))))</f>
        <v>8.3333333333333329E-2</v>
      </c>
      <c r="AP95" s="932">
        <f ca="1">IF($L$4&lt;=$B$10,$B$9,IF($L$4&lt;=$B$11,$B$10,IF($L$4&lt;=$B$12,$B$11,IF($L$4&lt;=$B$13,$B$12,IF($L$4&lt;=$B$14,$B$13)))))</f>
        <v>37</v>
      </c>
      <c r="AQ95" s="377"/>
      <c r="AR95" s="389">
        <v>-20</v>
      </c>
      <c r="AS95" s="291">
        <f t="shared" ref="AS95:AS106" si="214">J209</f>
        <v>0.37</v>
      </c>
      <c r="AT95" s="291"/>
      <c r="AU95" s="390">
        <f t="shared" ref="AU95:AU106" si="215">IF(OR(AS95=0,AT95=0),$J$221/3,((MAX(AS95:AT95)-(MIN(AS95:AT95)))))</f>
        <v>8.3333333333333329E-2</v>
      </c>
      <c r="AV95" s="932">
        <f ca="1">IF($L$4&lt;=$B$10,$B$9,IF($L$4&lt;=$B$11,$B$10,IF($L$4&lt;=$B$12,$B$11,IF($L$4&lt;=$B$13,$B$12,IF($L$4&lt;=$B$14,$B$13)))))</f>
        <v>37</v>
      </c>
      <c r="AW95" s="377"/>
      <c r="AX95" s="389">
        <v>-20</v>
      </c>
      <c r="AY95" s="291">
        <f t="shared" ref="AY95:AY106" si="216">K209</f>
        <v>0.54</v>
      </c>
      <c r="AZ95" s="291"/>
      <c r="BA95" s="390">
        <f t="shared" ref="BA95:BA106" si="217">IF(OR(AY95=0,AZ95=0),$K$221/3,((MAX(AY95:AZ95)-(MIN(AY95:AZ95)))))</f>
        <v>0.26333333333333336</v>
      </c>
      <c r="BB95" s="932">
        <f ca="1">IF($L$4&lt;=$B$10,$B$9,IF($L$4&lt;=$B$11,$B$10,IF($L$4&lt;=$B$12,$B$11,IF($L$4&lt;=$B$13,$B$12,IF($L$4&lt;=$B$14,$B$13)))))</f>
        <v>37</v>
      </c>
      <c r="BC95" s="377"/>
      <c r="BD95" s="389">
        <v>-20</v>
      </c>
      <c r="BE95" s="291">
        <f t="shared" ref="BE95:BE106" si="218">L209</f>
        <v>-0.91</v>
      </c>
      <c r="BF95" s="291"/>
      <c r="BG95" s="390">
        <f t="shared" ref="BG95:BG106" si="219">IF(OR(BE95=0,BF95=0),$L$221/3,((MAX(BE95:BF95)-(MIN(BE95:BF95)))))</f>
        <v>9.0000000000000011E-2</v>
      </c>
      <c r="BH95" s="932">
        <f ca="1">IF($L$4&lt;=$B$10,$B$9,IF($L$4&lt;=$B$11,$B$10,IF($L$4&lt;=$B$12,$B$11,IF($L$4&lt;=$B$13,$B$12,IF($L$4&lt;=$B$14,$B$13)))))</f>
        <v>37</v>
      </c>
      <c r="BI95" s="377"/>
      <c r="BJ95" s="389">
        <v>-20</v>
      </c>
      <c r="BK95" s="291">
        <f t="shared" ref="BK95:BK106" si="220">M209</f>
        <v>0.54</v>
      </c>
      <c r="BL95" s="291"/>
      <c r="BM95" s="390">
        <f t="shared" ref="BM95:BM106" si="221">IF(OR(BK95=0,BL95=0),$M$221/3,((MAX(BK95:BL95)-(MIN(BK95:BL95)))))</f>
        <v>0.26333333333333336</v>
      </c>
      <c r="BN95" s="932">
        <f ca="1">IF($L$4&lt;=$B$10,$B$9,IF($L$4&lt;=$B$11,$B$10,IF($L$4&lt;=$B$12,$B$11,IF($L$4&lt;=$B$13,$B$12,IF($L$4&lt;=$B$14,$B$13)))))</f>
        <v>37</v>
      </c>
      <c r="BO95" s="377"/>
      <c r="BP95" s="389">
        <v>-20</v>
      </c>
      <c r="BQ95" s="291">
        <f t="shared" ref="BQ95:BQ106" si="222">N209</f>
        <v>-1.3</v>
      </c>
      <c r="BR95" s="291"/>
      <c r="BS95" s="390">
        <f t="shared" ref="BS95:BS106" si="223">IF(OR(BQ95=0,BR95=0),$N$221/3,((MAX(BQ95:BR95)-(MIN(BQ95:BR95)))))</f>
        <v>8.666666666666667E-2</v>
      </c>
      <c r="BT95" s="932">
        <f ca="1">IF($L$4&lt;=$B$10,$B$9,IF($L$4&lt;=$B$11,$B$10,IF($L$4&lt;=$B$12,$B$11,IF($L$4&lt;=$B$13,$B$12,IF($L$4&lt;=$B$14,$B$13)))))</f>
        <v>37</v>
      </c>
      <c r="BU95" s="377"/>
      <c r="BV95" s="389">
        <v>-20</v>
      </c>
      <c r="BW95" s="291">
        <f t="shared" ref="BW95:BW106" si="224">O209</f>
        <v>-1.34</v>
      </c>
      <c r="BX95" s="291"/>
      <c r="BY95" s="390">
        <f t="shared" ref="BY95:BY106" si="225">IF(OR(BW95=0,BX95=0),$O$221/3,((MAX(BW95:BX95)-(MIN(BW95:BX95)))))</f>
        <v>9.0000000000000011E-2</v>
      </c>
      <c r="BZ95" s="932">
        <f ca="1">IF($L$4&lt;=$B$10,$B$9,IF($L$4&lt;=$B$11,$B$10,IF($L$4&lt;=$B$12,$B$11,IF($L$4&lt;=$B$13,$B$12,IF($L$4&lt;=$B$14,$B$13)))))</f>
        <v>37</v>
      </c>
      <c r="CA95" s="377"/>
      <c r="CB95" s="389">
        <v>-20</v>
      </c>
      <c r="CC95" s="291">
        <f t="shared" si="197"/>
        <v>-1.1000000000000001</v>
      </c>
      <c r="CD95" s="291">
        <f>CD110</f>
        <v>-0.7</v>
      </c>
      <c r="CE95" s="390">
        <f t="shared" ref="CE95:CE106" si="226">CE80</f>
        <v>0.40000000000000013</v>
      </c>
      <c r="CF95" s="932">
        <f ca="1">IF($L$4&lt;=$B$10,$B$9,IF($L$4&lt;=$B$11,$B$10,IF($L$4&lt;=$B$12,$B$11,IF($L$4&lt;=$B$13,$B$12,IF($L$4&lt;=$B$14,$B$13)))))</f>
        <v>37</v>
      </c>
      <c r="CH95" s="389">
        <v>-20</v>
      </c>
      <c r="CI95" s="291">
        <f t="shared" si="198"/>
        <v>-0.15</v>
      </c>
      <c r="CJ95" s="291">
        <f>CJ80</f>
        <v>-0.32</v>
      </c>
      <c r="CK95" s="390">
        <f t="shared" ref="CK95:CK106" si="227">CK80</f>
        <v>0.17</v>
      </c>
      <c r="CL95" s="932">
        <f ca="1">IF($L$4&lt;=$B$10,$B$9,IF($L$4&lt;=$B$11,$B$10,IF($L$4&lt;=$B$12,$B$11,IF($L$4&lt;=$B$13,$B$12,IF($L$4&lt;=$B$14,$B$13)))))</f>
        <v>37</v>
      </c>
      <c r="CN95" s="389">
        <v>-20</v>
      </c>
      <c r="CO95" s="291">
        <f t="shared" si="199"/>
        <v>-1.8</v>
      </c>
      <c r="CP95" s="291">
        <f>CP80</f>
        <v>-0.51</v>
      </c>
      <c r="CQ95" s="390">
        <f t="shared" ref="CQ95:CQ106" si="228">CQ80</f>
        <v>1.29</v>
      </c>
      <c r="CR95" s="932">
        <f ca="1">IF($L$4&lt;=$B$10,$B$9,IF($L$4&lt;=$B$11,$B$10,IF($L$4&lt;=$B$12,$B$11,IF($L$4&lt;=$B$13,$B$12,IF($L$4&lt;=$B$14,$B$13)))))</f>
        <v>37</v>
      </c>
    </row>
    <row r="96" spans="2:96" ht="13">
      <c r="B96" s="389">
        <v>-15</v>
      </c>
      <c r="C96" s="291">
        <v>-0.36</v>
      </c>
      <c r="D96" s="291">
        <f t="shared" si="200"/>
        <v>-0.52</v>
      </c>
      <c r="E96" s="390">
        <f t="shared" si="201"/>
        <v>0.16000000000000003</v>
      </c>
      <c r="F96" s="391"/>
      <c r="G96" s="392"/>
      <c r="H96" s="389">
        <v>-15</v>
      </c>
      <c r="I96" s="291">
        <v>-0.62</v>
      </c>
      <c r="J96" s="291">
        <f t="shared" si="202"/>
        <v>-0.42</v>
      </c>
      <c r="K96" s="390">
        <f t="shared" si="203"/>
        <v>0.2</v>
      </c>
      <c r="L96" s="391"/>
      <c r="M96" s="392"/>
      <c r="N96" s="389">
        <v>-15</v>
      </c>
      <c r="O96" s="291">
        <v>-0.53</v>
      </c>
      <c r="P96" s="291">
        <f t="shared" si="204"/>
        <v>-0.3</v>
      </c>
      <c r="Q96" s="390">
        <f t="shared" si="205"/>
        <v>0.23000000000000004</v>
      </c>
      <c r="R96" s="391"/>
      <c r="S96" s="377"/>
      <c r="T96" s="389">
        <v>-15</v>
      </c>
      <c r="U96" s="291">
        <f t="shared" si="206"/>
        <v>-1.1000000000000001</v>
      </c>
      <c r="V96" s="291"/>
      <c r="W96" s="390">
        <f t="shared" si="207"/>
        <v>8.3333333333333329E-2</v>
      </c>
      <c r="X96" s="391"/>
      <c r="Y96" s="377"/>
      <c r="Z96" s="389">
        <v>-15</v>
      </c>
      <c r="AA96" s="291">
        <f t="shared" si="208"/>
        <v>0.18</v>
      </c>
      <c r="AB96" s="291">
        <v>0</v>
      </c>
      <c r="AC96" s="390">
        <f t="shared" si="209"/>
        <v>8.666666666666667E-2</v>
      </c>
      <c r="AD96" s="391"/>
      <c r="AE96" s="377"/>
      <c r="AF96" s="389">
        <v>-15</v>
      </c>
      <c r="AG96" s="291">
        <f t="shared" si="210"/>
        <v>0.2</v>
      </c>
      <c r="AH96" s="291">
        <v>9.9999999999999995E-7</v>
      </c>
      <c r="AI96" s="390">
        <f t="shared" si="211"/>
        <v>0.19999900000000001</v>
      </c>
      <c r="AJ96" s="391"/>
      <c r="AK96" s="377"/>
      <c r="AL96" s="389">
        <v>-15</v>
      </c>
      <c r="AM96" s="291">
        <f t="shared" si="212"/>
        <v>0.46</v>
      </c>
      <c r="AN96" s="291"/>
      <c r="AO96" s="390">
        <f t="shared" si="213"/>
        <v>8.3333333333333329E-2</v>
      </c>
      <c r="AP96" s="391"/>
      <c r="AQ96" s="377"/>
      <c r="AR96" s="389">
        <v>-15</v>
      </c>
      <c r="AS96" s="291">
        <f t="shared" si="214"/>
        <v>0.39</v>
      </c>
      <c r="AT96" s="291"/>
      <c r="AU96" s="390">
        <f t="shared" si="215"/>
        <v>8.3333333333333329E-2</v>
      </c>
      <c r="AV96" s="391"/>
      <c r="AW96" s="377"/>
      <c r="AX96" s="389">
        <v>-15</v>
      </c>
      <c r="AY96" s="291">
        <f t="shared" si="216"/>
        <v>9.9999999999999995E-7</v>
      </c>
      <c r="AZ96" s="291"/>
      <c r="BA96" s="390">
        <f t="shared" si="217"/>
        <v>0.26333333333333336</v>
      </c>
      <c r="BB96" s="391"/>
      <c r="BC96" s="377"/>
      <c r="BD96" s="389">
        <v>-15</v>
      </c>
      <c r="BE96" s="291">
        <f t="shared" si="218"/>
        <v>-0.66</v>
      </c>
      <c r="BF96" s="291"/>
      <c r="BG96" s="390">
        <f t="shared" si="219"/>
        <v>9.0000000000000011E-2</v>
      </c>
      <c r="BH96" s="391"/>
      <c r="BI96" s="377"/>
      <c r="BJ96" s="389">
        <v>-15</v>
      </c>
      <c r="BK96" s="291">
        <f t="shared" si="220"/>
        <v>9.9999999999999995E-7</v>
      </c>
      <c r="BL96" s="291"/>
      <c r="BM96" s="390">
        <f t="shared" si="221"/>
        <v>0.26333333333333336</v>
      </c>
      <c r="BN96" s="391"/>
      <c r="BO96" s="377"/>
      <c r="BP96" s="389">
        <v>-15</v>
      </c>
      <c r="BQ96" s="291">
        <f t="shared" si="222"/>
        <v>-1.05</v>
      </c>
      <c r="BR96" s="291"/>
      <c r="BS96" s="390">
        <f t="shared" si="223"/>
        <v>8.666666666666667E-2</v>
      </c>
      <c r="BT96" s="391"/>
      <c r="BU96" s="377"/>
      <c r="BV96" s="389">
        <v>-15</v>
      </c>
      <c r="BW96" s="291">
        <f t="shared" si="224"/>
        <v>-1.05</v>
      </c>
      <c r="BX96" s="291"/>
      <c r="BY96" s="390">
        <f t="shared" si="225"/>
        <v>9.0000000000000011E-2</v>
      </c>
      <c r="BZ96" s="391"/>
      <c r="CA96" s="377"/>
      <c r="CB96" s="389">
        <v>-15</v>
      </c>
      <c r="CC96" s="291">
        <f t="shared" si="197"/>
        <v>-1.2</v>
      </c>
      <c r="CD96" s="291">
        <f t="shared" ref="CD96:CD106" si="229">CD111</f>
        <v>-0.7</v>
      </c>
      <c r="CE96" s="390">
        <f t="shared" si="226"/>
        <v>0.40000000000000013</v>
      </c>
      <c r="CF96" s="391"/>
      <c r="CH96" s="389">
        <v>-15</v>
      </c>
      <c r="CI96" s="291">
        <f t="shared" si="198"/>
        <v>-0.1</v>
      </c>
      <c r="CJ96" s="291">
        <f t="shared" si="198"/>
        <v>-0.24</v>
      </c>
      <c r="CK96" s="390">
        <f t="shared" si="227"/>
        <v>0.13999999999999999</v>
      </c>
      <c r="CL96" s="391"/>
      <c r="CN96" s="389">
        <v>-15</v>
      </c>
      <c r="CO96" s="291">
        <f t="shared" si="199"/>
        <v>-1.52</v>
      </c>
      <c r="CP96" s="291">
        <f t="shared" si="199"/>
        <v>-0.39</v>
      </c>
      <c r="CQ96" s="390">
        <f t="shared" si="228"/>
        <v>1.1299999999999999</v>
      </c>
      <c r="CR96" s="391"/>
    </row>
    <row r="97" spans="2:96" ht="13">
      <c r="B97" s="389">
        <v>-10</v>
      </c>
      <c r="C97" s="291">
        <v>-0.31</v>
      </c>
      <c r="D97" s="291">
        <f t="shared" si="200"/>
        <v>-0.46</v>
      </c>
      <c r="E97" s="390">
        <f t="shared" si="201"/>
        <v>0.15000000000000002</v>
      </c>
      <c r="F97" s="932">
        <f ca="1">IF($L$4&lt;=$B$9,$B$9,IF($L$4&lt;=$B$10,$B$10,IF($L$4&lt;=$B$11,$B$11,IF($L$4&lt;=$B$12,$B$12,IF($L$4&lt;=$B$13,$B$13,IF($L$4&lt;=$B$14,$B$14))))))</f>
        <v>44</v>
      </c>
      <c r="G97" s="392"/>
      <c r="H97" s="389">
        <v>-10</v>
      </c>
      <c r="I97" s="291">
        <v>9.9999999999999995E-7</v>
      </c>
      <c r="J97" s="291">
        <f t="shared" si="202"/>
        <v>-0.35</v>
      </c>
      <c r="K97" s="390">
        <f t="shared" si="203"/>
        <v>0.35000099999999995</v>
      </c>
      <c r="L97" s="932">
        <f ca="1">IF($L$4&lt;=$B$9,$B$9,IF($L$4&lt;=$B$10,$B$10,IF($L$4&lt;=$B$11,$B$11,IF($L$4&lt;=$B$12,$B$12,IF($L$4&lt;=$B$13,$B$13,IF($L$4&lt;=$B$14,$B$14))))))</f>
        <v>44</v>
      </c>
      <c r="M97" s="392"/>
      <c r="N97" s="389">
        <v>-10</v>
      </c>
      <c r="O97" s="291">
        <v>-0.44</v>
      </c>
      <c r="P97" s="291">
        <f t="shared" si="204"/>
        <v>-0.25</v>
      </c>
      <c r="Q97" s="390">
        <f t="shared" si="205"/>
        <v>0.19</v>
      </c>
      <c r="R97" s="932">
        <f ca="1">IF($L$4&lt;=$B$9,$B$9,IF($L$4&lt;=$B$10,$B$10,IF($L$4&lt;=$B$11,$B$11,IF($L$4&lt;=$B$12,$B$12,IF($L$4&lt;=$B$13,$B$13,IF($L$4&lt;=$B$14,$B$14))))))</f>
        <v>44</v>
      </c>
      <c r="S97" s="377"/>
      <c r="T97" s="389">
        <v>-10</v>
      </c>
      <c r="U97" s="291">
        <f t="shared" si="206"/>
        <v>-0.85</v>
      </c>
      <c r="V97" s="291"/>
      <c r="W97" s="390">
        <f t="shared" si="207"/>
        <v>8.3333333333333329E-2</v>
      </c>
      <c r="X97" s="932">
        <f ca="1">IF($L$4&lt;=$B$9,$B$9,IF($L$4&lt;=$B$10,$B$10,IF($L$4&lt;=$B$11,$B$11,IF($L$4&lt;=$B$12,$B$12,IF($L$4&lt;=$B$13,$B$13,IF($L$4&lt;=$B$14,$B$14))))))</f>
        <v>44</v>
      </c>
      <c r="Y97" s="377"/>
      <c r="Z97" s="389">
        <v>-10</v>
      </c>
      <c r="AA97" s="291">
        <f t="shared" si="208"/>
        <v>0.21</v>
      </c>
      <c r="AB97" s="291">
        <v>-0.23</v>
      </c>
      <c r="AC97" s="390">
        <f t="shared" si="209"/>
        <v>0.44</v>
      </c>
      <c r="AD97" s="932">
        <f ca="1">IF($L$4&lt;=$B$9,$B$9,IF($L$4&lt;=$B$10,$B$10,IF($L$4&lt;=$B$11,$B$11,IF($L$4&lt;=$B$12,$B$12,IF($L$4&lt;=$B$13,$B$13,IF($L$4&lt;=$B$14,$B$14))))))</f>
        <v>44</v>
      </c>
      <c r="AE97" s="377"/>
      <c r="AF97" s="389">
        <v>-10</v>
      </c>
      <c r="AG97" s="291">
        <f t="shared" si="210"/>
        <v>0.2</v>
      </c>
      <c r="AH97" s="291">
        <v>0.12</v>
      </c>
      <c r="AI97" s="390">
        <f t="shared" si="211"/>
        <v>8.0000000000000016E-2</v>
      </c>
      <c r="AJ97" s="932">
        <f ca="1">IF($L$4&lt;=$B$9,$B$9,IF($L$4&lt;=$B$10,$B$10,IF($L$4&lt;=$B$11,$B$11,IF($L$4&lt;=$B$12,$B$12,IF($L$4&lt;=$B$13,$B$13,IF($L$4&lt;=$B$14,$B$14))))))</f>
        <v>44</v>
      </c>
      <c r="AK97" s="377"/>
      <c r="AL97" s="389">
        <v>-10</v>
      </c>
      <c r="AM97" s="291">
        <f t="shared" si="212"/>
        <v>0.47</v>
      </c>
      <c r="AN97" s="291"/>
      <c r="AO97" s="390">
        <f t="shared" si="213"/>
        <v>8.3333333333333329E-2</v>
      </c>
      <c r="AP97" s="932">
        <f ca="1">IF($L$4&lt;=$B$9,$B$9,IF($L$4&lt;=$B$10,$B$10,IF($L$4&lt;=$B$11,$B$11,IF($L$4&lt;=$B$12,$B$12,IF($L$4&lt;=$B$13,$B$13,IF($L$4&lt;=$B$14,$B$14))))))</f>
        <v>44</v>
      </c>
      <c r="AQ97" s="377"/>
      <c r="AR97" s="389">
        <v>-10</v>
      </c>
      <c r="AS97" s="291">
        <f t="shared" si="214"/>
        <v>0.4</v>
      </c>
      <c r="AT97" s="291"/>
      <c r="AU97" s="390">
        <f t="shared" si="215"/>
        <v>8.3333333333333329E-2</v>
      </c>
      <c r="AV97" s="932">
        <f ca="1">IF($L$4&lt;=$B$9,$B$9,IF($L$4&lt;=$B$10,$B$10,IF($L$4&lt;=$B$11,$B$11,IF($L$4&lt;=$B$12,$B$12,IF($L$4&lt;=$B$13,$B$13,IF($L$4&lt;=$B$14,$B$14))))))</f>
        <v>44</v>
      </c>
      <c r="AW97" s="377"/>
      <c r="AX97" s="389">
        <v>-10</v>
      </c>
      <c r="AY97" s="291">
        <f t="shared" si="216"/>
        <v>0.52</v>
      </c>
      <c r="AZ97" s="291"/>
      <c r="BA97" s="390">
        <f t="shared" si="217"/>
        <v>0.26333333333333336</v>
      </c>
      <c r="BB97" s="932">
        <f ca="1">IF($L$4&lt;=$B$9,$B$9,IF($L$4&lt;=$B$10,$B$10,IF($L$4&lt;=$B$11,$B$11,IF($L$4&lt;=$B$12,$B$12,IF($L$4&lt;=$B$13,$B$13,IF($L$4&lt;=$B$14,$B$14))))))</f>
        <v>44</v>
      </c>
      <c r="BC97" s="377"/>
      <c r="BD97" s="389">
        <v>-10</v>
      </c>
      <c r="BE97" s="291">
        <f t="shared" si="218"/>
        <v>-0.47</v>
      </c>
      <c r="BF97" s="291"/>
      <c r="BG97" s="390">
        <f t="shared" si="219"/>
        <v>9.0000000000000011E-2</v>
      </c>
      <c r="BH97" s="932">
        <f ca="1">IF($L$4&lt;=$B$9,$B$9,IF($L$4&lt;=$B$10,$B$10,IF($L$4&lt;=$B$11,$B$11,IF($L$4&lt;=$B$12,$B$12,IF($L$4&lt;=$B$13,$B$13,IF($L$4&lt;=$B$14,$B$14))))))</f>
        <v>44</v>
      </c>
      <c r="BI97" s="377"/>
      <c r="BJ97" s="389">
        <v>-10</v>
      </c>
      <c r="BK97" s="291">
        <f t="shared" si="220"/>
        <v>0.52</v>
      </c>
      <c r="BL97" s="291"/>
      <c r="BM97" s="390">
        <f t="shared" si="221"/>
        <v>0.26333333333333336</v>
      </c>
      <c r="BN97" s="932">
        <f ca="1">IF($L$4&lt;=$B$9,$B$9,IF($L$4&lt;=$B$10,$B$10,IF($L$4&lt;=$B$11,$B$11,IF($L$4&lt;=$B$12,$B$12,IF($L$4&lt;=$B$13,$B$13,IF($L$4&lt;=$B$14,$B$14))))))</f>
        <v>44</v>
      </c>
      <c r="BO97" s="377"/>
      <c r="BP97" s="389">
        <v>-10</v>
      </c>
      <c r="BQ97" s="291">
        <f t="shared" si="222"/>
        <v>-0.84</v>
      </c>
      <c r="BR97" s="291"/>
      <c r="BS97" s="390">
        <f t="shared" si="223"/>
        <v>8.666666666666667E-2</v>
      </c>
      <c r="BT97" s="932">
        <f ca="1">IF($L$4&lt;=$B$9,$B$9,IF($L$4&lt;=$B$10,$B$10,IF($L$4&lt;=$B$11,$B$11,IF($L$4&lt;=$B$12,$B$12,IF($L$4&lt;=$B$13,$B$13,IF($L$4&lt;=$B$14,$B$14))))))</f>
        <v>44</v>
      </c>
      <c r="BU97" s="377"/>
      <c r="BV97" s="389">
        <v>-10</v>
      </c>
      <c r="BW97" s="291">
        <f t="shared" si="224"/>
        <v>-0.81</v>
      </c>
      <c r="BX97" s="291"/>
      <c r="BY97" s="390">
        <f t="shared" si="225"/>
        <v>9.0000000000000011E-2</v>
      </c>
      <c r="BZ97" s="932">
        <f ca="1">IF($L$4&lt;=$B$9,$B$9,IF($L$4&lt;=$B$10,$B$10,IF($L$4&lt;=$B$11,$B$11,IF($L$4&lt;=$B$12,$B$12,IF($L$4&lt;=$B$13,$B$13,IF($L$4&lt;=$B$14,$B$14))))))</f>
        <v>44</v>
      </c>
      <c r="CA97" s="377"/>
      <c r="CB97" s="389">
        <v>-10</v>
      </c>
      <c r="CC97" s="291">
        <f t="shared" si="197"/>
        <v>-1.4</v>
      </c>
      <c r="CD97" s="291">
        <f t="shared" si="229"/>
        <v>-0.7</v>
      </c>
      <c r="CE97" s="390">
        <f t="shared" si="226"/>
        <v>0.5</v>
      </c>
      <c r="CF97" s="932">
        <f ca="1">IF($L$4&lt;=$B$9,$B$9,IF($L$4&lt;=$B$10,$B$10,IF($L$4&lt;=$B$11,$B$11,IF($L$4&lt;=$B$12,$B$12,IF($L$4&lt;=$B$13,$B$13,IF($L$4&lt;=$B$14,$B$14))))))</f>
        <v>44</v>
      </c>
      <c r="CH97" s="389">
        <v>-10</v>
      </c>
      <c r="CI97" s="291">
        <f t="shared" si="198"/>
        <v>-0.05</v>
      </c>
      <c r="CJ97" s="291">
        <f t="shared" si="198"/>
        <v>-0.18</v>
      </c>
      <c r="CK97" s="390">
        <f t="shared" si="227"/>
        <v>0.13</v>
      </c>
      <c r="CL97" s="932">
        <f ca="1">IF($L$4&lt;=$B$9,$B$9,IF($L$4&lt;=$B$10,$B$10,IF($L$4&lt;=$B$11,$B$11,IF($L$4&lt;=$B$12,$B$12,IF($L$4&lt;=$B$13,$B$13,IF($L$4&lt;=$B$14,$B$14))))))</f>
        <v>44</v>
      </c>
      <c r="CN97" s="389">
        <v>-10</v>
      </c>
      <c r="CO97" s="291">
        <f t="shared" si="199"/>
        <v>-1.26</v>
      </c>
      <c r="CP97" s="291">
        <f t="shared" si="199"/>
        <v>-0.28000000000000003</v>
      </c>
      <c r="CQ97" s="390">
        <f t="shared" si="228"/>
        <v>0.98</v>
      </c>
      <c r="CR97" s="932">
        <f ca="1">IF($L$4&lt;=$B$9,$B$9,IF($L$4&lt;=$B$10,$B$10,IF($L$4&lt;=$B$11,$B$11,IF($L$4&lt;=$B$12,$B$12,IF($L$4&lt;=$B$13,$B$13,IF($L$4&lt;=$B$14,$B$14))))))</f>
        <v>44</v>
      </c>
    </row>
    <row r="98" spans="2:96" ht="13">
      <c r="B98" s="389">
        <v>9.9999999999999995E-7</v>
      </c>
      <c r="C98" s="291">
        <v>-0.22</v>
      </c>
      <c r="D98" s="291">
        <f t="shared" si="200"/>
        <v>-0.33</v>
      </c>
      <c r="E98" s="390">
        <f t="shared" si="201"/>
        <v>0.11000000000000001</v>
      </c>
      <c r="F98" s="391"/>
      <c r="G98" s="392"/>
      <c r="H98" s="389">
        <v>9.9999999999999995E-7</v>
      </c>
      <c r="I98" s="291">
        <v>-0.28000000000000003</v>
      </c>
      <c r="J98" s="291">
        <f t="shared" si="202"/>
        <v>-0.22</v>
      </c>
      <c r="K98" s="390">
        <f t="shared" si="203"/>
        <v>6.0000000000000026E-2</v>
      </c>
      <c r="L98" s="391"/>
      <c r="M98" s="392"/>
      <c r="N98" s="389">
        <v>9.9999999999999995E-7</v>
      </c>
      <c r="O98" s="291">
        <v>-0.36</v>
      </c>
      <c r="P98" s="291">
        <f t="shared" si="204"/>
        <v>-0.16</v>
      </c>
      <c r="Q98" s="390">
        <f t="shared" si="205"/>
        <v>0.19999999999999998</v>
      </c>
      <c r="R98" s="391"/>
      <c r="S98" s="377"/>
      <c r="T98" s="389">
        <v>9.9999999999999995E-7</v>
      </c>
      <c r="U98" s="291">
        <f t="shared" si="206"/>
        <v>-0.28000000000000003</v>
      </c>
      <c r="V98" s="291"/>
      <c r="W98" s="390">
        <f t="shared" si="207"/>
        <v>8.3333333333333329E-2</v>
      </c>
      <c r="X98" s="391"/>
      <c r="Y98" s="377"/>
      <c r="Z98" s="389">
        <v>9.9999999999999995E-7</v>
      </c>
      <c r="AA98" s="291">
        <f t="shared" si="208"/>
        <v>0.18</v>
      </c>
      <c r="AB98" s="291">
        <v>0.01</v>
      </c>
      <c r="AC98" s="390">
        <f t="shared" si="209"/>
        <v>0.16999999999999998</v>
      </c>
      <c r="AD98" s="391"/>
      <c r="AE98" s="377"/>
      <c r="AF98" s="389">
        <v>9.9999999999999995E-7</v>
      </c>
      <c r="AG98" s="291">
        <f t="shared" si="210"/>
        <v>0.21</v>
      </c>
      <c r="AH98" s="291">
        <v>0.28999999999999998</v>
      </c>
      <c r="AI98" s="390">
        <f t="shared" si="211"/>
        <v>7.9999999999999988E-2</v>
      </c>
      <c r="AJ98" s="391"/>
      <c r="AK98" s="377"/>
      <c r="AL98" s="389">
        <v>9.9999999999999995E-7</v>
      </c>
      <c r="AM98" s="291">
        <f t="shared" si="212"/>
        <v>0.44</v>
      </c>
      <c r="AN98" s="291"/>
      <c r="AO98" s="390">
        <f t="shared" si="213"/>
        <v>8.3333333333333329E-2</v>
      </c>
      <c r="AP98" s="391"/>
      <c r="AQ98" s="377"/>
      <c r="AR98" s="389">
        <v>9.9999999999999995E-7</v>
      </c>
      <c r="AS98" s="291">
        <f t="shared" si="214"/>
        <v>0.39</v>
      </c>
      <c r="AT98" s="291"/>
      <c r="AU98" s="390">
        <f t="shared" si="215"/>
        <v>8.3333333333333329E-2</v>
      </c>
      <c r="AV98" s="391"/>
      <c r="AW98" s="377"/>
      <c r="AX98" s="389">
        <v>9.9999999999999995E-7</v>
      </c>
      <c r="AY98" s="291">
        <f t="shared" si="216"/>
        <v>0.5</v>
      </c>
      <c r="AZ98" s="291"/>
      <c r="BA98" s="390">
        <f t="shared" si="217"/>
        <v>0.26333333333333336</v>
      </c>
      <c r="BB98" s="391"/>
      <c r="BC98" s="377"/>
      <c r="BD98" s="389">
        <v>9.9999999999999995E-7</v>
      </c>
      <c r="BE98" s="291">
        <f t="shared" si="218"/>
        <v>-0.25</v>
      </c>
      <c r="BF98" s="291"/>
      <c r="BG98" s="390">
        <f t="shared" si="219"/>
        <v>9.0000000000000011E-2</v>
      </c>
      <c r="BH98" s="391"/>
      <c r="BI98" s="377"/>
      <c r="BJ98" s="389">
        <v>9.9999999999999995E-7</v>
      </c>
      <c r="BK98" s="291">
        <f t="shared" si="220"/>
        <v>0.5</v>
      </c>
      <c r="BL98" s="291"/>
      <c r="BM98" s="390">
        <f t="shared" si="221"/>
        <v>0.26333333333333336</v>
      </c>
      <c r="BN98" s="391"/>
      <c r="BO98" s="377"/>
      <c r="BP98" s="389">
        <v>9.9999999999999995E-7</v>
      </c>
      <c r="BQ98" s="291">
        <f t="shared" si="222"/>
        <v>-0.57999999999999996</v>
      </c>
      <c r="BR98" s="291"/>
      <c r="BS98" s="390">
        <f t="shared" si="223"/>
        <v>8.666666666666667E-2</v>
      </c>
      <c r="BT98" s="391"/>
      <c r="BU98" s="377"/>
      <c r="BV98" s="389">
        <v>9.9999999999999995E-7</v>
      </c>
      <c r="BW98" s="291">
        <f t="shared" si="224"/>
        <v>-0.46</v>
      </c>
      <c r="BX98" s="291"/>
      <c r="BY98" s="390">
        <f t="shared" si="225"/>
        <v>9.0000000000000011E-2</v>
      </c>
      <c r="BZ98" s="391"/>
      <c r="CA98" s="377"/>
      <c r="CB98" s="389">
        <v>9.9999999999999995E-7</v>
      </c>
      <c r="CC98" s="291">
        <f t="shared" si="197"/>
        <v>0</v>
      </c>
      <c r="CD98" s="291">
        <f t="shared" si="229"/>
        <v>-0.7</v>
      </c>
      <c r="CE98" s="390">
        <f t="shared" si="226"/>
        <v>0.7</v>
      </c>
      <c r="CF98" s="391"/>
      <c r="CH98" s="389">
        <v>9.9999999999999995E-7</v>
      </c>
      <c r="CI98" s="291">
        <f t="shared" si="198"/>
        <v>0.03</v>
      </c>
      <c r="CJ98" s="291">
        <f t="shared" si="198"/>
        <v>-0.06</v>
      </c>
      <c r="CK98" s="390">
        <f t="shared" si="227"/>
        <v>0.09</v>
      </c>
      <c r="CL98" s="391"/>
      <c r="CN98" s="389">
        <v>9.9999999999999995E-7</v>
      </c>
      <c r="CO98" s="291">
        <f t="shared" si="199"/>
        <v>-0.79</v>
      </c>
      <c r="CP98" s="291">
        <f t="shared" si="199"/>
        <v>-0.08</v>
      </c>
      <c r="CQ98" s="390">
        <f t="shared" si="228"/>
        <v>0.71000000000000008</v>
      </c>
      <c r="CR98" s="391"/>
    </row>
    <row r="99" spans="2:96" ht="13">
      <c r="B99" s="389">
        <v>2</v>
      </c>
      <c r="C99" s="291">
        <v>-0.21</v>
      </c>
      <c r="D99" s="291">
        <f t="shared" si="200"/>
        <v>-0.3</v>
      </c>
      <c r="E99" s="390">
        <f t="shared" si="201"/>
        <v>0.09</v>
      </c>
      <c r="F99" s="933">
        <f ca="1">VLOOKUP(F95,B99:E104,4)</f>
        <v>0.13999999999999999</v>
      </c>
      <c r="G99" s="392"/>
      <c r="H99" s="389">
        <v>2</v>
      </c>
      <c r="I99" s="291">
        <v>-0.24</v>
      </c>
      <c r="J99" s="291">
        <f t="shared" si="202"/>
        <v>-0.19</v>
      </c>
      <c r="K99" s="390">
        <f t="shared" si="203"/>
        <v>4.9999999999999989E-2</v>
      </c>
      <c r="L99" s="933">
        <f ca="1">VLOOKUP(L95,H99:K104,4)</f>
        <v>4.0000000000000008E-2</v>
      </c>
      <c r="M99" s="392"/>
      <c r="N99" s="389">
        <v>2</v>
      </c>
      <c r="O99" s="291">
        <v>-0.33</v>
      </c>
      <c r="P99" s="291">
        <f t="shared" si="204"/>
        <v>-0.15</v>
      </c>
      <c r="Q99" s="390">
        <f t="shared" si="205"/>
        <v>0.18000000000000002</v>
      </c>
      <c r="R99" s="933">
        <f ca="1">VLOOKUP(R95,N99:Q104,4)</f>
        <v>4.9999999999999996E-2</v>
      </c>
      <c r="S99" s="377"/>
      <c r="T99" s="389">
        <v>2</v>
      </c>
      <c r="U99" s="291">
        <f t="shared" si="206"/>
        <v>-0.49</v>
      </c>
      <c r="V99" s="291"/>
      <c r="W99" s="390">
        <f t="shared" si="207"/>
        <v>8.3333333333333329E-2</v>
      </c>
      <c r="X99" s="933">
        <f ca="1">VLOOKUP(X95,T99:W104,4)</f>
        <v>8.3333333333333329E-2</v>
      </c>
      <c r="Y99" s="377"/>
      <c r="Z99" s="389">
        <v>2</v>
      </c>
      <c r="AA99" s="291">
        <f t="shared" si="208"/>
        <v>0.23</v>
      </c>
      <c r="AB99" s="291">
        <v>0.05</v>
      </c>
      <c r="AC99" s="390">
        <f t="shared" si="209"/>
        <v>0.18</v>
      </c>
      <c r="AD99" s="933">
        <f ca="1">VLOOKUP(AD95,Z99:AC104,4)</f>
        <v>0.39999999999999997</v>
      </c>
      <c r="AE99" s="377"/>
      <c r="AF99" s="389">
        <v>2</v>
      </c>
      <c r="AG99" s="291">
        <f t="shared" si="210"/>
        <v>0.23</v>
      </c>
      <c r="AH99" s="291">
        <v>0.33</v>
      </c>
      <c r="AI99" s="390">
        <f t="shared" si="211"/>
        <v>0.1</v>
      </c>
      <c r="AJ99" s="933">
        <f ca="1">VLOOKUP(AJ95,AF99:AI104,4)</f>
        <v>0.46000000000000008</v>
      </c>
      <c r="AK99" s="377"/>
      <c r="AL99" s="389">
        <v>2</v>
      </c>
      <c r="AM99" s="291">
        <f t="shared" si="212"/>
        <v>0.46</v>
      </c>
      <c r="AN99" s="291"/>
      <c r="AO99" s="390">
        <f t="shared" si="213"/>
        <v>8.3333333333333329E-2</v>
      </c>
      <c r="AP99" s="933">
        <f ca="1">VLOOKUP(AP95,AL99:AO104,4)</f>
        <v>8.3333333333333329E-2</v>
      </c>
      <c r="AQ99" s="377"/>
      <c r="AR99" s="389">
        <v>2</v>
      </c>
      <c r="AS99" s="291">
        <f t="shared" si="214"/>
        <v>0.4</v>
      </c>
      <c r="AT99" s="291"/>
      <c r="AU99" s="390">
        <f t="shared" si="215"/>
        <v>8.3333333333333329E-2</v>
      </c>
      <c r="AV99" s="933">
        <f ca="1">VLOOKUP(AV95,AR99:AU104,4)</f>
        <v>8.3333333333333329E-2</v>
      </c>
      <c r="AW99" s="377"/>
      <c r="AX99" s="389">
        <v>2</v>
      </c>
      <c r="AY99" s="291">
        <f t="shared" si="216"/>
        <v>0.5</v>
      </c>
      <c r="AZ99" s="291"/>
      <c r="BA99" s="390">
        <f t="shared" si="217"/>
        <v>0.26333333333333336</v>
      </c>
      <c r="BB99" s="933">
        <f ca="1">VLOOKUP(BB95,AX99:BA104,4)</f>
        <v>0.26333333333333336</v>
      </c>
      <c r="BC99" s="377"/>
      <c r="BD99" s="389">
        <v>2</v>
      </c>
      <c r="BE99" s="291">
        <f t="shared" si="218"/>
        <v>-0.28000000000000003</v>
      </c>
      <c r="BF99" s="291"/>
      <c r="BG99" s="390">
        <f t="shared" si="219"/>
        <v>9.0000000000000011E-2</v>
      </c>
      <c r="BH99" s="933">
        <f ca="1">VLOOKUP(BH95,BD99:BG104,4)</f>
        <v>9.0000000000000011E-2</v>
      </c>
      <c r="BI99" s="377"/>
      <c r="BJ99" s="389">
        <v>2</v>
      </c>
      <c r="BK99" s="291">
        <f t="shared" si="220"/>
        <v>0.5</v>
      </c>
      <c r="BL99" s="291"/>
      <c r="BM99" s="390">
        <f t="shared" si="221"/>
        <v>0.26333333333333336</v>
      </c>
      <c r="BN99" s="933">
        <f ca="1">VLOOKUP(BN95,BJ99:BM104,4)</f>
        <v>0.26333333333333336</v>
      </c>
      <c r="BO99" s="377"/>
      <c r="BP99" s="389">
        <v>2</v>
      </c>
      <c r="BQ99" s="291">
        <f t="shared" si="222"/>
        <v>-0.54</v>
      </c>
      <c r="BR99" s="291"/>
      <c r="BS99" s="390">
        <f t="shared" si="223"/>
        <v>8.666666666666667E-2</v>
      </c>
      <c r="BT99" s="933">
        <f ca="1">VLOOKUP(BT95,BP99:BS104,4)</f>
        <v>8.666666666666667E-2</v>
      </c>
      <c r="BU99" s="377"/>
      <c r="BV99" s="389">
        <v>2</v>
      </c>
      <c r="BW99" s="291">
        <f t="shared" si="224"/>
        <v>-0.56000000000000005</v>
      </c>
      <c r="BX99" s="291"/>
      <c r="BY99" s="390">
        <f t="shared" si="225"/>
        <v>9.0000000000000011E-2</v>
      </c>
      <c r="BZ99" s="933">
        <f ca="1">VLOOKUP(BZ95,BV99:BY104,4)</f>
        <v>9.0000000000000011E-2</v>
      </c>
      <c r="CA99" s="377"/>
      <c r="CB99" s="389">
        <v>2</v>
      </c>
      <c r="CC99" s="291">
        <f t="shared" si="197"/>
        <v>0</v>
      </c>
      <c r="CD99" s="291">
        <f t="shared" si="229"/>
        <v>-0.7</v>
      </c>
      <c r="CE99" s="390">
        <f t="shared" si="226"/>
        <v>0.19999999999999998</v>
      </c>
      <c r="CF99" s="933">
        <f ca="1">VLOOKUP(CF95,CB99:CE104,4)</f>
        <v>0.19999999999999998</v>
      </c>
      <c r="CH99" s="389">
        <v>2</v>
      </c>
      <c r="CI99" s="291">
        <f t="shared" si="198"/>
        <v>0.04</v>
      </c>
      <c r="CJ99" s="291">
        <f t="shared" si="198"/>
        <v>-0.04</v>
      </c>
      <c r="CK99" s="390">
        <f t="shared" si="227"/>
        <v>0.08</v>
      </c>
      <c r="CL99" s="933">
        <f ca="1">VLOOKUP(CL95,CH99:CK104,4)</f>
        <v>4.0000000000000008E-2</v>
      </c>
      <c r="CN99" s="389">
        <v>2</v>
      </c>
      <c r="CO99" s="291">
        <f t="shared" si="199"/>
        <v>-0.7</v>
      </c>
      <c r="CP99" s="291">
        <f t="shared" si="199"/>
        <v>-0.05</v>
      </c>
      <c r="CQ99" s="390">
        <f t="shared" si="228"/>
        <v>0.64999999999999991</v>
      </c>
      <c r="CR99" s="933">
        <f ca="1">VLOOKUP(CR95,CN99:CQ104,4)</f>
        <v>3.0000000000000027E-2</v>
      </c>
    </row>
    <row r="100" spans="2:96" ht="13">
      <c r="B100" s="389">
        <v>8</v>
      </c>
      <c r="C100" s="291">
        <v>-0.16</v>
      </c>
      <c r="D100" s="291">
        <f t="shared" si="200"/>
        <v>-0.23</v>
      </c>
      <c r="E100" s="390">
        <f t="shared" si="201"/>
        <v>7.0000000000000007E-2</v>
      </c>
      <c r="F100" s="391"/>
      <c r="G100" s="392"/>
      <c r="H100" s="389">
        <v>8</v>
      </c>
      <c r="I100" s="291">
        <v>-0.14000000000000001</v>
      </c>
      <c r="J100" s="291">
        <f t="shared" si="202"/>
        <v>-0.12</v>
      </c>
      <c r="K100" s="390">
        <f t="shared" si="203"/>
        <v>2.0000000000000018E-2</v>
      </c>
      <c r="L100" s="391"/>
      <c r="M100" s="392"/>
      <c r="N100" s="389">
        <v>8</v>
      </c>
      <c r="O100" s="291">
        <v>-0.21</v>
      </c>
      <c r="P100" s="291">
        <f t="shared" si="204"/>
        <v>-0.11</v>
      </c>
      <c r="Q100" s="390">
        <f t="shared" si="205"/>
        <v>9.9999999999999992E-2</v>
      </c>
      <c r="R100" s="391"/>
      <c r="S100" s="377"/>
      <c r="T100" s="389">
        <v>8</v>
      </c>
      <c r="U100" s="291">
        <f t="shared" si="206"/>
        <v>-0.26</v>
      </c>
      <c r="V100" s="291"/>
      <c r="W100" s="390">
        <f t="shared" si="207"/>
        <v>8.3333333333333329E-2</v>
      </c>
      <c r="X100" s="391"/>
      <c r="Y100" s="377"/>
      <c r="Z100" s="389">
        <v>8</v>
      </c>
      <c r="AA100" s="291">
        <f t="shared" si="208"/>
        <v>0.22</v>
      </c>
      <c r="AB100" s="291">
        <v>0.18</v>
      </c>
      <c r="AC100" s="390">
        <f t="shared" si="209"/>
        <v>4.0000000000000008E-2</v>
      </c>
      <c r="AD100" s="391"/>
      <c r="AE100" s="377"/>
      <c r="AF100" s="389">
        <v>8</v>
      </c>
      <c r="AG100" s="291">
        <f t="shared" si="210"/>
        <v>0.22</v>
      </c>
      <c r="AH100" s="291">
        <v>0.41</v>
      </c>
      <c r="AI100" s="390">
        <f t="shared" si="211"/>
        <v>0.18999999999999997</v>
      </c>
      <c r="AJ100" s="391"/>
      <c r="AK100" s="377"/>
      <c r="AL100" s="389">
        <v>8</v>
      </c>
      <c r="AM100" s="291">
        <f t="shared" si="212"/>
        <v>0.46</v>
      </c>
      <c r="AN100" s="291"/>
      <c r="AO100" s="390">
        <f t="shared" si="213"/>
        <v>8.3333333333333329E-2</v>
      </c>
      <c r="AP100" s="391"/>
      <c r="AQ100" s="377"/>
      <c r="AR100" s="389">
        <v>8</v>
      </c>
      <c r="AS100" s="291">
        <f t="shared" si="214"/>
        <v>0.38</v>
      </c>
      <c r="AT100" s="291"/>
      <c r="AU100" s="390">
        <f t="shared" si="215"/>
        <v>8.3333333333333329E-2</v>
      </c>
      <c r="AV100" s="391"/>
      <c r="AW100" s="377"/>
      <c r="AX100" s="389">
        <v>8</v>
      </c>
      <c r="AY100" s="291">
        <f t="shared" si="216"/>
        <v>0.48</v>
      </c>
      <c r="AZ100" s="291"/>
      <c r="BA100" s="390">
        <f t="shared" si="217"/>
        <v>0.26333333333333336</v>
      </c>
      <c r="BB100" s="391"/>
      <c r="BC100" s="377"/>
      <c r="BD100" s="389">
        <v>8</v>
      </c>
      <c r="BE100" s="291">
        <f t="shared" si="218"/>
        <v>-0.04</v>
      </c>
      <c r="BF100" s="291"/>
      <c r="BG100" s="390">
        <f t="shared" si="219"/>
        <v>9.0000000000000011E-2</v>
      </c>
      <c r="BH100" s="391"/>
      <c r="BI100" s="377"/>
      <c r="BJ100" s="389">
        <v>8</v>
      </c>
      <c r="BK100" s="291">
        <f t="shared" si="220"/>
        <v>0.48</v>
      </c>
      <c r="BL100" s="291"/>
      <c r="BM100" s="390">
        <f t="shared" si="221"/>
        <v>0.26333333333333336</v>
      </c>
      <c r="BN100" s="391"/>
      <c r="BO100" s="377"/>
      <c r="BP100" s="389">
        <v>8</v>
      </c>
      <c r="BQ100" s="291">
        <f t="shared" si="222"/>
        <v>-0.3</v>
      </c>
      <c r="BR100" s="291"/>
      <c r="BS100" s="390">
        <f t="shared" si="223"/>
        <v>8.666666666666667E-2</v>
      </c>
      <c r="BT100" s="391"/>
      <c r="BU100" s="377"/>
      <c r="BV100" s="389">
        <v>8</v>
      </c>
      <c r="BW100" s="291">
        <f t="shared" si="224"/>
        <v>-0.28999999999999998</v>
      </c>
      <c r="BX100" s="291"/>
      <c r="BY100" s="390">
        <f t="shared" si="225"/>
        <v>9.0000000000000011E-2</v>
      </c>
      <c r="BZ100" s="391"/>
      <c r="CA100" s="377"/>
      <c r="CB100" s="389">
        <v>8</v>
      </c>
      <c r="CC100" s="291">
        <f t="shared" si="197"/>
        <v>0</v>
      </c>
      <c r="CD100" s="291">
        <f t="shared" si="229"/>
        <v>-0.7</v>
      </c>
      <c r="CE100" s="390">
        <f t="shared" si="226"/>
        <v>0.19999999999999998</v>
      </c>
      <c r="CF100" s="391"/>
      <c r="CH100" s="389">
        <v>8</v>
      </c>
      <c r="CI100" s="291">
        <f t="shared" si="198"/>
        <v>0.08</v>
      </c>
      <c r="CJ100" s="291">
        <f t="shared" si="198"/>
        <v>0.01</v>
      </c>
      <c r="CK100" s="390">
        <f t="shared" si="227"/>
        <v>7.0000000000000007E-2</v>
      </c>
      <c r="CL100" s="391"/>
      <c r="CN100" s="389">
        <v>8</v>
      </c>
      <c r="CO100" s="291">
        <f t="shared" si="199"/>
        <v>-0.46</v>
      </c>
      <c r="CP100" s="291">
        <f t="shared" si="199"/>
        <v>0.06</v>
      </c>
      <c r="CQ100" s="390">
        <f t="shared" si="228"/>
        <v>0.52</v>
      </c>
      <c r="CR100" s="391"/>
    </row>
    <row r="101" spans="2:96" ht="13">
      <c r="B101" s="389">
        <v>37</v>
      </c>
      <c r="C101" s="291">
        <v>0.01</v>
      </c>
      <c r="D101" s="291">
        <f t="shared" si="200"/>
        <v>0.15</v>
      </c>
      <c r="E101" s="390">
        <f t="shared" si="201"/>
        <v>0.13999999999999999</v>
      </c>
      <c r="F101" s="933">
        <f ca="1">VLOOKUP(F97,B99:E104,4)</f>
        <v>0.19999999999999998</v>
      </c>
      <c r="G101" s="392"/>
      <c r="H101" s="389">
        <v>37</v>
      </c>
      <c r="I101" s="291">
        <v>0.16</v>
      </c>
      <c r="J101" s="291">
        <f t="shared" si="202"/>
        <v>0.2</v>
      </c>
      <c r="K101" s="390">
        <f t="shared" si="203"/>
        <v>4.0000000000000008E-2</v>
      </c>
      <c r="L101" s="933">
        <f ca="1">VLOOKUP(L97,H99:K104,4)</f>
        <v>7.0000000000000007E-2</v>
      </c>
      <c r="M101" s="392"/>
      <c r="N101" s="389">
        <v>37</v>
      </c>
      <c r="O101" s="291">
        <v>-0.09</v>
      </c>
      <c r="P101" s="291">
        <f t="shared" si="204"/>
        <v>-0.04</v>
      </c>
      <c r="Q101" s="390">
        <f t="shared" si="205"/>
        <v>4.9999999999999996E-2</v>
      </c>
      <c r="R101" s="933">
        <f ca="1">VLOOKUP(R97,N99:Q104,4)</f>
        <v>7.0000000000000007E-2</v>
      </c>
      <c r="S101" s="377"/>
      <c r="T101" s="389">
        <v>37</v>
      </c>
      <c r="U101" s="291">
        <f t="shared" si="206"/>
        <v>0.55000000000000004</v>
      </c>
      <c r="V101" s="291"/>
      <c r="W101" s="390">
        <f t="shared" si="207"/>
        <v>8.3333333333333329E-2</v>
      </c>
      <c r="X101" s="933">
        <f ca="1">VLOOKUP(X97,T99:W104,4)</f>
        <v>8.3333333333333329E-2</v>
      </c>
      <c r="Y101" s="377"/>
      <c r="Z101" s="389">
        <v>37</v>
      </c>
      <c r="AA101" s="291">
        <f t="shared" si="208"/>
        <v>0.19</v>
      </c>
      <c r="AB101" s="291">
        <v>0.59</v>
      </c>
      <c r="AC101" s="390">
        <f t="shared" si="209"/>
        <v>0.39999999999999997</v>
      </c>
      <c r="AD101" s="933">
        <f ca="1">VLOOKUP(AD97,Z99:AC104,4)</f>
        <v>0.46</v>
      </c>
      <c r="AE101" s="377"/>
      <c r="AF101" s="389">
        <v>37</v>
      </c>
      <c r="AG101" s="291">
        <f t="shared" si="210"/>
        <v>0.21</v>
      </c>
      <c r="AH101" s="291">
        <v>0.67</v>
      </c>
      <c r="AI101" s="390">
        <f t="shared" si="211"/>
        <v>0.46000000000000008</v>
      </c>
      <c r="AJ101" s="933">
        <f ca="1">VLOOKUP(AJ97,AF99:AI104,4)</f>
        <v>0.49</v>
      </c>
      <c r="AK101" s="377"/>
      <c r="AL101" s="389">
        <v>37</v>
      </c>
      <c r="AM101" s="291">
        <f t="shared" si="212"/>
        <v>0.46</v>
      </c>
      <c r="AN101" s="291"/>
      <c r="AO101" s="390">
        <f t="shared" si="213"/>
        <v>8.3333333333333329E-2</v>
      </c>
      <c r="AP101" s="933">
        <f ca="1">VLOOKUP(AP97,AL99:AO104,4)</f>
        <v>8.3333333333333329E-2</v>
      </c>
      <c r="AQ101" s="377"/>
      <c r="AR101" s="389">
        <v>37</v>
      </c>
      <c r="AS101" s="291">
        <f t="shared" si="214"/>
        <v>0.33</v>
      </c>
      <c r="AT101" s="291"/>
      <c r="AU101" s="390">
        <f t="shared" si="215"/>
        <v>8.3333333333333329E-2</v>
      </c>
      <c r="AV101" s="933">
        <f ca="1">VLOOKUP(AV97,AR99:AU104,4)</f>
        <v>8.3333333333333329E-2</v>
      </c>
      <c r="AW101" s="377"/>
      <c r="AX101" s="389">
        <v>37</v>
      </c>
      <c r="AY101" s="291">
        <f t="shared" si="216"/>
        <v>0.41</v>
      </c>
      <c r="AZ101" s="291"/>
      <c r="BA101" s="390">
        <f t="shared" si="217"/>
        <v>0.26333333333333336</v>
      </c>
      <c r="BB101" s="933">
        <f ca="1">VLOOKUP(BB97,AX99:BA104,4)</f>
        <v>0.26333333333333336</v>
      </c>
      <c r="BC101" s="377"/>
      <c r="BD101" s="389">
        <v>37</v>
      </c>
      <c r="BE101" s="291">
        <f t="shared" si="218"/>
        <v>0.7</v>
      </c>
      <c r="BF101" s="291"/>
      <c r="BG101" s="390">
        <f t="shared" si="219"/>
        <v>9.0000000000000011E-2</v>
      </c>
      <c r="BH101" s="933">
        <f ca="1">VLOOKUP(BH97,BD99:BG104,4)</f>
        <v>9.0000000000000011E-2</v>
      </c>
      <c r="BI101" s="377"/>
      <c r="BJ101" s="389">
        <v>37</v>
      </c>
      <c r="BK101" s="291">
        <f t="shared" si="220"/>
        <v>0.41</v>
      </c>
      <c r="BL101" s="291"/>
      <c r="BM101" s="390">
        <f t="shared" si="221"/>
        <v>0.26333333333333336</v>
      </c>
      <c r="BN101" s="933">
        <f ca="1">VLOOKUP(BN97,BJ99:BM104,4)</f>
        <v>0.26333333333333336</v>
      </c>
      <c r="BO101" s="377"/>
      <c r="BP101" s="389">
        <v>37</v>
      </c>
      <c r="BQ101" s="291">
        <f t="shared" si="222"/>
        <v>0.5</v>
      </c>
      <c r="BR101" s="291"/>
      <c r="BS101" s="390">
        <f t="shared" si="223"/>
        <v>8.666666666666667E-2</v>
      </c>
      <c r="BT101" s="933">
        <f ca="1">VLOOKUP(BT97,BP99:BS104,4)</f>
        <v>8.666666666666667E-2</v>
      </c>
      <c r="BU101" s="377"/>
      <c r="BV101" s="389">
        <v>37</v>
      </c>
      <c r="BW101" s="291">
        <f t="shared" si="224"/>
        <v>0.6</v>
      </c>
      <c r="BX101" s="291"/>
      <c r="BY101" s="390">
        <f t="shared" si="225"/>
        <v>9.0000000000000011E-2</v>
      </c>
      <c r="BZ101" s="933">
        <f ca="1">VLOOKUP(BZ97,BV99:BY104,4)</f>
        <v>9.0000000000000011E-2</v>
      </c>
      <c r="CA101" s="377"/>
      <c r="CB101" s="389">
        <v>37</v>
      </c>
      <c r="CC101" s="291">
        <f t="shared" si="197"/>
        <v>0</v>
      </c>
      <c r="CD101" s="291">
        <f t="shared" si="229"/>
        <v>-0.6</v>
      </c>
      <c r="CE101" s="390">
        <f t="shared" si="226"/>
        <v>0.19999999999999998</v>
      </c>
      <c r="CF101" s="933">
        <f ca="1">VLOOKUP(CF97,CB99:CE104,4)</f>
        <v>0.19999999999999998</v>
      </c>
      <c r="CH101" s="389">
        <v>37</v>
      </c>
      <c r="CI101" s="291">
        <f t="shared" si="198"/>
        <v>0.23</v>
      </c>
      <c r="CJ101" s="291">
        <f t="shared" si="198"/>
        <v>0.19</v>
      </c>
      <c r="CK101" s="390">
        <f t="shared" si="227"/>
        <v>4.0000000000000008E-2</v>
      </c>
      <c r="CL101" s="933">
        <f ca="1">VLOOKUP(CL97,CH99:CK104,4)</f>
        <v>4.0000000000000008E-2</v>
      </c>
      <c r="CN101" s="389">
        <v>37</v>
      </c>
      <c r="CO101" s="291">
        <f t="shared" si="199"/>
        <v>0.42</v>
      </c>
      <c r="CP101" s="291">
        <f t="shared" si="199"/>
        <v>0.45</v>
      </c>
      <c r="CQ101" s="390">
        <f t="shared" si="228"/>
        <v>3.0000000000000027E-2</v>
      </c>
      <c r="CR101" s="933">
        <f ca="1">VLOOKUP(CR97,CN99:CQ104,4)</f>
        <v>4.9999999999999933E-2</v>
      </c>
    </row>
    <row r="102" spans="2:96" ht="13">
      <c r="B102" s="389">
        <v>44</v>
      </c>
      <c r="C102" s="291">
        <v>0.04</v>
      </c>
      <c r="D102" s="291">
        <f t="shared" si="200"/>
        <v>0.24</v>
      </c>
      <c r="E102" s="390">
        <f t="shared" si="201"/>
        <v>0.19999999999999998</v>
      </c>
      <c r="F102" s="934"/>
      <c r="G102" s="392"/>
      <c r="H102" s="389">
        <v>44</v>
      </c>
      <c r="I102" s="291">
        <v>0.19</v>
      </c>
      <c r="J102" s="291">
        <f t="shared" si="202"/>
        <v>0.26</v>
      </c>
      <c r="K102" s="390">
        <f t="shared" si="203"/>
        <v>7.0000000000000007E-2</v>
      </c>
      <c r="L102" s="934"/>
      <c r="M102" s="392"/>
      <c r="N102" s="389">
        <v>44</v>
      </c>
      <c r="O102" s="291">
        <v>-0.11</v>
      </c>
      <c r="P102" s="291">
        <f t="shared" si="204"/>
        <v>-0.04</v>
      </c>
      <c r="Q102" s="390">
        <f t="shared" si="205"/>
        <v>7.0000000000000007E-2</v>
      </c>
      <c r="R102" s="934"/>
      <c r="S102" s="377"/>
      <c r="T102" s="389">
        <v>44</v>
      </c>
      <c r="U102" s="291">
        <f t="shared" si="206"/>
        <v>0.67</v>
      </c>
      <c r="V102" s="291"/>
      <c r="W102" s="390">
        <f t="shared" si="207"/>
        <v>8.3333333333333329E-2</v>
      </c>
      <c r="X102" s="934"/>
      <c r="Y102" s="377"/>
      <c r="Z102" s="389">
        <v>44</v>
      </c>
      <c r="AA102" s="291">
        <f t="shared" si="208"/>
        <v>0.2</v>
      </c>
      <c r="AB102" s="291">
        <v>0.66</v>
      </c>
      <c r="AC102" s="390">
        <f t="shared" si="209"/>
        <v>0.46</v>
      </c>
      <c r="AD102" s="934"/>
      <c r="AE102" s="377"/>
      <c r="AF102" s="389">
        <v>44</v>
      </c>
      <c r="AG102" s="291">
        <f t="shared" si="210"/>
        <v>0.21</v>
      </c>
      <c r="AH102" s="291">
        <v>0.7</v>
      </c>
      <c r="AI102" s="390">
        <f t="shared" si="211"/>
        <v>0.49</v>
      </c>
      <c r="AJ102" s="934"/>
      <c r="AK102" s="377"/>
      <c r="AL102" s="389">
        <v>44</v>
      </c>
      <c r="AM102" s="291">
        <f t="shared" si="212"/>
        <v>0.47</v>
      </c>
      <c r="AN102" s="291"/>
      <c r="AO102" s="390">
        <f t="shared" si="213"/>
        <v>8.3333333333333329E-2</v>
      </c>
      <c r="AP102" s="934"/>
      <c r="AQ102" s="377"/>
      <c r="AR102" s="389">
        <v>44</v>
      </c>
      <c r="AS102" s="291">
        <f t="shared" si="214"/>
        <v>0.33</v>
      </c>
      <c r="AT102" s="291"/>
      <c r="AU102" s="390">
        <f t="shared" si="215"/>
        <v>8.3333333333333329E-2</v>
      </c>
      <c r="AV102" s="934"/>
      <c r="AW102" s="377"/>
      <c r="AX102" s="389">
        <v>44</v>
      </c>
      <c r="AY102" s="291">
        <f t="shared" si="216"/>
        <v>0.39</v>
      </c>
      <c r="AZ102" s="291"/>
      <c r="BA102" s="390">
        <f t="shared" si="217"/>
        <v>0.26333333333333336</v>
      </c>
      <c r="BB102" s="934"/>
      <c r="BC102" s="377"/>
      <c r="BD102" s="389">
        <v>44</v>
      </c>
      <c r="BE102" s="291">
        <f t="shared" si="218"/>
        <v>0.79</v>
      </c>
      <c r="BF102" s="291"/>
      <c r="BG102" s="390">
        <f t="shared" si="219"/>
        <v>9.0000000000000011E-2</v>
      </c>
      <c r="BH102" s="934"/>
      <c r="BI102" s="377"/>
      <c r="BJ102" s="389">
        <v>44</v>
      </c>
      <c r="BK102" s="291">
        <f t="shared" si="220"/>
        <v>0.39</v>
      </c>
      <c r="BL102" s="291"/>
      <c r="BM102" s="390">
        <f t="shared" si="221"/>
        <v>0.26333333333333336</v>
      </c>
      <c r="BN102" s="934"/>
      <c r="BO102" s="377"/>
      <c r="BP102" s="389">
        <v>44</v>
      </c>
      <c r="BQ102" s="291">
        <f t="shared" si="222"/>
        <v>0.61</v>
      </c>
      <c r="BR102" s="291"/>
      <c r="BS102" s="390">
        <f t="shared" si="223"/>
        <v>8.666666666666667E-2</v>
      </c>
      <c r="BT102" s="934"/>
      <c r="BU102" s="377"/>
      <c r="BV102" s="389">
        <v>44</v>
      </c>
      <c r="BW102" s="291">
        <f t="shared" si="224"/>
        <v>0.72</v>
      </c>
      <c r="BX102" s="291"/>
      <c r="BY102" s="390">
        <f t="shared" si="225"/>
        <v>9.0000000000000011E-2</v>
      </c>
      <c r="BZ102" s="934"/>
      <c r="CA102" s="377"/>
      <c r="CB102" s="389">
        <v>44</v>
      </c>
      <c r="CC102" s="291">
        <f t="shared" si="197"/>
        <v>-1</v>
      </c>
      <c r="CD102" s="291">
        <f t="shared" si="229"/>
        <v>-0.7</v>
      </c>
      <c r="CE102" s="390">
        <f t="shared" si="226"/>
        <v>0.19999999999999998</v>
      </c>
      <c r="CF102" s="934"/>
      <c r="CH102" s="389">
        <v>44</v>
      </c>
      <c r="CI102" s="291">
        <f t="shared" si="198"/>
        <v>0.25</v>
      </c>
      <c r="CJ102" s="291">
        <f t="shared" si="198"/>
        <v>0.21</v>
      </c>
      <c r="CK102" s="390">
        <f t="shared" si="227"/>
        <v>4.0000000000000008E-2</v>
      </c>
      <c r="CL102" s="934"/>
      <c r="CN102" s="389">
        <v>44</v>
      </c>
      <c r="CO102" s="291">
        <f t="shared" si="199"/>
        <v>0.56999999999999995</v>
      </c>
      <c r="CP102" s="291">
        <f t="shared" si="199"/>
        <v>0.52</v>
      </c>
      <c r="CQ102" s="390">
        <f t="shared" si="228"/>
        <v>4.9999999999999933E-2</v>
      </c>
      <c r="CR102" s="934"/>
    </row>
    <row r="103" spans="2:96" ht="13">
      <c r="B103" s="389">
        <v>50</v>
      </c>
      <c r="C103" s="291">
        <v>7.0000000000000007E-2</v>
      </c>
      <c r="D103" s="291">
        <f t="shared" si="200"/>
        <v>0.31</v>
      </c>
      <c r="E103" s="390">
        <f t="shared" si="201"/>
        <v>0.24</v>
      </c>
      <c r="F103" s="935">
        <f ca="1">(((F101-F99)/(F97-F95))*(F94-F95))+F99</f>
        <v>0.14162857142857138</v>
      </c>
      <c r="G103" s="392"/>
      <c r="H103" s="389">
        <v>50</v>
      </c>
      <c r="I103" s="291">
        <v>0.21</v>
      </c>
      <c r="J103" s="291">
        <f t="shared" si="202"/>
        <v>0.31</v>
      </c>
      <c r="K103" s="390">
        <f t="shared" si="203"/>
        <v>0.1</v>
      </c>
      <c r="L103" s="935">
        <f ca="1">(((L101-L99)/(L97-L95))*(L94-L95))+L99</f>
        <v>4.0814285714285713E-2</v>
      </c>
      <c r="M103" s="392"/>
      <c r="N103" s="389">
        <v>50</v>
      </c>
      <c r="O103" s="291">
        <v>0.25</v>
      </c>
      <c r="P103" s="291">
        <f t="shared" si="204"/>
        <v>-0.05</v>
      </c>
      <c r="Q103" s="390">
        <f t="shared" si="205"/>
        <v>0.3</v>
      </c>
      <c r="R103" s="935">
        <f ca="1">(((R101-R99)/(R97-R95))*(R94-R95))+R99</f>
        <v>5.0542857142857132E-2</v>
      </c>
      <c r="S103" s="377"/>
      <c r="T103" s="389">
        <v>50</v>
      </c>
      <c r="U103" s="291">
        <f t="shared" si="206"/>
        <v>0.75</v>
      </c>
      <c r="V103" s="291"/>
      <c r="W103" s="390">
        <f t="shared" si="207"/>
        <v>8.3333333333333329E-2</v>
      </c>
      <c r="X103" s="935">
        <f ca="1">(((X101-X99)/(X97-X95))*(X94-X95))+X99</f>
        <v>8.3333333333333329E-2</v>
      </c>
      <c r="Y103" s="377"/>
      <c r="Z103" s="389">
        <v>50</v>
      </c>
      <c r="AA103" s="291">
        <f t="shared" si="208"/>
        <v>0.2</v>
      </c>
      <c r="AB103" s="291">
        <v>0.7</v>
      </c>
      <c r="AC103" s="390">
        <f t="shared" si="209"/>
        <v>0.49999999999999994</v>
      </c>
      <c r="AD103" s="935">
        <f ca="1">(((AD101-AD99)/(AD97-AD95))*(AD94-AD95))+AD99</f>
        <v>0.40162857142857139</v>
      </c>
      <c r="AE103" s="377"/>
      <c r="AF103" s="389">
        <v>50</v>
      </c>
      <c r="AG103" s="291">
        <f t="shared" si="210"/>
        <v>0.22</v>
      </c>
      <c r="AH103" s="291">
        <v>0.71</v>
      </c>
      <c r="AI103" s="390">
        <f t="shared" si="211"/>
        <v>0.49</v>
      </c>
      <c r="AJ103" s="935">
        <f ca="1">(((AJ101-AJ99)/(AJ97-AJ95))*(AJ94-AJ95))+AJ99</f>
        <v>0.46081428571428579</v>
      </c>
      <c r="AK103" s="377"/>
      <c r="AL103" s="389">
        <v>50</v>
      </c>
      <c r="AM103" s="291">
        <f t="shared" si="212"/>
        <v>0.47</v>
      </c>
      <c r="AN103" s="291"/>
      <c r="AO103" s="390">
        <f t="shared" si="213"/>
        <v>8.3333333333333329E-2</v>
      </c>
      <c r="AP103" s="935">
        <f ca="1">(((AP101-AP99)/(AP97-AP95))*(AP94-AP95))+AP99</f>
        <v>8.3333333333333329E-2</v>
      </c>
      <c r="AQ103" s="377"/>
      <c r="AR103" s="389">
        <v>50</v>
      </c>
      <c r="AS103" s="291">
        <f t="shared" si="214"/>
        <v>0.33</v>
      </c>
      <c r="AT103" s="291"/>
      <c r="AU103" s="390">
        <f t="shared" si="215"/>
        <v>8.3333333333333329E-2</v>
      </c>
      <c r="AV103" s="935">
        <f ca="1">(((AV101-AV99)/(AV97-AV95))*(AV94-AV95))+AV99</f>
        <v>8.3333333333333329E-2</v>
      </c>
      <c r="AW103" s="377"/>
      <c r="AX103" s="389">
        <v>50</v>
      </c>
      <c r="AY103" s="291">
        <f t="shared" si="216"/>
        <v>0.37</v>
      </c>
      <c r="AZ103" s="291"/>
      <c r="BA103" s="390">
        <f t="shared" si="217"/>
        <v>0.26333333333333336</v>
      </c>
      <c r="BB103" s="935">
        <f ca="1">(((BB101-BB99)/(BB97-BB95))*(BB94-BB95))+BB99</f>
        <v>0.26333333333333336</v>
      </c>
      <c r="BC103" s="377"/>
      <c r="BD103" s="389">
        <v>50</v>
      </c>
      <c r="BE103" s="291">
        <f t="shared" si="218"/>
        <v>0.84</v>
      </c>
      <c r="BF103" s="291"/>
      <c r="BG103" s="390">
        <f t="shared" si="219"/>
        <v>9.0000000000000011E-2</v>
      </c>
      <c r="BH103" s="935">
        <f ca="1">(((BH101-BH99)/(BH97-BH95))*(BH94-BH95))+BH99</f>
        <v>9.0000000000000011E-2</v>
      </c>
      <c r="BI103" s="377"/>
      <c r="BJ103" s="389">
        <v>50</v>
      </c>
      <c r="BK103" s="291">
        <f t="shared" si="220"/>
        <v>0.37</v>
      </c>
      <c r="BL103" s="291"/>
      <c r="BM103" s="390">
        <f t="shared" si="221"/>
        <v>0.26333333333333336</v>
      </c>
      <c r="BN103" s="935">
        <f ca="1">(((BN101-BN99)/(BN97-BN95))*(BN94-BN95))+BN99</f>
        <v>0.26333333333333336</v>
      </c>
      <c r="BO103" s="377"/>
      <c r="BP103" s="389">
        <v>50</v>
      </c>
      <c r="BQ103" s="291">
        <f t="shared" si="222"/>
        <v>0.68</v>
      </c>
      <c r="BR103" s="291"/>
      <c r="BS103" s="390">
        <f t="shared" si="223"/>
        <v>8.666666666666667E-2</v>
      </c>
      <c r="BT103" s="935">
        <f ca="1">(((BT101-BT99)/(BT97-BT95))*(BT94-BT95))+BT99</f>
        <v>8.666666666666667E-2</v>
      </c>
      <c r="BU103" s="377"/>
      <c r="BV103" s="389">
        <v>50</v>
      </c>
      <c r="BW103" s="291">
        <f t="shared" si="224"/>
        <v>0.8</v>
      </c>
      <c r="BX103" s="291"/>
      <c r="BY103" s="390">
        <f t="shared" si="225"/>
        <v>9.0000000000000011E-2</v>
      </c>
      <c r="BZ103" s="935">
        <f ca="1">(((BZ101-BZ99)/(BZ97-BZ95))*(BZ94-BZ95))+BZ99</f>
        <v>9.0000000000000011E-2</v>
      </c>
      <c r="CA103" s="377"/>
      <c r="CB103" s="389">
        <v>50</v>
      </c>
      <c r="CC103" s="291">
        <f t="shared" si="197"/>
        <v>-1.6</v>
      </c>
      <c r="CD103" s="291">
        <f t="shared" si="229"/>
        <v>-0.7</v>
      </c>
      <c r="CE103" s="390">
        <f t="shared" si="226"/>
        <v>0.30000000000000004</v>
      </c>
      <c r="CF103" s="935">
        <f ca="1">(((CF101-CF99)/(CF97-CF95))*(CF94-CF95))+CF99</f>
        <v>0.19999999999999998</v>
      </c>
      <c r="CH103" s="389">
        <v>50</v>
      </c>
      <c r="CI103" s="291">
        <f t="shared" si="198"/>
        <v>0.27</v>
      </c>
      <c r="CJ103" s="291">
        <f t="shared" si="198"/>
        <v>0.22</v>
      </c>
      <c r="CK103" s="390">
        <f t="shared" si="227"/>
        <v>5.0000000000000017E-2</v>
      </c>
      <c r="CL103" s="935">
        <f ca="1">(((CL101-CL99)/(CL97-CL95))*(CL94-CL95))+CL99</f>
        <v>4.0000000000000008E-2</v>
      </c>
      <c r="CN103" s="389">
        <v>50</v>
      </c>
      <c r="CO103" s="291">
        <f t="shared" si="199"/>
        <v>0.67</v>
      </c>
      <c r="CP103" s="291">
        <f t="shared" si="199"/>
        <v>0.56999999999999995</v>
      </c>
      <c r="CQ103" s="390">
        <f t="shared" si="228"/>
        <v>0.10000000000000009</v>
      </c>
      <c r="CR103" s="935">
        <f ca="1">(((CR101-CR99)/(CR97-CR95))*(CR94-CR95))+CR99</f>
        <v>3.054285714285716E-2</v>
      </c>
    </row>
    <row r="104" spans="2:96" ht="13">
      <c r="B104" s="389">
        <v>100</v>
      </c>
      <c r="C104" s="291">
        <v>0.2</v>
      </c>
      <c r="D104" s="291">
        <f t="shared" si="200"/>
        <v>0.77</v>
      </c>
      <c r="E104" s="390">
        <f t="shared" si="201"/>
        <v>0.57000000000000006</v>
      </c>
      <c r="F104" s="391"/>
      <c r="G104" s="392"/>
      <c r="H104" s="389">
        <v>100</v>
      </c>
      <c r="I104" s="291">
        <v>0.14000000000000001</v>
      </c>
      <c r="J104" s="291">
        <f t="shared" si="202"/>
        <v>0.56999999999999995</v>
      </c>
      <c r="K104" s="390">
        <f t="shared" si="203"/>
        <v>0.42999999999999994</v>
      </c>
      <c r="L104" s="391"/>
      <c r="M104" s="392"/>
      <c r="N104" s="389">
        <v>100</v>
      </c>
      <c r="O104" s="291">
        <v>0.18</v>
      </c>
      <c r="P104" s="291">
        <f t="shared" si="204"/>
        <v>-0.19</v>
      </c>
      <c r="Q104" s="390">
        <f t="shared" si="205"/>
        <v>0.37</v>
      </c>
      <c r="R104" s="391"/>
      <c r="S104" s="377"/>
      <c r="T104" s="389">
        <v>100</v>
      </c>
      <c r="U104" s="291">
        <f t="shared" si="206"/>
        <v>0.79</v>
      </c>
      <c r="V104" s="291"/>
      <c r="W104" s="390">
        <f t="shared" si="207"/>
        <v>8.3333333333333329E-2</v>
      </c>
      <c r="X104" s="391"/>
      <c r="Y104" s="377"/>
      <c r="Z104" s="389">
        <v>100</v>
      </c>
      <c r="AA104" s="291">
        <f t="shared" si="208"/>
        <v>0.28999999999999998</v>
      </c>
      <c r="AB104" s="291">
        <v>0.73</v>
      </c>
      <c r="AC104" s="390">
        <f t="shared" si="209"/>
        <v>0.44</v>
      </c>
      <c r="AD104" s="391"/>
      <c r="AE104" s="377"/>
      <c r="AF104" s="389">
        <v>100</v>
      </c>
      <c r="AG104" s="291">
        <f t="shared" si="210"/>
        <v>0.32</v>
      </c>
      <c r="AH104" s="291">
        <v>0.57999999999999996</v>
      </c>
      <c r="AI104" s="390">
        <f t="shared" si="211"/>
        <v>0.25999999999999995</v>
      </c>
      <c r="AJ104" s="391"/>
      <c r="AK104" s="377"/>
      <c r="AL104" s="389">
        <v>100</v>
      </c>
      <c r="AM104" s="291">
        <f t="shared" si="212"/>
        <v>0.57999999999999996</v>
      </c>
      <c r="AN104" s="291"/>
      <c r="AO104" s="390">
        <f t="shared" si="213"/>
        <v>8.3333333333333329E-2</v>
      </c>
      <c r="AP104" s="391"/>
      <c r="AQ104" s="377"/>
      <c r="AR104" s="389">
        <v>100</v>
      </c>
      <c r="AS104" s="291">
        <f t="shared" si="214"/>
        <v>0.42</v>
      </c>
      <c r="AT104" s="291"/>
      <c r="AU104" s="390">
        <f t="shared" si="215"/>
        <v>8.3333333333333329E-2</v>
      </c>
      <c r="AV104" s="391"/>
      <c r="AW104" s="377"/>
      <c r="AX104" s="389">
        <v>100</v>
      </c>
      <c r="AY104" s="291">
        <f t="shared" si="216"/>
        <v>0.2</v>
      </c>
      <c r="AZ104" s="291"/>
      <c r="BA104" s="390">
        <f t="shared" si="217"/>
        <v>0.26333333333333336</v>
      </c>
      <c r="BB104" s="391"/>
      <c r="BC104" s="377"/>
      <c r="BD104" s="389">
        <v>100</v>
      </c>
      <c r="BE104" s="291">
        <f t="shared" si="218"/>
        <v>0.6</v>
      </c>
      <c r="BF104" s="291"/>
      <c r="BG104" s="390">
        <f t="shared" si="219"/>
        <v>9.0000000000000011E-2</v>
      </c>
      <c r="BH104" s="391"/>
      <c r="BI104" s="377"/>
      <c r="BJ104" s="389">
        <v>100</v>
      </c>
      <c r="BK104" s="291">
        <f t="shared" si="220"/>
        <v>0.2</v>
      </c>
      <c r="BL104" s="291"/>
      <c r="BM104" s="390">
        <f t="shared" si="221"/>
        <v>0.26333333333333336</v>
      </c>
      <c r="BN104" s="391"/>
      <c r="BO104" s="377"/>
      <c r="BP104" s="389">
        <v>100</v>
      </c>
      <c r="BQ104" s="291">
        <f t="shared" si="222"/>
        <v>0.63</v>
      </c>
      <c r="BR104" s="291"/>
      <c r="BS104" s="390">
        <f t="shared" si="223"/>
        <v>8.666666666666667E-2</v>
      </c>
      <c r="BT104" s="391"/>
      <c r="BU104" s="377"/>
      <c r="BV104" s="389">
        <v>100</v>
      </c>
      <c r="BW104" s="291">
        <f t="shared" si="224"/>
        <v>0.68</v>
      </c>
      <c r="BX104" s="291"/>
      <c r="BY104" s="390">
        <f t="shared" si="225"/>
        <v>9.0000000000000011E-2</v>
      </c>
      <c r="BZ104" s="391"/>
      <c r="CA104" s="377"/>
      <c r="CB104" s="389">
        <v>100</v>
      </c>
      <c r="CC104" s="291">
        <f t="shared" si="197"/>
        <v>-1.7</v>
      </c>
      <c r="CD104" s="291">
        <f t="shared" si="229"/>
        <v>-0.7</v>
      </c>
      <c r="CE104" s="390">
        <f t="shared" si="226"/>
        <v>0.90000000000000013</v>
      </c>
      <c r="CF104" s="391"/>
      <c r="CH104" s="389">
        <v>100</v>
      </c>
      <c r="CI104" s="291">
        <f t="shared" si="198"/>
        <v>0.31</v>
      </c>
      <c r="CJ104" s="291">
        <f t="shared" si="198"/>
        <v>0.23</v>
      </c>
      <c r="CK104" s="390">
        <f t="shared" si="227"/>
        <v>7.9999999999999988E-2</v>
      </c>
      <c r="CL104" s="391"/>
      <c r="CN104" s="389">
        <v>100</v>
      </c>
      <c r="CO104" s="291">
        <f t="shared" si="199"/>
        <v>0.95</v>
      </c>
      <c r="CP104" s="291">
        <f t="shared" si="199"/>
        <v>0.81</v>
      </c>
      <c r="CQ104" s="390">
        <f t="shared" si="228"/>
        <v>0.1399999999999999</v>
      </c>
      <c r="CR104" s="391"/>
    </row>
    <row r="105" spans="2:96" ht="13">
      <c r="B105" s="389">
        <v>150</v>
      </c>
      <c r="C105" s="291">
        <v>0.28000000000000003</v>
      </c>
      <c r="D105" s="291">
        <f t="shared" si="200"/>
        <v>0.77</v>
      </c>
      <c r="E105" s="390">
        <f t="shared" si="201"/>
        <v>0.49</v>
      </c>
      <c r="F105" s="391"/>
      <c r="G105" s="392"/>
      <c r="H105" s="389">
        <v>150</v>
      </c>
      <c r="I105" s="291">
        <v>0.02</v>
      </c>
      <c r="J105" s="291">
        <f t="shared" si="202"/>
        <v>0.55000000000000004</v>
      </c>
      <c r="K105" s="390">
        <f t="shared" si="203"/>
        <v>0.53</v>
      </c>
      <c r="L105" s="391"/>
      <c r="M105" s="392"/>
      <c r="N105" s="389">
        <v>150</v>
      </c>
      <c r="O105" s="291">
        <v>0.05</v>
      </c>
      <c r="P105" s="291">
        <f t="shared" si="204"/>
        <v>-0.27</v>
      </c>
      <c r="Q105" s="390">
        <f t="shared" si="205"/>
        <v>0.32</v>
      </c>
      <c r="R105" s="391"/>
      <c r="S105" s="377"/>
      <c r="T105" s="389">
        <v>150</v>
      </c>
      <c r="U105" s="291">
        <f t="shared" si="206"/>
        <v>0.06</v>
      </c>
      <c r="V105" s="291"/>
      <c r="W105" s="390">
        <f t="shared" si="207"/>
        <v>8.3333333333333329E-2</v>
      </c>
      <c r="X105" s="391"/>
      <c r="Y105" s="377"/>
      <c r="Z105" s="389">
        <v>150</v>
      </c>
      <c r="AA105" s="291">
        <f t="shared" si="208"/>
        <v>0.47</v>
      </c>
      <c r="AB105" s="291">
        <v>0.38</v>
      </c>
      <c r="AC105" s="390">
        <f t="shared" si="209"/>
        <v>8.9999999999999969E-2</v>
      </c>
      <c r="AD105" s="391"/>
      <c r="AE105" s="377"/>
      <c r="AF105" s="389">
        <v>150</v>
      </c>
      <c r="AG105" s="291">
        <f t="shared" si="210"/>
        <v>0.52</v>
      </c>
      <c r="AH105" s="291">
        <v>0.19</v>
      </c>
      <c r="AI105" s="390">
        <f t="shared" si="211"/>
        <v>0.33</v>
      </c>
      <c r="AJ105" s="391"/>
      <c r="AK105" s="377"/>
      <c r="AL105" s="389">
        <v>150</v>
      </c>
      <c r="AM105" s="291">
        <f t="shared" si="212"/>
        <v>0.76</v>
      </c>
      <c r="AN105" s="291"/>
      <c r="AO105" s="390">
        <f t="shared" si="213"/>
        <v>8.3333333333333329E-2</v>
      </c>
      <c r="AP105" s="391"/>
      <c r="AQ105" s="377"/>
      <c r="AR105" s="389">
        <v>150</v>
      </c>
      <c r="AS105" s="291">
        <f t="shared" si="214"/>
        <v>0.62</v>
      </c>
      <c r="AT105" s="291"/>
      <c r="AU105" s="390">
        <f t="shared" si="215"/>
        <v>8.3333333333333329E-2</v>
      </c>
      <c r="AV105" s="391"/>
      <c r="AW105" s="377"/>
      <c r="AX105" s="389">
        <v>150</v>
      </c>
      <c r="AY105" s="291">
        <f t="shared" si="216"/>
        <v>-0.02</v>
      </c>
      <c r="AZ105" s="291"/>
      <c r="BA105" s="390">
        <f t="shared" si="217"/>
        <v>0.26333333333333336</v>
      </c>
      <c r="BB105" s="391"/>
      <c r="BC105" s="377"/>
      <c r="BD105" s="389">
        <v>150</v>
      </c>
      <c r="BE105" s="291">
        <f t="shared" si="218"/>
        <v>-0.1</v>
      </c>
      <c r="BF105" s="291"/>
      <c r="BG105" s="390">
        <f t="shared" si="219"/>
        <v>9.0000000000000011E-2</v>
      </c>
      <c r="BH105" s="391"/>
      <c r="BI105" s="377"/>
      <c r="BJ105" s="389">
        <v>150</v>
      </c>
      <c r="BK105" s="291">
        <f t="shared" si="220"/>
        <v>-0.02</v>
      </c>
      <c r="BL105" s="291"/>
      <c r="BM105" s="390">
        <f t="shared" si="221"/>
        <v>0.26333333333333336</v>
      </c>
      <c r="BN105" s="391"/>
      <c r="BO105" s="377"/>
      <c r="BP105" s="389">
        <v>150</v>
      </c>
      <c r="BQ105" s="291">
        <f t="shared" si="222"/>
        <v>-7.0000000000000007E-2</v>
      </c>
      <c r="BR105" s="291"/>
      <c r="BS105" s="390">
        <f t="shared" si="223"/>
        <v>8.666666666666667E-2</v>
      </c>
      <c r="BT105" s="391"/>
      <c r="BU105" s="377"/>
      <c r="BV105" s="389">
        <v>150</v>
      </c>
      <c r="BW105" s="291">
        <f t="shared" si="224"/>
        <v>-0.3</v>
      </c>
      <c r="BX105" s="291"/>
      <c r="BY105" s="390">
        <f t="shared" si="225"/>
        <v>9.0000000000000011E-2</v>
      </c>
      <c r="BZ105" s="391"/>
      <c r="CA105" s="377"/>
      <c r="CB105" s="389">
        <v>150</v>
      </c>
      <c r="CC105" s="291">
        <f t="shared" si="197"/>
        <v>-0.9</v>
      </c>
      <c r="CD105" s="291">
        <f t="shared" si="229"/>
        <v>-0.7</v>
      </c>
      <c r="CE105" s="390">
        <f t="shared" si="226"/>
        <v>1</v>
      </c>
      <c r="CF105" s="391"/>
      <c r="CH105" s="389">
        <v>150</v>
      </c>
      <c r="CI105" s="291">
        <f t="shared" si="198"/>
        <v>0.3</v>
      </c>
      <c r="CJ105" s="291">
        <f t="shared" si="198"/>
        <v>0.22</v>
      </c>
      <c r="CK105" s="390">
        <f t="shared" si="227"/>
        <v>7.9999999999999988E-2</v>
      </c>
      <c r="CL105" s="391"/>
      <c r="CN105" s="389">
        <v>150</v>
      </c>
      <c r="CO105" s="291">
        <f t="shared" si="199"/>
        <v>0.49</v>
      </c>
      <c r="CP105" s="291">
        <f t="shared" si="199"/>
        <v>0.87</v>
      </c>
      <c r="CQ105" s="390">
        <f t="shared" si="228"/>
        <v>0.38</v>
      </c>
      <c r="CR105" s="391"/>
    </row>
    <row r="106" spans="2:96" ht="13">
      <c r="B106" s="389">
        <v>200</v>
      </c>
      <c r="C106" s="291">
        <v>0.44</v>
      </c>
      <c r="D106" s="291">
        <f t="shared" si="200"/>
        <v>0.02</v>
      </c>
      <c r="E106" s="390">
        <f t="shared" si="201"/>
        <v>0.42</v>
      </c>
      <c r="F106" s="391"/>
      <c r="G106" s="392"/>
      <c r="H106" s="389">
        <v>200</v>
      </c>
      <c r="I106" s="291">
        <v>0.38</v>
      </c>
      <c r="J106" s="291">
        <f t="shared" si="202"/>
        <v>0.24</v>
      </c>
      <c r="K106" s="390">
        <f t="shared" si="203"/>
        <v>0.14000000000000001</v>
      </c>
      <c r="L106" s="391"/>
      <c r="M106" s="392"/>
      <c r="N106" s="389">
        <v>200</v>
      </c>
      <c r="O106" s="291">
        <v>0.51</v>
      </c>
      <c r="P106" s="291">
        <f t="shared" si="204"/>
        <v>0.04</v>
      </c>
      <c r="Q106" s="390">
        <f t="shared" si="205"/>
        <v>0.47000000000000003</v>
      </c>
      <c r="R106" s="391"/>
      <c r="S106" s="377"/>
      <c r="T106" s="389">
        <v>200</v>
      </c>
      <c r="U106" s="291">
        <f t="shared" si="206"/>
        <v>-0.9</v>
      </c>
      <c r="V106" s="291"/>
      <c r="W106" s="390">
        <f t="shared" si="207"/>
        <v>8.3333333333333329E-2</v>
      </c>
      <c r="X106" s="391"/>
      <c r="Y106" s="377"/>
      <c r="Z106" s="389">
        <v>200</v>
      </c>
      <c r="AA106" s="291">
        <f t="shared" si="208"/>
        <v>0.7</v>
      </c>
      <c r="AB106" s="291">
        <v>-0.04</v>
      </c>
      <c r="AC106" s="390">
        <f t="shared" si="209"/>
        <v>0.74</v>
      </c>
      <c r="AD106" s="391"/>
      <c r="AE106" s="377"/>
      <c r="AF106" s="389">
        <v>200</v>
      </c>
      <c r="AG106" s="291">
        <f t="shared" si="210"/>
        <v>0.76</v>
      </c>
      <c r="AH106" s="291">
        <v>-0.16</v>
      </c>
      <c r="AI106" s="390">
        <f t="shared" si="211"/>
        <v>0.92</v>
      </c>
      <c r="AJ106" s="391"/>
      <c r="AK106" s="377"/>
      <c r="AL106" s="389">
        <v>200</v>
      </c>
      <c r="AM106" s="291">
        <f>I220</f>
        <v>0.98</v>
      </c>
      <c r="AN106" s="291"/>
      <c r="AO106" s="390">
        <f t="shared" si="213"/>
        <v>8.3333333333333329E-2</v>
      </c>
      <c r="AP106" s="391"/>
      <c r="AQ106" s="377"/>
      <c r="AR106" s="389">
        <v>200</v>
      </c>
      <c r="AS106" s="291">
        <f t="shared" si="214"/>
        <v>0.83</v>
      </c>
      <c r="AT106" s="291"/>
      <c r="AU106" s="390">
        <f t="shared" si="215"/>
        <v>8.3333333333333329E-2</v>
      </c>
      <c r="AV106" s="391"/>
      <c r="AW106" s="377"/>
      <c r="AX106" s="389">
        <v>200</v>
      </c>
      <c r="AY106" s="291">
        <f t="shared" si="216"/>
        <v>-0.28000000000000003</v>
      </c>
      <c r="AZ106" s="291"/>
      <c r="BA106" s="390">
        <f t="shared" si="217"/>
        <v>0.26333333333333336</v>
      </c>
      <c r="BB106" s="391"/>
      <c r="BC106" s="377"/>
      <c r="BD106" s="389">
        <v>200</v>
      </c>
      <c r="BE106" s="291">
        <f t="shared" si="218"/>
        <v>-0.31</v>
      </c>
      <c r="BF106" s="291"/>
      <c r="BG106" s="390">
        <f t="shared" si="219"/>
        <v>9.0000000000000011E-2</v>
      </c>
      <c r="BH106" s="391"/>
      <c r="BI106" s="377"/>
      <c r="BJ106" s="389">
        <v>200</v>
      </c>
      <c r="BK106" s="291">
        <f t="shared" si="220"/>
        <v>-0.28000000000000003</v>
      </c>
      <c r="BL106" s="291"/>
      <c r="BM106" s="390">
        <f t="shared" si="221"/>
        <v>0.26333333333333336</v>
      </c>
      <c r="BN106" s="391"/>
      <c r="BO106" s="377"/>
      <c r="BP106" s="389">
        <v>200</v>
      </c>
      <c r="BQ106" s="291">
        <f t="shared" si="222"/>
        <v>-0.74</v>
      </c>
      <c r="BR106" s="291"/>
      <c r="BS106" s="390">
        <f t="shared" si="223"/>
        <v>8.666666666666667E-2</v>
      </c>
      <c r="BT106" s="391"/>
      <c r="BU106" s="377"/>
      <c r="BV106" s="389">
        <v>200</v>
      </c>
      <c r="BW106" s="291">
        <f t="shared" si="224"/>
        <v>-1.43</v>
      </c>
      <c r="BX106" s="291"/>
      <c r="BY106" s="390">
        <f t="shared" si="225"/>
        <v>9.0000000000000011E-2</v>
      </c>
      <c r="BZ106" s="391"/>
      <c r="CA106" s="377"/>
      <c r="CB106" s="389">
        <v>200</v>
      </c>
      <c r="CC106" s="291">
        <f t="shared" si="197"/>
        <v>0</v>
      </c>
      <c r="CD106" s="291">
        <f t="shared" si="229"/>
        <v>-0.6</v>
      </c>
      <c r="CE106" s="390">
        <f t="shared" si="226"/>
        <v>0.30000000000000004</v>
      </c>
      <c r="CF106" s="391"/>
      <c r="CH106" s="389">
        <v>200</v>
      </c>
      <c r="CI106" s="291">
        <f t="shared" si="198"/>
        <v>0.34</v>
      </c>
      <c r="CJ106" s="291">
        <f t="shared" si="198"/>
        <v>0.47</v>
      </c>
      <c r="CK106" s="390">
        <f t="shared" si="227"/>
        <v>0.12999999999999995</v>
      </c>
      <c r="CL106" s="391"/>
      <c r="CN106" s="389">
        <v>200</v>
      </c>
      <c r="CO106" s="291">
        <f t="shared" si="199"/>
        <v>-0.26</v>
      </c>
      <c r="CP106" s="291">
        <f t="shared" si="199"/>
        <v>0.99</v>
      </c>
      <c r="CQ106" s="390">
        <f t="shared" si="228"/>
        <v>1.25</v>
      </c>
      <c r="CR106" s="391"/>
    </row>
    <row r="107" spans="2:96" s="377" customFormat="1" ht="13">
      <c r="B107" s="397"/>
      <c r="C107" s="378"/>
      <c r="D107" s="378"/>
      <c r="E107" s="395"/>
      <c r="F107" s="392"/>
      <c r="G107" s="392"/>
      <c r="H107" s="397"/>
      <c r="I107" s="378"/>
      <c r="J107" s="378"/>
      <c r="K107" s="395"/>
      <c r="L107" s="379"/>
      <c r="M107" s="392"/>
      <c r="N107" s="397"/>
      <c r="O107" s="378"/>
      <c r="P107" s="378"/>
      <c r="Q107" s="395"/>
      <c r="R107" s="379"/>
      <c r="T107" s="397"/>
      <c r="U107" s="378"/>
      <c r="V107" s="378"/>
      <c r="W107" s="395"/>
      <c r="X107" s="379"/>
      <c r="Z107" s="397"/>
      <c r="AA107" s="378"/>
      <c r="AB107" s="378"/>
      <c r="AC107" s="395"/>
      <c r="AD107" s="379"/>
      <c r="AF107" s="397"/>
      <c r="AG107" s="378"/>
      <c r="AH107" s="378"/>
      <c r="AI107" s="395"/>
      <c r="AJ107" s="379"/>
      <c r="AL107" s="397"/>
      <c r="AM107" s="378"/>
      <c r="AN107" s="378"/>
      <c r="AO107" s="395"/>
      <c r="AP107" s="379"/>
      <c r="AR107" s="397"/>
      <c r="AS107" s="378"/>
      <c r="AT107" s="378"/>
      <c r="AU107" s="395"/>
      <c r="AV107" s="379"/>
      <c r="AX107" s="397"/>
      <c r="AY107" s="378"/>
      <c r="AZ107" s="378"/>
      <c r="BA107" s="395"/>
      <c r="BB107" s="379"/>
      <c r="BD107" s="397"/>
      <c r="BE107" s="378"/>
      <c r="BF107" s="378"/>
      <c r="BG107" s="395"/>
      <c r="BH107" s="379"/>
      <c r="BJ107" s="397"/>
      <c r="BK107" s="378"/>
      <c r="BL107" s="378"/>
      <c r="BM107" s="395"/>
      <c r="BN107" s="379"/>
      <c r="BP107" s="397"/>
      <c r="BQ107" s="378"/>
      <c r="BR107" s="378"/>
      <c r="BS107" s="395"/>
      <c r="BT107" s="379"/>
      <c r="BV107" s="397"/>
      <c r="BW107" s="378"/>
      <c r="BX107" s="378"/>
      <c r="BY107" s="395"/>
      <c r="BZ107" s="379"/>
      <c r="CB107" s="397"/>
      <c r="CC107" s="378"/>
      <c r="CD107" s="378"/>
      <c r="CE107" s="395"/>
      <c r="CF107" s="379"/>
      <c r="CH107" s="397"/>
      <c r="CI107" s="378"/>
      <c r="CJ107" s="378"/>
      <c r="CK107" s="395"/>
      <c r="CL107" s="379"/>
      <c r="CN107" s="397"/>
      <c r="CO107" s="378"/>
      <c r="CP107" s="378"/>
      <c r="CQ107" s="395"/>
      <c r="CR107" s="379"/>
    </row>
    <row r="108" spans="2:96" ht="24.75" customHeight="1">
      <c r="B108" s="1198" t="s">
        <v>393</v>
      </c>
      <c r="C108" s="1200" t="str">
        <f>C93</f>
        <v>Thermocouple Data Logger, Merek : MADGETECH, Model : OctTemp 2000, SN : P40270</v>
      </c>
      <c r="D108" s="1200"/>
      <c r="E108" s="1200"/>
      <c r="F108" s="380" t="s">
        <v>648</v>
      </c>
      <c r="G108" s="381"/>
      <c r="H108" s="1198" t="s">
        <v>393</v>
      </c>
      <c r="I108" s="1200" t="str">
        <f>I93</f>
        <v>Thermocouple Data Logger, Merek : MADGETECH, Model : OctTemp 2000, SN : P41878</v>
      </c>
      <c r="J108" s="1200"/>
      <c r="K108" s="1200"/>
      <c r="L108" s="380" t="s">
        <v>648</v>
      </c>
      <c r="M108" s="381"/>
      <c r="N108" s="1198" t="s">
        <v>393</v>
      </c>
      <c r="O108" s="1200" t="str">
        <f>O93</f>
        <v>Mobile Corder, Merek : Yokogawa, Model : GP 10, SN : S5T810599</v>
      </c>
      <c r="P108" s="1203"/>
      <c r="Q108" s="1200"/>
      <c r="R108" s="380" t="s">
        <v>648</v>
      </c>
      <c r="S108" s="377"/>
      <c r="T108" s="1198" t="s">
        <v>393</v>
      </c>
      <c r="U108" s="1200" t="str">
        <f>U93</f>
        <v>Wireless Temperature Recorder, Merek : HIOKI, Model : LR 8510, SN : 200936000</v>
      </c>
      <c r="V108" s="1203"/>
      <c r="W108" s="1200"/>
      <c r="X108" s="380" t="s">
        <v>648</v>
      </c>
      <c r="Y108" s="377"/>
      <c r="Z108" s="1198" t="s">
        <v>393</v>
      </c>
      <c r="AA108" s="1200" t="str">
        <f>AA93</f>
        <v>Wireless Temperature Recorder, Merek : HIOKI, Model : LR 8510, SN : 200936001</v>
      </c>
      <c r="AB108" s="1203"/>
      <c r="AC108" s="1200"/>
      <c r="AD108" s="380" t="s">
        <v>648</v>
      </c>
      <c r="AE108" s="377"/>
      <c r="AF108" s="1198" t="s">
        <v>393</v>
      </c>
      <c r="AG108" s="1200" t="str">
        <f>AG93</f>
        <v>Wireless Temperature Recorder, Merek : HIOKI, Model : LR 8510, SN : 200821397</v>
      </c>
      <c r="AH108" s="1203"/>
      <c r="AI108" s="1200"/>
      <c r="AJ108" s="380" t="s">
        <v>648</v>
      </c>
      <c r="AK108" s="377"/>
      <c r="AL108" s="1198" t="s">
        <v>393</v>
      </c>
      <c r="AM108" s="1200" t="str">
        <f>AM93</f>
        <v>Wireless Temperature Recorder, Merek : HIOKI, Model : LR 8510, SN : 210411983</v>
      </c>
      <c r="AN108" s="1203"/>
      <c r="AO108" s="1200"/>
      <c r="AP108" s="380" t="s">
        <v>648</v>
      </c>
      <c r="AQ108" s="377"/>
      <c r="AR108" s="1198" t="s">
        <v>393</v>
      </c>
      <c r="AS108" s="1200" t="str">
        <f>AS93</f>
        <v>Wireless Temperature Recorder, Merek : HIOKI, Model : LR 8510, SN : 210411984</v>
      </c>
      <c r="AT108" s="1203"/>
      <c r="AU108" s="1200"/>
      <c r="AV108" s="380" t="s">
        <v>648</v>
      </c>
      <c r="AW108" s="377"/>
      <c r="AX108" s="1198" t="s">
        <v>393</v>
      </c>
      <c r="AY108" s="1200" t="str">
        <f>AY93</f>
        <v>Wireless Temperature Recorder, Merek : HIOKI, Model : LR 8510, SN : 210411985</v>
      </c>
      <c r="AZ108" s="1203"/>
      <c r="BA108" s="1200"/>
      <c r="BB108" s="380" t="s">
        <v>648</v>
      </c>
      <c r="BC108" s="377"/>
      <c r="BD108" s="1198" t="s">
        <v>393</v>
      </c>
      <c r="BE108" s="1200" t="str">
        <f>BE93</f>
        <v>Wireless Temperature Recorder, Merek : HIOKI, Model : LR 8510, SN : 210746054</v>
      </c>
      <c r="BF108" s="1203"/>
      <c r="BG108" s="1200"/>
      <c r="BH108" s="380" t="s">
        <v>648</v>
      </c>
      <c r="BI108" s="377"/>
      <c r="BJ108" s="1198" t="s">
        <v>393</v>
      </c>
      <c r="BK108" s="1200" t="str">
        <f>BK93</f>
        <v>Wireless Temperature Recorder, Merek : HIOKI, Model : LR 8510, SN : 210746055</v>
      </c>
      <c r="BL108" s="1203"/>
      <c r="BM108" s="1200"/>
      <c r="BN108" s="380" t="s">
        <v>648</v>
      </c>
      <c r="BO108" s="377"/>
      <c r="BP108" s="1198" t="s">
        <v>393</v>
      </c>
      <c r="BQ108" s="1200" t="str">
        <f>BQ93</f>
        <v>Wireless Temperature Recorder, Merek : HIOKI, Model : LR 8510, SN : 210746056</v>
      </c>
      <c r="BR108" s="1203"/>
      <c r="BS108" s="1200"/>
      <c r="BT108" s="380" t="s">
        <v>648</v>
      </c>
      <c r="BU108" s="377"/>
      <c r="BV108" s="1198" t="s">
        <v>393</v>
      </c>
      <c r="BW108" s="1200" t="str">
        <f>BW93</f>
        <v>Wireless Temperature Recorder, Merek : HIOKI, Model : LR 8510, SN : 200821396</v>
      </c>
      <c r="BX108" s="1203"/>
      <c r="BY108" s="1200"/>
      <c r="BZ108" s="380" t="s">
        <v>648</v>
      </c>
      <c r="CA108" s="377"/>
      <c r="CB108" s="1198" t="s">
        <v>393</v>
      </c>
      <c r="CC108" s="1200" t="str">
        <f t="shared" ref="CC108:CC121" si="230">CC93</f>
        <v>Reference Thermometer, Merek : APPA, Model : APPA51, SN : 03002948</v>
      </c>
      <c r="CD108" s="1203"/>
      <c r="CE108" s="1200"/>
      <c r="CF108" s="380" t="s">
        <v>648</v>
      </c>
      <c r="CH108" s="1198" t="s">
        <v>393</v>
      </c>
      <c r="CI108" s="1200" t="str">
        <f t="shared" ref="CI108:CJ121" si="231">CI93</f>
        <v>Reference Thermometer, Merek : FLUKE, Model : 1524, SN : 1803038</v>
      </c>
      <c r="CJ108" s="1203"/>
      <c r="CK108" s="1200"/>
      <c r="CL108" s="380" t="s">
        <v>648</v>
      </c>
      <c r="CN108" s="1198" t="s">
        <v>393</v>
      </c>
      <c r="CO108" s="1200" t="str">
        <f t="shared" ref="CO108:CP121" si="232">CO93</f>
        <v>Reference Thermometer, Merek : FLUKE, Model : 1524, SN : 1803037</v>
      </c>
      <c r="CP108" s="1203"/>
      <c r="CQ108" s="1200"/>
      <c r="CR108" s="380" t="s">
        <v>648</v>
      </c>
    </row>
    <row r="109" spans="2:96" ht="13">
      <c r="B109" s="1199"/>
      <c r="C109" s="387">
        <f>C94</f>
        <v>2021</v>
      </c>
      <c r="D109" s="387">
        <f>D94</f>
        <v>2022</v>
      </c>
      <c r="E109" s="384" t="s">
        <v>386</v>
      </c>
      <c r="F109" s="388">
        <f ca="1">$B$290</f>
        <v>37.19</v>
      </c>
      <c r="G109" s="385"/>
      <c r="H109" s="1199"/>
      <c r="I109" s="386">
        <f>I94</f>
        <v>2021</v>
      </c>
      <c r="J109" s="387">
        <f>J94</f>
        <v>2022</v>
      </c>
      <c r="K109" s="384" t="s">
        <v>386</v>
      </c>
      <c r="L109" s="388">
        <f ca="1">$B$290</f>
        <v>37.19</v>
      </c>
      <c r="M109" s="385"/>
      <c r="N109" s="1199"/>
      <c r="O109" s="386">
        <f>O4</f>
        <v>2021</v>
      </c>
      <c r="P109" s="387">
        <f>P4</f>
        <v>2023</v>
      </c>
      <c r="Q109" s="384" t="s">
        <v>386</v>
      </c>
      <c r="R109" s="388">
        <f ca="1">$B$290</f>
        <v>37.19</v>
      </c>
      <c r="S109" s="377"/>
      <c r="T109" s="1199"/>
      <c r="U109" s="386">
        <f>U94</f>
        <v>2021</v>
      </c>
      <c r="V109" s="387"/>
      <c r="W109" s="384" t="s">
        <v>386</v>
      </c>
      <c r="X109" s="388">
        <f ca="1">$B$290</f>
        <v>37.19</v>
      </c>
      <c r="Y109" s="377"/>
      <c r="Z109" s="1199"/>
      <c r="AA109" s="386">
        <f>AA94</f>
        <v>2023</v>
      </c>
      <c r="AB109" s="387">
        <f>AB94</f>
        <v>2021</v>
      </c>
      <c r="AC109" s="384" t="s">
        <v>386</v>
      </c>
      <c r="AD109" s="388">
        <f ca="1">$B$290</f>
        <v>37.19</v>
      </c>
      <c r="AE109" s="377"/>
      <c r="AF109" s="1199"/>
      <c r="AG109" s="386">
        <f>AG94</f>
        <v>2023</v>
      </c>
      <c r="AH109" s="386">
        <f>AH94</f>
        <v>2021</v>
      </c>
      <c r="AI109" s="384" t="s">
        <v>386</v>
      </c>
      <c r="AJ109" s="388">
        <f ca="1">$B$290</f>
        <v>37.19</v>
      </c>
      <c r="AK109" s="377"/>
      <c r="AL109" s="1199"/>
      <c r="AM109" s="386">
        <f>AM94</f>
        <v>2021</v>
      </c>
      <c r="AN109" s="387"/>
      <c r="AO109" s="384" t="s">
        <v>386</v>
      </c>
      <c r="AP109" s="388">
        <f ca="1">$B$290</f>
        <v>37.19</v>
      </c>
      <c r="AQ109" s="377"/>
      <c r="AR109" s="1199"/>
      <c r="AS109" s="386">
        <f>AS94</f>
        <v>2021</v>
      </c>
      <c r="AT109" s="387"/>
      <c r="AU109" s="384" t="s">
        <v>386</v>
      </c>
      <c r="AV109" s="388">
        <f ca="1">$B$290</f>
        <v>37.19</v>
      </c>
      <c r="AW109" s="377"/>
      <c r="AX109" s="1199"/>
      <c r="AY109" s="386">
        <f>AY94</f>
        <v>2021</v>
      </c>
      <c r="AZ109" s="387"/>
      <c r="BA109" s="384" t="s">
        <v>386</v>
      </c>
      <c r="BB109" s="388">
        <f ca="1">$B$290</f>
        <v>37.19</v>
      </c>
      <c r="BC109" s="377"/>
      <c r="BD109" s="1199"/>
      <c r="BE109" s="386">
        <f>BE94</f>
        <v>2021</v>
      </c>
      <c r="BF109" s="387"/>
      <c r="BG109" s="384" t="s">
        <v>386</v>
      </c>
      <c r="BH109" s="388">
        <f ca="1">$B$290</f>
        <v>37.19</v>
      </c>
      <c r="BI109" s="377"/>
      <c r="BJ109" s="1199"/>
      <c r="BK109" s="386">
        <f>BK94</f>
        <v>2021</v>
      </c>
      <c r="BL109" s="387"/>
      <c r="BM109" s="384" t="s">
        <v>386</v>
      </c>
      <c r="BN109" s="388">
        <f ca="1">$B$290</f>
        <v>37.19</v>
      </c>
      <c r="BO109" s="377"/>
      <c r="BP109" s="1199"/>
      <c r="BQ109" s="386">
        <f>BQ94</f>
        <v>2021</v>
      </c>
      <c r="BR109" s="387"/>
      <c r="BS109" s="384" t="s">
        <v>386</v>
      </c>
      <c r="BT109" s="388">
        <f ca="1">$B$290</f>
        <v>37.19</v>
      </c>
      <c r="BU109" s="377"/>
      <c r="BV109" s="1199"/>
      <c r="BW109" s="386">
        <f>BW94</f>
        <v>2022</v>
      </c>
      <c r="BX109" s="387"/>
      <c r="BY109" s="384" t="s">
        <v>386</v>
      </c>
      <c r="BZ109" s="388">
        <f ca="1">$B$290</f>
        <v>37.19</v>
      </c>
      <c r="CA109" s="377"/>
      <c r="CB109" s="1199"/>
      <c r="CC109" s="386">
        <f t="shared" si="230"/>
        <v>2022</v>
      </c>
      <c r="CD109" s="387">
        <f>CD124</f>
        <v>2020</v>
      </c>
      <c r="CE109" s="384" t="s">
        <v>386</v>
      </c>
      <c r="CF109" s="388">
        <f ca="1">$B$290</f>
        <v>37.19</v>
      </c>
      <c r="CG109" s="400"/>
      <c r="CH109" s="1199"/>
      <c r="CI109" s="386">
        <f t="shared" si="231"/>
        <v>2021</v>
      </c>
      <c r="CJ109" s="387">
        <f>CJ94</f>
        <v>2019</v>
      </c>
      <c r="CK109" s="384" t="s">
        <v>386</v>
      </c>
      <c r="CL109" s="388">
        <f ca="1">$B$290</f>
        <v>37.19</v>
      </c>
      <c r="CN109" s="1199"/>
      <c r="CO109" s="386">
        <f t="shared" si="232"/>
        <v>2021</v>
      </c>
      <c r="CP109" s="387">
        <f>CP94</f>
        <v>2020</v>
      </c>
      <c r="CQ109" s="384" t="s">
        <v>386</v>
      </c>
      <c r="CR109" s="388">
        <f ca="1">$B$290</f>
        <v>37.19</v>
      </c>
    </row>
    <row r="110" spans="2:96" ht="13">
      <c r="B110" s="389">
        <v>-20</v>
      </c>
      <c r="C110" s="290">
        <v>-0.48</v>
      </c>
      <c r="D110" s="290">
        <f t="shared" ref="D110:D121" si="233">U209</f>
        <v>-0.65</v>
      </c>
      <c r="E110" s="390">
        <f t="shared" ref="E110:E121" si="234">IF(OR(C110=0,D110=0),$U$221/3,((MAX(C110:D110)-(MIN(C110:D110)))))</f>
        <v>0.17000000000000004</v>
      </c>
      <c r="F110" s="932">
        <f ca="1">IF($L$4&lt;=$B$10,$B$9,IF($L$4&lt;=$B$11,$B$10,IF($L$4&lt;=$B$12,$B$11,IF($L$4&lt;=$B$13,$B$12,IF($L$4&lt;=$B$14,$B$13)))))</f>
        <v>37</v>
      </c>
      <c r="G110" s="392"/>
      <c r="H110" s="389">
        <v>-20</v>
      </c>
      <c r="I110" s="291">
        <v>-0.74</v>
      </c>
      <c r="J110" s="291">
        <f t="shared" ref="J110:J121" si="235">V209</f>
        <v>-0.47</v>
      </c>
      <c r="K110" s="390">
        <f t="shared" ref="K110:K121" si="236">IF(OR(I110=0,J110=0),$V$221/3,((MAX(I110:J110)-(MIN(I110:J110)))))</f>
        <v>0.27</v>
      </c>
      <c r="L110" s="932">
        <f ca="1">IF($L$4&lt;=$B$10,$B$9,IF($L$4&lt;=$B$11,$B$10,IF($L$4&lt;=$B$12,$B$11,IF($L$4&lt;=$B$13,$B$12,IF($L$4&lt;=$B$14,$B$13)))))</f>
        <v>37</v>
      </c>
      <c r="M110" s="392"/>
      <c r="N110" s="389">
        <v>-20</v>
      </c>
      <c r="O110" s="764">
        <v>9.9999999999999995E-7</v>
      </c>
      <c r="P110" s="291">
        <f t="shared" ref="P110:P121" si="237">W209</f>
        <v>-0.43</v>
      </c>
      <c r="Q110" s="390">
        <f t="shared" ref="Q110:Q121" si="238">IF(OR(O110=0,P110=0),$W$221/3,((MAX(O110:P110)-(MIN(O110:P110)))))</f>
        <v>0.43000099999999997</v>
      </c>
      <c r="R110" s="932">
        <f ca="1">IF($L$4&lt;=$B$10,$B$9,IF($L$4&lt;=$B$11,$B$10,IF($L$4&lt;=$B$12,$B$11,IF($L$4&lt;=$B$13,$B$12,IF($L$4&lt;=$B$14,$B$13)))))</f>
        <v>37</v>
      </c>
      <c r="S110" s="377"/>
      <c r="T110" s="389">
        <v>-20</v>
      </c>
      <c r="U110" s="290">
        <f t="shared" ref="U110:U121" si="239">X209</f>
        <v>-1.31</v>
      </c>
      <c r="V110" s="291"/>
      <c r="W110" s="390">
        <f t="shared" ref="W110:W121" si="240">IF(OR(U110=0,V110=0),$X$221/3,((MAX(U110:V110)-(MIN(U110:V110)))))</f>
        <v>8.666666666666667E-2</v>
      </c>
      <c r="X110" s="932">
        <f ca="1">IF($L$4&lt;=$B$10,$B$9,IF($L$4&lt;=$B$11,$B$10,IF($L$4&lt;=$B$12,$B$11,IF($L$4&lt;=$B$13,$B$12,IF($L$4&lt;=$B$14,$B$13)))))</f>
        <v>37</v>
      </c>
      <c r="Y110" s="377"/>
      <c r="Z110" s="389">
        <v>-20</v>
      </c>
      <c r="AA110" s="290">
        <f t="shared" ref="AA110:AA121" si="241">Y209</f>
        <v>0.19</v>
      </c>
      <c r="AB110" s="291">
        <v>-0.63</v>
      </c>
      <c r="AC110" s="390">
        <f t="shared" ref="AC110:AC121" si="242">IF(OR(AA110=0,AB110=0),$Y$221/3,((MAX(AA110:AB110)-(MIN(AA110:AB110)))))</f>
        <v>0.82000000000000006</v>
      </c>
      <c r="AD110" s="932">
        <f ca="1">IF($L$4&lt;=$B$10,$B$9,IF($L$4&lt;=$B$11,$B$10,IF($L$4&lt;=$B$12,$B$11,IF($L$4&lt;=$B$13,$B$12,IF($L$4&lt;=$B$14,$B$13)))))</f>
        <v>37</v>
      </c>
      <c r="AE110" s="377"/>
      <c r="AF110" s="389">
        <v>-20</v>
      </c>
      <c r="AG110" s="290">
        <f t="shared" ref="AG110:AG121" si="243">Z209</f>
        <v>0.2</v>
      </c>
      <c r="AH110" s="291">
        <v>-0.1</v>
      </c>
      <c r="AI110" s="390">
        <f t="shared" ref="AI110:AI121" si="244">IF(OR(AG110=0,AH110=0),$Z$221/3,((MAX(AG110:AH110)-(MIN(AG110:AH110)))))</f>
        <v>0.30000000000000004</v>
      </c>
      <c r="AJ110" s="932">
        <f ca="1">IF($L$4&lt;=$B$10,$B$9,IF($L$4&lt;=$B$11,$B$10,IF($L$4&lt;=$B$12,$B$11,IF($L$4&lt;=$B$13,$B$12,IF($L$4&lt;=$B$14,$B$13)))))</f>
        <v>37</v>
      </c>
      <c r="AK110" s="377"/>
      <c r="AL110" s="389">
        <v>-20</v>
      </c>
      <c r="AM110" s="290">
        <f t="shared" ref="AM110:AM121" si="245">AA209</f>
        <v>0.46</v>
      </c>
      <c r="AN110" s="291"/>
      <c r="AO110" s="390">
        <f t="shared" ref="AO110:AO121" si="246">IF(OR(AM110=0,AN110=0),$AA$221/3,((MAX(AM110:AN110)-(MIN(AM110:AN110)))))</f>
        <v>8.3333333333333329E-2</v>
      </c>
      <c r="AP110" s="932">
        <f ca="1">IF($L$4&lt;=$B$10,$B$9,IF($L$4&lt;=$B$11,$B$10,IF($L$4&lt;=$B$12,$B$11,IF($L$4&lt;=$B$13,$B$12,IF($L$4&lt;=$B$14,$B$13)))))</f>
        <v>37</v>
      </c>
      <c r="AQ110" s="377"/>
      <c r="AR110" s="389">
        <v>-20</v>
      </c>
      <c r="AS110" s="290">
        <f t="shared" ref="AS110:AS121" si="247">AB209</f>
        <v>0.36</v>
      </c>
      <c r="AT110" s="291"/>
      <c r="AU110" s="390">
        <f t="shared" ref="AU110:AU121" si="248">IF(OR(AS110=0,AT110=0),$AB$221/3,((MAX(AS110:AT110)-(MIN(AS110:AT110)))))</f>
        <v>8.3333333333333329E-2</v>
      </c>
      <c r="AV110" s="932">
        <f ca="1">IF($L$4&lt;=$B$10,$B$9,IF($L$4&lt;=$B$11,$B$10,IF($L$4&lt;=$B$12,$B$11,IF($L$4&lt;=$B$13,$B$12,IF($L$4&lt;=$B$14,$B$13)))))</f>
        <v>37</v>
      </c>
      <c r="AW110" s="377"/>
      <c r="AX110" s="389">
        <v>-20</v>
      </c>
      <c r="AY110" s="290">
        <f t="shared" ref="AY110:AY121" si="249">AC209</f>
        <v>0.52</v>
      </c>
      <c r="AZ110" s="291"/>
      <c r="BA110" s="390">
        <f t="shared" ref="BA110:BA121" si="250">IF(OR(AY110=0,AZ110=0),$AC$221/3,((MAX(AY110:AZ110)-(MIN(AY110:AZ110)))))</f>
        <v>0.26333333333333336</v>
      </c>
      <c r="BB110" s="932">
        <f ca="1">IF($L$4&lt;=$B$10,$B$9,IF($L$4&lt;=$B$11,$B$10,IF($L$4&lt;=$B$12,$B$11,IF($L$4&lt;=$B$13,$B$12,IF($L$4&lt;=$B$14,$B$13)))))</f>
        <v>37</v>
      </c>
      <c r="BC110" s="377"/>
      <c r="BD110" s="389">
        <v>-20</v>
      </c>
      <c r="BE110" s="290">
        <f t="shared" ref="BE110:BE121" si="251">AD209</f>
        <v>-0.95</v>
      </c>
      <c r="BF110" s="291"/>
      <c r="BG110" s="390">
        <f t="shared" ref="BG110:BG121" si="252">IF(OR(BE110=0,BF110=0),$AD$221/3,((MAX(BE110:BF110)-(MIN(BE110:BF110)))))</f>
        <v>9.0000000000000011E-2</v>
      </c>
      <c r="BH110" s="932">
        <f ca="1">IF($L$4&lt;=$B$10,$B$9,IF($L$4&lt;=$B$11,$B$10,IF($L$4&lt;=$B$12,$B$11,IF($L$4&lt;=$B$13,$B$12,IF($L$4&lt;=$B$14,$B$13)))))</f>
        <v>37</v>
      </c>
      <c r="BI110" s="377"/>
      <c r="BJ110" s="389">
        <v>-20</v>
      </c>
      <c r="BK110" s="290">
        <f t="shared" ref="BK110:BK121" si="253">AE209</f>
        <v>0.52</v>
      </c>
      <c r="BL110" s="291"/>
      <c r="BM110" s="390">
        <f t="shared" ref="BM110:BM121" si="254">IF(OR(BK110=0,BL110=0),$AE$221/3,((MAX(BK110:BL110)-(MIN(BK110:BL110)))))</f>
        <v>0.26333333333333336</v>
      </c>
      <c r="BN110" s="932">
        <f ca="1">IF($L$4&lt;=$B$10,$B$9,IF($L$4&lt;=$B$11,$B$10,IF($L$4&lt;=$B$12,$B$11,IF($L$4&lt;=$B$13,$B$12,IF($L$4&lt;=$B$14,$B$13)))))</f>
        <v>37</v>
      </c>
      <c r="BO110" s="377"/>
      <c r="BP110" s="389">
        <v>-20</v>
      </c>
      <c r="BQ110" s="290">
        <f t="shared" ref="BQ110:BQ121" si="255">AF209</f>
        <v>-1.22</v>
      </c>
      <c r="BR110" s="291"/>
      <c r="BS110" s="390">
        <f t="shared" ref="BS110:BS121" si="256">IF(OR(BQ110=0,BR110=0),$AF$221/3,((MAX(BQ110:BR110)-(MIN(BQ110:BR110)))))</f>
        <v>8.666666666666667E-2</v>
      </c>
      <c r="BT110" s="932">
        <f ca="1">IF($L$4&lt;=$B$10,$B$9,IF($L$4&lt;=$B$11,$B$10,IF($L$4&lt;=$B$12,$B$11,IF($L$4&lt;=$B$13,$B$12,IF($L$4&lt;=$B$14,$B$13)))))</f>
        <v>37</v>
      </c>
      <c r="BU110" s="377"/>
      <c r="BV110" s="389">
        <v>-20</v>
      </c>
      <c r="BW110" s="290">
        <f t="shared" ref="BW110:BW121" si="257">AG209</f>
        <v>-1.36</v>
      </c>
      <c r="BX110" s="291"/>
      <c r="BY110" s="390">
        <f t="shared" ref="BY110:BY121" si="258">IF(OR(BW110=0,BX110=0),$AG$221/3,((MAX(BW110:BX110)-(MIN(BW110:BX110)))))</f>
        <v>9.3333333333333338E-2</v>
      </c>
      <c r="BZ110" s="932">
        <f ca="1">IF($L$4&lt;=$B$10,$B$9,IF($L$4&lt;=$B$11,$B$10,IF($L$4&lt;=$B$12,$B$11,IF($L$4&lt;=$B$13,$B$12,IF($L$4&lt;=$B$14,$B$13)))))</f>
        <v>37</v>
      </c>
      <c r="CA110" s="377"/>
      <c r="CB110" s="389">
        <v>-20</v>
      </c>
      <c r="CC110" s="290">
        <f t="shared" si="230"/>
        <v>-1.1000000000000001</v>
      </c>
      <c r="CD110" s="291">
        <f>CD125</f>
        <v>-0.7</v>
      </c>
      <c r="CE110" s="390">
        <f t="shared" ref="CE110:CE121" si="259">CE95</f>
        <v>0.40000000000000013</v>
      </c>
      <c r="CF110" s="932">
        <f ca="1">IF($L$4&lt;=$B$10,$B$9,IF($L$4&lt;=$B$11,$B$10,IF($L$4&lt;=$B$12,$B$11,IF($L$4&lt;=$B$13,$B$12,IF($L$4&lt;=$B$14,$B$13)))))</f>
        <v>37</v>
      </c>
      <c r="CG110" s="400"/>
      <c r="CH110" s="389">
        <v>-20</v>
      </c>
      <c r="CI110" s="290">
        <f t="shared" si="231"/>
        <v>-0.15</v>
      </c>
      <c r="CJ110" s="291">
        <f>CJ95</f>
        <v>-0.32</v>
      </c>
      <c r="CK110" s="390">
        <f t="shared" ref="CK110:CK121" si="260">CK95</f>
        <v>0.17</v>
      </c>
      <c r="CL110" s="932">
        <f ca="1">IF($L$4&lt;=$B$10,$B$9,IF($L$4&lt;=$B$11,$B$10,IF($L$4&lt;=$B$12,$B$11,IF($L$4&lt;=$B$13,$B$12,IF($L$4&lt;=$B$14,$B$13)))))</f>
        <v>37</v>
      </c>
      <c r="CN110" s="389">
        <v>-20</v>
      </c>
      <c r="CO110" s="290">
        <f t="shared" si="232"/>
        <v>-1.8</v>
      </c>
      <c r="CP110" s="291">
        <f>CP95</f>
        <v>-0.51</v>
      </c>
      <c r="CQ110" s="390">
        <f t="shared" ref="CQ110:CQ121" si="261">CQ95</f>
        <v>1.29</v>
      </c>
      <c r="CR110" s="932">
        <f ca="1">IF($L$4&lt;=$B$10,$B$9,IF($L$4&lt;=$B$11,$B$10,IF($L$4&lt;=$B$12,$B$11,IF($L$4&lt;=$B$13,$B$12,IF($L$4&lt;=$B$14,$B$13)))))</f>
        <v>37</v>
      </c>
    </row>
    <row r="111" spans="2:96" ht="13">
      <c r="B111" s="389">
        <v>-15</v>
      </c>
      <c r="C111" s="290">
        <v>-0.4</v>
      </c>
      <c r="D111" s="290">
        <f t="shared" si="233"/>
        <v>-0.56999999999999995</v>
      </c>
      <c r="E111" s="390">
        <f t="shared" si="234"/>
        <v>0.16999999999999993</v>
      </c>
      <c r="F111" s="391"/>
      <c r="G111" s="392"/>
      <c r="H111" s="389">
        <v>-15</v>
      </c>
      <c r="I111" s="291">
        <v>-0.61</v>
      </c>
      <c r="J111" s="291">
        <f t="shared" si="235"/>
        <v>-0.4</v>
      </c>
      <c r="K111" s="390">
        <f t="shared" si="236"/>
        <v>0.20999999999999996</v>
      </c>
      <c r="L111" s="391"/>
      <c r="M111" s="392"/>
      <c r="N111" s="389">
        <v>-15</v>
      </c>
      <c r="O111" s="764">
        <v>-0.47</v>
      </c>
      <c r="P111" s="291">
        <f t="shared" si="237"/>
        <v>-0.37</v>
      </c>
      <c r="Q111" s="390">
        <f t="shared" si="238"/>
        <v>9.9999999999999978E-2</v>
      </c>
      <c r="R111" s="391"/>
      <c r="S111" s="377"/>
      <c r="T111" s="389">
        <v>-15</v>
      </c>
      <c r="U111" s="290">
        <f t="shared" si="239"/>
        <v>-1.07</v>
      </c>
      <c r="V111" s="291"/>
      <c r="W111" s="390">
        <f t="shared" si="240"/>
        <v>8.666666666666667E-2</v>
      </c>
      <c r="X111" s="391"/>
      <c r="Y111" s="377"/>
      <c r="Z111" s="389">
        <v>-15</v>
      </c>
      <c r="AA111" s="290">
        <f t="shared" si="241"/>
        <v>0.23</v>
      </c>
      <c r="AB111" s="291">
        <v>0</v>
      </c>
      <c r="AC111" s="390">
        <f t="shared" si="242"/>
        <v>8.666666666666667E-2</v>
      </c>
      <c r="AD111" s="391"/>
      <c r="AE111" s="377"/>
      <c r="AF111" s="389">
        <v>-15</v>
      </c>
      <c r="AG111" s="290">
        <f t="shared" si="243"/>
        <v>0.23</v>
      </c>
      <c r="AH111" s="291">
        <v>9.9999999999999995E-7</v>
      </c>
      <c r="AI111" s="390">
        <f t="shared" si="244"/>
        <v>0.22999900000000001</v>
      </c>
      <c r="AJ111" s="391"/>
      <c r="AK111" s="377"/>
      <c r="AL111" s="389">
        <v>-15</v>
      </c>
      <c r="AM111" s="290">
        <f t="shared" si="245"/>
        <v>0.47</v>
      </c>
      <c r="AN111" s="291"/>
      <c r="AO111" s="390">
        <f t="shared" si="246"/>
        <v>8.3333333333333329E-2</v>
      </c>
      <c r="AP111" s="391"/>
      <c r="AQ111" s="377"/>
      <c r="AR111" s="389">
        <v>-15</v>
      </c>
      <c r="AS111" s="290">
        <f t="shared" si="247"/>
        <v>0.38</v>
      </c>
      <c r="AT111" s="291"/>
      <c r="AU111" s="390">
        <f t="shared" si="248"/>
        <v>8.3333333333333329E-2</v>
      </c>
      <c r="AV111" s="391"/>
      <c r="AW111" s="377"/>
      <c r="AX111" s="389">
        <v>-15</v>
      </c>
      <c r="AY111" s="290">
        <f t="shared" si="249"/>
        <v>9.9999999999999995E-7</v>
      </c>
      <c r="AZ111" s="291"/>
      <c r="BA111" s="390">
        <f t="shared" si="250"/>
        <v>0.26333333333333336</v>
      </c>
      <c r="BB111" s="391"/>
      <c r="BC111" s="377"/>
      <c r="BD111" s="389">
        <v>-15</v>
      </c>
      <c r="BE111" s="290">
        <f t="shared" si="251"/>
        <v>-0.69</v>
      </c>
      <c r="BF111" s="291"/>
      <c r="BG111" s="390">
        <f t="shared" si="252"/>
        <v>9.0000000000000011E-2</v>
      </c>
      <c r="BH111" s="391"/>
      <c r="BI111" s="377"/>
      <c r="BJ111" s="389">
        <v>-15</v>
      </c>
      <c r="BK111" s="290">
        <f t="shared" si="253"/>
        <v>9.9999999999999995E-7</v>
      </c>
      <c r="BL111" s="291"/>
      <c r="BM111" s="390">
        <f t="shared" si="254"/>
        <v>0.26333333333333336</v>
      </c>
      <c r="BN111" s="391"/>
      <c r="BO111" s="377"/>
      <c r="BP111" s="389">
        <v>-15</v>
      </c>
      <c r="BQ111" s="290">
        <f t="shared" si="255"/>
        <v>-0.97</v>
      </c>
      <c r="BR111" s="291"/>
      <c r="BS111" s="390">
        <f t="shared" si="256"/>
        <v>8.666666666666667E-2</v>
      </c>
      <c r="BT111" s="391"/>
      <c r="BU111" s="377"/>
      <c r="BV111" s="389">
        <v>-15</v>
      </c>
      <c r="BW111" s="290">
        <f t="shared" si="257"/>
        <v>-1.0900000000000001</v>
      </c>
      <c r="BX111" s="291"/>
      <c r="BY111" s="390">
        <f t="shared" si="258"/>
        <v>9.3333333333333338E-2</v>
      </c>
      <c r="BZ111" s="391"/>
      <c r="CA111" s="377"/>
      <c r="CB111" s="389">
        <v>-15</v>
      </c>
      <c r="CC111" s="290">
        <f t="shared" si="230"/>
        <v>-1.2</v>
      </c>
      <c r="CD111" s="291">
        <f t="shared" ref="CD111:CD121" si="262">CD126</f>
        <v>-0.7</v>
      </c>
      <c r="CE111" s="390">
        <f t="shared" si="259"/>
        <v>0.40000000000000013</v>
      </c>
      <c r="CF111" s="391"/>
      <c r="CG111" s="401"/>
      <c r="CH111" s="389">
        <v>-15</v>
      </c>
      <c r="CI111" s="290">
        <f t="shared" si="231"/>
        <v>-0.1</v>
      </c>
      <c r="CJ111" s="291">
        <f t="shared" si="231"/>
        <v>-0.24</v>
      </c>
      <c r="CK111" s="390">
        <f t="shared" si="260"/>
        <v>0.13999999999999999</v>
      </c>
      <c r="CL111" s="391"/>
      <c r="CN111" s="389">
        <v>-15</v>
      </c>
      <c r="CO111" s="290">
        <f t="shared" si="232"/>
        <v>-1.52</v>
      </c>
      <c r="CP111" s="291">
        <f t="shared" si="232"/>
        <v>-0.39</v>
      </c>
      <c r="CQ111" s="390">
        <f t="shared" si="261"/>
        <v>1.1299999999999999</v>
      </c>
      <c r="CR111" s="391"/>
    </row>
    <row r="112" spans="2:96" ht="13">
      <c r="B112" s="389">
        <v>-10</v>
      </c>
      <c r="C112" s="290">
        <v>-0.33</v>
      </c>
      <c r="D112" s="290">
        <f t="shared" si="233"/>
        <v>-0.5</v>
      </c>
      <c r="E112" s="390">
        <f t="shared" si="234"/>
        <v>0.16999999999999998</v>
      </c>
      <c r="F112" s="932">
        <f ca="1">IF($L$4&lt;=$B$9,$B$9,IF($L$4&lt;=$B$10,$B$10,IF($L$4&lt;=$B$11,$B$11,IF($L$4&lt;=$B$12,$B$12,IF($L$4&lt;=$B$13,$B$13,IF($L$4&lt;=$B$14,$B$14))))))</f>
        <v>44</v>
      </c>
      <c r="G112" s="392"/>
      <c r="H112" s="389">
        <v>-10</v>
      </c>
      <c r="I112" s="291">
        <v>9.9999999999999995E-7</v>
      </c>
      <c r="J112" s="291">
        <f t="shared" si="235"/>
        <v>-0.34</v>
      </c>
      <c r="K112" s="390">
        <f t="shared" si="236"/>
        <v>0.340001</v>
      </c>
      <c r="L112" s="932">
        <f ca="1">IF($L$4&lt;=$B$9,$B$9,IF($L$4&lt;=$B$10,$B$10,IF($L$4&lt;=$B$11,$B$11,IF($L$4&lt;=$B$12,$B$12,IF($L$4&lt;=$B$13,$B$13,IF($L$4&lt;=$B$14,$B$14))))))</f>
        <v>44</v>
      </c>
      <c r="M112" s="392"/>
      <c r="N112" s="389">
        <v>-10</v>
      </c>
      <c r="O112" s="764">
        <v>-0.39</v>
      </c>
      <c r="P112" s="291">
        <f t="shared" si="237"/>
        <v>-0.31</v>
      </c>
      <c r="Q112" s="390">
        <f t="shared" si="238"/>
        <v>8.0000000000000016E-2</v>
      </c>
      <c r="R112" s="932">
        <f ca="1">IF($L$4&lt;=$B$9,$B$9,IF($L$4&lt;=$B$10,$B$10,IF($L$4&lt;=$B$11,$B$11,IF($L$4&lt;=$B$12,$B$12,IF($L$4&lt;=$B$13,$B$13,IF($L$4&lt;=$B$14,$B$14))))))</f>
        <v>44</v>
      </c>
      <c r="S112" s="377"/>
      <c r="T112" s="389">
        <v>-10</v>
      </c>
      <c r="U112" s="290">
        <f t="shared" si="239"/>
        <v>-0.82</v>
      </c>
      <c r="V112" s="291"/>
      <c r="W112" s="390">
        <f t="shared" si="240"/>
        <v>8.666666666666667E-2</v>
      </c>
      <c r="X112" s="932">
        <f ca="1">IF($L$4&lt;=$B$9,$B$9,IF($L$4&lt;=$B$10,$B$10,IF($L$4&lt;=$B$11,$B$11,IF($L$4&lt;=$B$12,$B$12,IF($L$4&lt;=$B$13,$B$13,IF($L$4&lt;=$B$14,$B$14))))))</f>
        <v>44</v>
      </c>
      <c r="Y112" s="377"/>
      <c r="Z112" s="389">
        <v>-10</v>
      </c>
      <c r="AA112" s="290">
        <f t="shared" si="241"/>
        <v>0.26</v>
      </c>
      <c r="AB112" s="291">
        <v>-0.31</v>
      </c>
      <c r="AC112" s="390">
        <f t="shared" si="242"/>
        <v>0.57000000000000006</v>
      </c>
      <c r="AD112" s="932">
        <f ca="1">IF($L$4&lt;=$B$9,$B$9,IF($L$4&lt;=$B$10,$B$10,IF($L$4&lt;=$B$11,$B$11,IF($L$4&lt;=$B$12,$B$12,IF($L$4&lt;=$B$13,$B$13,IF($L$4&lt;=$B$14,$B$14))))))</f>
        <v>44</v>
      </c>
      <c r="AE112" s="377"/>
      <c r="AF112" s="389">
        <v>-10</v>
      </c>
      <c r="AG112" s="290">
        <f t="shared" si="243"/>
        <v>0.25</v>
      </c>
      <c r="AH112" s="291">
        <v>0.13</v>
      </c>
      <c r="AI112" s="390">
        <f t="shared" si="244"/>
        <v>0.12</v>
      </c>
      <c r="AJ112" s="932">
        <f ca="1">IF($L$4&lt;=$B$9,$B$9,IF($L$4&lt;=$B$10,$B$10,IF($L$4&lt;=$B$11,$B$11,IF($L$4&lt;=$B$12,$B$12,IF($L$4&lt;=$B$13,$B$13,IF($L$4&lt;=$B$14,$B$14))))))</f>
        <v>44</v>
      </c>
      <c r="AK112" s="377"/>
      <c r="AL112" s="389">
        <v>-10</v>
      </c>
      <c r="AM112" s="290">
        <f t="shared" si="245"/>
        <v>0.48</v>
      </c>
      <c r="AN112" s="291"/>
      <c r="AO112" s="390">
        <f t="shared" si="246"/>
        <v>8.3333333333333329E-2</v>
      </c>
      <c r="AP112" s="932">
        <f ca="1">IF($L$4&lt;=$B$9,$B$9,IF($L$4&lt;=$B$10,$B$10,IF($L$4&lt;=$B$11,$B$11,IF($L$4&lt;=$B$12,$B$12,IF($L$4&lt;=$B$13,$B$13,IF($L$4&lt;=$B$14,$B$14))))))</f>
        <v>44</v>
      </c>
      <c r="AQ112" s="377"/>
      <c r="AR112" s="389">
        <v>-10</v>
      </c>
      <c r="AS112" s="290">
        <f t="shared" si="247"/>
        <v>0.4</v>
      </c>
      <c r="AT112" s="291"/>
      <c r="AU112" s="390">
        <f t="shared" si="248"/>
        <v>8.3333333333333329E-2</v>
      </c>
      <c r="AV112" s="932">
        <f ca="1">IF($L$4&lt;=$B$9,$B$9,IF($L$4&lt;=$B$10,$B$10,IF($L$4&lt;=$B$11,$B$11,IF($L$4&lt;=$B$12,$B$12,IF($L$4&lt;=$B$13,$B$13,IF($L$4&lt;=$B$14,$B$14))))))</f>
        <v>44</v>
      </c>
      <c r="AW112" s="377"/>
      <c r="AX112" s="389">
        <v>-10</v>
      </c>
      <c r="AY112" s="290">
        <f t="shared" si="249"/>
        <v>0.5</v>
      </c>
      <c r="AZ112" s="291"/>
      <c r="BA112" s="390">
        <f t="shared" si="250"/>
        <v>0.26333333333333336</v>
      </c>
      <c r="BB112" s="932">
        <f ca="1">IF($L$4&lt;=$B$9,$B$9,IF($L$4&lt;=$B$10,$B$10,IF($L$4&lt;=$B$11,$B$11,IF($L$4&lt;=$B$12,$B$12,IF($L$4&lt;=$B$13,$B$13,IF($L$4&lt;=$B$14,$B$14))))))</f>
        <v>44</v>
      </c>
      <c r="BC112" s="377"/>
      <c r="BD112" s="389">
        <v>-10</v>
      </c>
      <c r="BE112" s="290">
        <f t="shared" si="251"/>
        <v>-0.49</v>
      </c>
      <c r="BF112" s="291"/>
      <c r="BG112" s="390">
        <f t="shared" si="252"/>
        <v>9.0000000000000011E-2</v>
      </c>
      <c r="BH112" s="932">
        <f ca="1">IF($L$4&lt;=$B$9,$B$9,IF($L$4&lt;=$B$10,$B$10,IF($L$4&lt;=$B$11,$B$11,IF($L$4&lt;=$B$12,$B$12,IF($L$4&lt;=$B$13,$B$13,IF($L$4&lt;=$B$14,$B$14))))))</f>
        <v>44</v>
      </c>
      <c r="BI112" s="377"/>
      <c r="BJ112" s="389">
        <v>-10</v>
      </c>
      <c r="BK112" s="290">
        <f t="shared" si="253"/>
        <v>0.5</v>
      </c>
      <c r="BL112" s="291"/>
      <c r="BM112" s="390">
        <f t="shared" si="254"/>
        <v>0.26333333333333336</v>
      </c>
      <c r="BN112" s="932">
        <f ca="1">IF($L$4&lt;=$B$9,$B$9,IF($L$4&lt;=$B$10,$B$10,IF($L$4&lt;=$B$11,$B$11,IF($L$4&lt;=$B$12,$B$12,IF($L$4&lt;=$B$13,$B$13,IF($L$4&lt;=$B$14,$B$14))))))</f>
        <v>44</v>
      </c>
      <c r="BO112" s="377"/>
      <c r="BP112" s="389">
        <v>-10</v>
      </c>
      <c r="BQ112" s="290">
        <f t="shared" si="255"/>
        <v>-0.77</v>
      </c>
      <c r="BR112" s="291"/>
      <c r="BS112" s="390">
        <f t="shared" si="256"/>
        <v>8.666666666666667E-2</v>
      </c>
      <c r="BT112" s="932">
        <f ca="1">IF($L$4&lt;=$B$9,$B$9,IF($L$4&lt;=$B$10,$B$10,IF($L$4&lt;=$B$11,$B$11,IF($L$4&lt;=$B$12,$B$12,IF($L$4&lt;=$B$13,$B$13,IF($L$4&lt;=$B$14,$B$14))))))</f>
        <v>44</v>
      </c>
      <c r="BU112" s="377"/>
      <c r="BV112" s="389">
        <v>-10</v>
      </c>
      <c r="BW112" s="290">
        <f t="shared" si="257"/>
        <v>-0.85</v>
      </c>
      <c r="BX112" s="291"/>
      <c r="BY112" s="390">
        <f t="shared" si="258"/>
        <v>9.3333333333333338E-2</v>
      </c>
      <c r="BZ112" s="932">
        <f ca="1">IF($L$4&lt;=$B$9,$B$9,IF($L$4&lt;=$B$10,$B$10,IF($L$4&lt;=$B$11,$B$11,IF($L$4&lt;=$B$12,$B$12,IF($L$4&lt;=$B$13,$B$13,IF($L$4&lt;=$B$14,$B$14))))))</f>
        <v>44</v>
      </c>
      <c r="CA112" s="377"/>
      <c r="CB112" s="389">
        <v>-10</v>
      </c>
      <c r="CC112" s="290">
        <f t="shared" si="230"/>
        <v>-1.4</v>
      </c>
      <c r="CD112" s="291">
        <f t="shared" si="262"/>
        <v>-0.7</v>
      </c>
      <c r="CE112" s="390">
        <f t="shared" si="259"/>
        <v>0.5</v>
      </c>
      <c r="CF112" s="932">
        <f ca="1">IF($L$4&lt;=$B$9,$B$9,IF($L$4&lt;=$B$10,$B$10,IF($L$4&lt;=$B$11,$B$11,IF($L$4&lt;=$B$12,$B$12,IF($L$4&lt;=$B$13,$B$13,IF($L$4&lt;=$B$14,$B$14))))))</f>
        <v>44</v>
      </c>
      <c r="CG112" s="402"/>
      <c r="CH112" s="389">
        <v>-10</v>
      </c>
      <c r="CI112" s="290">
        <f t="shared" si="231"/>
        <v>-0.05</v>
      </c>
      <c r="CJ112" s="291">
        <f t="shared" si="231"/>
        <v>-0.18</v>
      </c>
      <c r="CK112" s="390">
        <f t="shared" si="260"/>
        <v>0.13</v>
      </c>
      <c r="CL112" s="932">
        <f ca="1">IF($L$4&lt;=$B$9,$B$9,IF($L$4&lt;=$B$10,$B$10,IF($L$4&lt;=$B$11,$B$11,IF($L$4&lt;=$B$12,$B$12,IF($L$4&lt;=$B$13,$B$13,IF($L$4&lt;=$B$14,$B$14))))))</f>
        <v>44</v>
      </c>
      <c r="CN112" s="389">
        <v>-10</v>
      </c>
      <c r="CO112" s="290">
        <f t="shared" si="232"/>
        <v>-1.26</v>
      </c>
      <c r="CP112" s="291">
        <f t="shared" si="232"/>
        <v>-0.28000000000000003</v>
      </c>
      <c r="CQ112" s="390">
        <f t="shared" si="261"/>
        <v>0.98</v>
      </c>
      <c r="CR112" s="932">
        <f ca="1">IF($L$4&lt;=$B$9,$B$9,IF($L$4&lt;=$B$10,$B$10,IF($L$4&lt;=$B$11,$B$11,IF($L$4&lt;=$B$12,$B$12,IF($L$4&lt;=$B$13,$B$13,IF($L$4&lt;=$B$14,$B$14))))))</f>
        <v>44</v>
      </c>
    </row>
    <row r="113" spans="2:96" ht="13">
      <c r="B113" s="389">
        <v>9.9999999999999995E-7</v>
      </c>
      <c r="C113" s="290">
        <v>-0.2</v>
      </c>
      <c r="D113" s="290">
        <f t="shared" si="233"/>
        <v>-0.36</v>
      </c>
      <c r="E113" s="390">
        <f t="shared" si="234"/>
        <v>0.15999999999999998</v>
      </c>
      <c r="F113" s="391"/>
      <c r="G113" s="392"/>
      <c r="H113" s="389">
        <v>9.9999999999999995E-7</v>
      </c>
      <c r="I113" s="291">
        <v>-0.28999999999999998</v>
      </c>
      <c r="J113" s="291">
        <f t="shared" si="235"/>
        <v>-0.21</v>
      </c>
      <c r="K113" s="390">
        <f t="shared" si="236"/>
        <v>7.9999999999999988E-2</v>
      </c>
      <c r="L113" s="391"/>
      <c r="M113" s="392"/>
      <c r="N113" s="389">
        <v>9.9999999999999995E-7</v>
      </c>
      <c r="O113" s="764">
        <v>-0.33</v>
      </c>
      <c r="P113" s="291">
        <f t="shared" si="237"/>
        <v>-0.21</v>
      </c>
      <c r="Q113" s="390">
        <f t="shared" si="238"/>
        <v>0.12000000000000002</v>
      </c>
      <c r="R113" s="391"/>
      <c r="S113" s="377"/>
      <c r="T113" s="389">
        <v>9.9999999999999995E-7</v>
      </c>
      <c r="U113" s="290">
        <f t="shared" si="239"/>
        <v>-0.28999999999999998</v>
      </c>
      <c r="V113" s="291"/>
      <c r="W113" s="390">
        <f t="shared" si="240"/>
        <v>8.666666666666667E-2</v>
      </c>
      <c r="X113" s="391"/>
      <c r="Y113" s="377"/>
      <c r="Z113" s="389">
        <v>9.9999999999999995E-7</v>
      </c>
      <c r="AA113" s="290">
        <f t="shared" si="241"/>
        <v>0.22</v>
      </c>
      <c r="AB113" s="291">
        <v>-0.05</v>
      </c>
      <c r="AC113" s="390">
        <f t="shared" si="242"/>
        <v>0.27</v>
      </c>
      <c r="AD113" s="391"/>
      <c r="AE113" s="377"/>
      <c r="AF113" s="389">
        <v>9.9999999999999995E-7</v>
      </c>
      <c r="AG113" s="290">
        <f t="shared" si="243"/>
        <v>0.21</v>
      </c>
      <c r="AH113" s="291">
        <v>0.32</v>
      </c>
      <c r="AI113" s="390">
        <f t="shared" si="244"/>
        <v>0.11000000000000001</v>
      </c>
      <c r="AJ113" s="391"/>
      <c r="AK113" s="377"/>
      <c r="AL113" s="389">
        <v>9.9999999999999995E-7</v>
      </c>
      <c r="AM113" s="290">
        <f t="shared" si="245"/>
        <v>0.46</v>
      </c>
      <c r="AN113" s="291"/>
      <c r="AO113" s="390">
        <f t="shared" si="246"/>
        <v>8.3333333333333329E-2</v>
      </c>
      <c r="AP113" s="391"/>
      <c r="AQ113" s="377"/>
      <c r="AR113" s="389">
        <v>9.9999999999999995E-7</v>
      </c>
      <c r="AS113" s="290">
        <f t="shared" si="247"/>
        <v>0.39</v>
      </c>
      <c r="AT113" s="291"/>
      <c r="AU113" s="390">
        <f t="shared" si="248"/>
        <v>8.3333333333333329E-2</v>
      </c>
      <c r="AV113" s="391"/>
      <c r="AW113" s="377"/>
      <c r="AX113" s="389">
        <v>9.9999999999999995E-7</v>
      </c>
      <c r="AY113" s="290">
        <f t="shared" si="249"/>
        <v>0.48</v>
      </c>
      <c r="AZ113" s="291"/>
      <c r="BA113" s="390">
        <f t="shared" si="250"/>
        <v>0.26333333333333336</v>
      </c>
      <c r="BB113" s="391"/>
      <c r="BC113" s="377"/>
      <c r="BD113" s="389">
        <v>9.9999999999999995E-7</v>
      </c>
      <c r="BE113" s="290">
        <f t="shared" si="251"/>
        <v>-0.27</v>
      </c>
      <c r="BF113" s="291"/>
      <c r="BG113" s="390">
        <f t="shared" si="252"/>
        <v>9.0000000000000011E-2</v>
      </c>
      <c r="BH113" s="391"/>
      <c r="BI113" s="377"/>
      <c r="BJ113" s="389">
        <v>9.9999999999999995E-7</v>
      </c>
      <c r="BK113" s="290">
        <f t="shared" si="253"/>
        <v>0.48</v>
      </c>
      <c r="BL113" s="291"/>
      <c r="BM113" s="390">
        <f t="shared" si="254"/>
        <v>0.26333333333333336</v>
      </c>
      <c r="BN113" s="391"/>
      <c r="BO113" s="377"/>
      <c r="BP113" s="389">
        <v>9.9999999999999995E-7</v>
      </c>
      <c r="BQ113" s="290">
        <f t="shared" si="255"/>
        <v>-0.56000000000000005</v>
      </c>
      <c r="BR113" s="291"/>
      <c r="BS113" s="390">
        <f t="shared" si="256"/>
        <v>8.666666666666667E-2</v>
      </c>
      <c r="BT113" s="391"/>
      <c r="BU113" s="377"/>
      <c r="BV113" s="389">
        <v>9.9999999999999995E-7</v>
      </c>
      <c r="BW113" s="290">
        <f t="shared" si="257"/>
        <v>-0.5</v>
      </c>
      <c r="BX113" s="291"/>
      <c r="BY113" s="390">
        <f t="shared" si="258"/>
        <v>9.3333333333333338E-2</v>
      </c>
      <c r="BZ113" s="391"/>
      <c r="CA113" s="377"/>
      <c r="CB113" s="389">
        <v>9.9999999999999995E-7</v>
      </c>
      <c r="CC113" s="290">
        <f t="shared" si="230"/>
        <v>0</v>
      </c>
      <c r="CD113" s="291">
        <f t="shared" si="262"/>
        <v>-0.7</v>
      </c>
      <c r="CE113" s="390">
        <f t="shared" si="259"/>
        <v>0.7</v>
      </c>
      <c r="CF113" s="391"/>
      <c r="CG113" s="403"/>
      <c r="CH113" s="389">
        <v>9.9999999999999995E-7</v>
      </c>
      <c r="CI113" s="290">
        <f t="shared" si="231"/>
        <v>0.03</v>
      </c>
      <c r="CJ113" s="291">
        <f t="shared" si="231"/>
        <v>-0.06</v>
      </c>
      <c r="CK113" s="390">
        <f t="shared" si="260"/>
        <v>0.09</v>
      </c>
      <c r="CL113" s="391"/>
      <c r="CN113" s="389">
        <v>9.9999999999999995E-7</v>
      </c>
      <c r="CO113" s="290">
        <f t="shared" si="232"/>
        <v>-0.79</v>
      </c>
      <c r="CP113" s="291">
        <f t="shared" si="232"/>
        <v>-0.08</v>
      </c>
      <c r="CQ113" s="390">
        <f t="shared" si="261"/>
        <v>0.71000000000000008</v>
      </c>
      <c r="CR113" s="391"/>
    </row>
    <row r="114" spans="2:96" ht="13">
      <c r="B114" s="389">
        <v>2</v>
      </c>
      <c r="C114" s="290">
        <v>-0.18</v>
      </c>
      <c r="D114" s="290">
        <f t="shared" si="233"/>
        <v>-0.33</v>
      </c>
      <c r="E114" s="390">
        <f t="shared" si="234"/>
        <v>0.15000000000000002</v>
      </c>
      <c r="F114" s="933">
        <f ca="1">VLOOKUP(F110,B114:E119,4)</f>
        <v>0.05</v>
      </c>
      <c r="G114" s="392"/>
      <c r="H114" s="389">
        <v>2</v>
      </c>
      <c r="I114" s="291">
        <v>-0.26</v>
      </c>
      <c r="J114" s="291">
        <f t="shared" si="235"/>
        <v>-0.19</v>
      </c>
      <c r="K114" s="390">
        <f t="shared" si="236"/>
        <v>7.0000000000000007E-2</v>
      </c>
      <c r="L114" s="933">
        <f ca="1">VLOOKUP(L110,H114:K119,4)</f>
        <v>4.9999999999999989E-2</v>
      </c>
      <c r="M114" s="392"/>
      <c r="N114" s="389">
        <v>2</v>
      </c>
      <c r="O114" s="764">
        <v>-0.31</v>
      </c>
      <c r="P114" s="291">
        <f t="shared" si="237"/>
        <v>-0.2</v>
      </c>
      <c r="Q114" s="390">
        <f t="shared" si="238"/>
        <v>0.10999999999999999</v>
      </c>
      <c r="R114" s="933">
        <f ca="1">VLOOKUP(R110,N114:Q119,4)</f>
        <v>9.0000000000000011E-2</v>
      </c>
      <c r="S114" s="377"/>
      <c r="T114" s="389">
        <v>2</v>
      </c>
      <c r="U114" s="290">
        <f t="shared" si="239"/>
        <v>-0.51</v>
      </c>
      <c r="V114" s="291"/>
      <c r="W114" s="390">
        <f t="shared" si="240"/>
        <v>8.666666666666667E-2</v>
      </c>
      <c r="X114" s="933">
        <f ca="1">VLOOKUP(X110,T114:W119,4)</f>
        <v>8.666666666666667E-2</v>
      </c>
      <c r="Y114" s="377"/>
      <c r="Z114" s="389">
        <v>2</v>
      </c>
      <c r="AA114" s="290">
        <f t="shared" si="241"/>
        <v>0.27</v>
      </c>
      <c r="AB114" s="291">
        <v>0</v>
      </c>
      <c r="AC114" s="390">
        <f t="shared" si="242"/>
        <v>8.666666666666667E-2</v>
      </c>
      <c r="AD114" s="933">
        <f ca="1">VLOOKUP(AD110,Z114:AC119,4)</f>
        <v>0.37</v>
      </c>
      <c r="AE114" s="377"/>
      <c r="AF114" s="389">
        <v>2</v>
      </c>
      <c r="AG114" s="290">
        <f t="shared" si="243"/>
        <v>0.25</v>
      </c>
      <c r="AH114" s="291">
        <v>0.35</v>
      </c>
      <c r="AI114" s="390">
        <f t="shared" si="244"/>
        <v>9.9999999999999978E-2</v>
      </c>
      <c r="AJ114" s="933">
        <f ca="1">VLOOKUP(AJ110,AF114:AI119,4)</f>
        <v>0.49</v>
      </c>
      <c r="AK114" s="377"/>
      <c r="AL114" s="389">
        <v>2</v>
      </c>
      <c r="AM114" s="290">
        <f t="shared" si="245"/>
        <v>0.48</v>
      </c>
      <c r="AN114" s="291"/>
      <c r="AO114" s="390">
        <f t="shared" si="246"/>
        <v>8.3333333333333329E-2</v>
      </c>
      <c r="AP114" s="933">
        <f ca="1">VLOOKUP(AP110,AL114:AO119,4)</f>
        <v>8.3333333333333329E-2</v>
      </c>
      <c r="AQ114" s="377"/>
      <c r="AR114" s="389">
        <v>2</v>
      </c>
      <c r="AS114" s="290">
        <f t="shared" si="247"/>
        <v>0.4</v>
      </c>
      <c r="AT114" s="291"/>
      <c r="AU114" s="390">
        <f t="shared" si="248"/>
        <v>8.3333333333333329E-2</v>
      </c>
      <c r="AV114" s="933">
        <f ca="1">VLOOKUP(AV110,AR114:AU119,4)</f>
        <v>8.3333333333333329E-2</v>
      </c>
      <c r="AW114" s="377"/>
      <c r="AX114" s="389">
        <v>2</v>
      </c>
      <c r="AY114" s="290">
        <f t="shared" si="249"/>
        <v>0.48</v>
      </c>
      <c r="AZ114" s="291"/>
      <c r="BA114" s="390">
        <f t="shared" si="250"/>
        <v>0.26333333333333336</v>
      </c>
      <c r="BB114" s="933">
        <f ca="1">VLOOKUP(BB110,AX114:BA119,4)</f>
        <v>0.26333333333333336</v>
      </c>
      <c r="BC114" s="377"/>
      <c r="BD114" s="389">
        <v>2</v>
      </c>
      <c r="BE114" s="290">
        <f t="shared" si="251"/>
        <v>-0.27</v>
      </c>
      <c r="BF114" s="291"/>
      <c r="BG114" s="390">
        <f t="shared" si="252"/>
        <v>9.0000000000000011E-2</v>
      </c>
      <c r="BH114" s="933">
        <f ca="1">VLOOKUP(BH110,BD114:BG119,4)</f>
        <v>9.0000000000000011E-2</v>
      </c>
      <c r="BI114" s="377"/>
      <c r="BJ114" s="389">
        <v>2</v>
      </c>
      <c r="BK114" s="290">
        <f t="shared" si="253"/>
        <v>0.48</v>
      </c>
      <c r="BL114" s="291"/>
      <c r="BM114" s="390">
        <f t="shared" si="254"/>
        <v>0.26333333333333336</v>
      </c>
      <c r="BN114" s="933">
        <f ca="1">VLOOKUP(BN110,BJ114:BM119,4)</f>
        <v>0.26333333333333336</v>
      </c>
      <c r="BO114" s="377"/>
      <c r="BP114" s="389">
        <v>2</v>
      </c>
      <c r="BQ114" s="290">
        <f t="shared" si="255"/>
        <v>-0.51</v>
      </c>
      <c r="BR114" s="291"/>
      <c r="BS114" s="390">
        <f t="shared" si="256"/>
        <v>8.666666666666667E-2</v>
      </c>
      <c r="BT114" s="933">
        <f ca="1">VLOOKUP(BT110,BP114:BS119,4)</f>
        <v>8.666666666666667E-2</v>
      </c>
      <c r="BU114" s="377"/>
      <c r="BV114" s="389">
        <v>2</v>
      </c>
      <c r="BW114" s="290">
        <f t="shared" si="257"/>
        <v>-0.57999999999999996</v>
      </c>
      <c r="BX114" s="291"/>
      <c r="BY114" s="390">
        <f t="shared" si="258"/>
        <v>9.3333333333333338E-2</v>
      </c>
      <c r="BZ114" s="933">
        <f ca="1">VLOOKUP(BZ110,BV114:BY119,4)</f>
        <v>9.3333333333333338E-2</v>
      </c>
      <c r="CA114" s="377"/>
      <c r="CB114" s="389">
        <v>2</v>
      </c>
      <c r="CC114" s="290">
        <f t="shared" si="230"/>
        <v>0</v>
      </c>
      <c r="CD114" s="291">
        <f t="shared" si="262"/>
        <v>-0.7</v>
      </c>
      <c r="CE114" s="390">
        <f t="shared" si="259"/>
        <v>0.19999999999999998</v>
      </c>
      <c r="CF114" s="933">
        <f ca="1">VLOOKUP(CF110,CB114:CE119,4)</f>
        <v>0.19999999999999998</v>
      </c>
      <c r="CG114" s="404"/>
      <c r="CH114" s="389">
        <v>2</v>
      </c>
      <c r="CI114" s="290">
        <f t="shared" si="231"/>
        <v>0.04</v>
      </c>
      <c r="CJ114" s="291">
        <f t="shared" si="231"/>
        <v>-0.04</v>
      </c>
      <c r="CK114" s="390">
        <f t="shared" si="260"/>
        <v>0.08</v>
      </c>
      <c r="CL114" s="933">
        <f ca="1">VLOOKUP(CL110,CH114:CK119,4)</f>
        <v>4.0000000000000008E-2</v>
      </c>
      <c r="CN114" s="389">
        <v>2</v>
      </c>
      <c r="CO114" s="290">
        <f t="shared" si="232"/>
        <v>-0.7</v>
      </c>
      <c r="CP114" s="291">
        <f t="shared" si="232"/>
        <v>-0.05</v>
      </c>
      <c r="CQ114" s="390">
        <f t="shared" si="261"/>
        <v>0.64999999999999991</v>
      </c>
      <c r="CR114" s="933">
        <f ca="1">VLOOKUP(CR110,CN114:CQ119,4)</f>
        <v>3.0000000000000027E-2</v>
      </c>
    </row>
    <row r="115" spans="2:96" ht="13">
      <c r="B115" s="389">
        <v>8</v>
      </c>
      <c r="C115" s="290">
        <v>-0.11</v>
      </c>
      <c r="D115" s="290">
        <f t="shared" si="233"/>
        <v>-0.24</v>
      </c>
      <c r="E115" s="390">
        <f t="shared" si="234"/>
        <v>0.13</v>
      </c>
      <c r="F115" s="391"/>
      <c r="G115" s="392"/>
      <c r="H115" s="389">
        <v>8</v>
      </c>
      <c r="I115" s="291">
        <v>-0.16</v>
      </c>
      <c r="J115" s="291">
        <f t="shared" si="235"/>
        <v>-0.12</v>
      </c>
      <c r="K115" s="390">
        <f t="shared" si="236"/>
        <v>4.0000000000000008E-2</v>
      </c>
      <c r="L115" s="391"/>
      <c r="M115" s="392"/>
      <c r="N115" s="389">
        <v>8</v>
      </c>
      <c r="O115" s="764">
        <v>-0.18</v>
      </c>
      <c r="P115" s="291">
        <f t="shared" si="237"/>
        <v>-0.16</v>
      </c>
      <c r="Q115" s="390">
        <f t="shared" si="238"/>
        <v>1.999999999999999E-2</v>
      </c>
      <c r="R115" s="391"/>
      <c r="S115" s="377"/>
      <c r="T115" s="389">
        <v>8</v>
      </c>
      <c r="U115" s="290">
        <f t="shared" si="239"/>
        <v>-0.26</v>
      </c>
      <c r="V115" s="291"/>
      <c r="W115" s="390">
        <f t="shared" si="240"/>
        <v>8.666666666666667E-2</v>
      </c>
      <c r="X115" s="391"/>
      <c r="Y115" s="377"/>
      <c r="Z115" s="389">
        <v>8</v>
      </c>
      <c r="AA115" s="290">
        <f t="shared" si="241"/>
        <v>0.25</v>
      </c>
      <c r="AB115" s="291">
        <v>0.13</v>
      </c>
      <c r="AC115" s="390">
        <f t="shared" si="242"/>
        <v>0.12</v>
      </c>
      <c r="AD115" s="391"/>
      <c r="AE115" s="377"/>
      <c r="AF115" s="389">
        <v>8</v>
      </c>
      <c r="AG115" s="290">
        <f t="shared" si="243"/>
        <v>0.24</v>
      </c>
      <c r="AH115" s="291">
        <v>0.44</v>
      </c>
      <c r="AI115" s="390">
        <f t="shared" si="244"/>
        <v>0.2</v>
      </c>
      <c r="AJ115" s="391"/>
      <c r="AK115" s="377"/>
      <c r="AL115" s="389">
        <v>8</v>
      </c>
      <c r="AM115" s="290">
        <f t="shared" si="245"/>
        <v>0.48</v>
      </c>
      <c r="AN115" s="291"/>
      <c r="AO115" s="390">
        <f t="shared" si="246"/>
        <v>8.3333333333333329E-2</v>
      </c>
      <c r="AP115" s="391"/>
      <c r="AQ115" s="377"/>
      <c r="AR115" s="389">
        <v>8</v>
      </c>
      <c r="AS115" s="290">
        <f t="shared" si="247"/>
        <v>0.38</v>
      </c>
      <c r="AT115" s="291"/>
      <c r="AU115" s="390">
        <f t="shared" si="248"/>
        <v>8.3333333333333329E-2</v>
      </c>
      <c r="AV115" s="391"/>
      <c r="AW115" s="377"/>
      <c r="AX115" s="389">
        <v>8</v>
      </c>
      <c r="AY115" s="290">
        <f t="shared" si="249"/>
        <v>0.46</v>
      </c>
      <c r="AZ115" s="291"/>
      <c r="BA115" s="390">
        <f t="shared" si="250"/>
        <v>0.26333333333333336</v>
      </c>
      <c r="BB115" s="391"/>
      <c r="BC115" s="377"/>
      <c r="BD115" s="389">
        <v>8</v>
      </c>
      <c r="BE115" s="290">
        <f t="shared" si="251"/>
        <v>-0.03</v>
      </c>
      <c r="BF115" s="291"/>
      <c r="BG115" s="390">
        <f t="shared" si="252"/>
        <v>9.0000000000000011E-2</v>
      </c>
      <c r="BH115" s="391"/>
      <c r="BI115" s="377"/>
      <c r="BJ115" s="389">
        <v>8</v>
      </c>
      <c r="BK115" s="290">
        <f t="shared" si="253"/>
        <v>0.46</v>
      </c>
      <c r="BL115" s="291"/>
      <c r="BM115" s="390">
        <f t="shared" si="254"/>
        <v>0.26333333333333336</v>
      </c>
      <c r="BN115" s="391"/>
      <c r="BO115" s="377"/>
      <c r="BP115" s="389">
        <v>8</v>
      </c>
      <c r="BQ115" s="290">
        <f t="shared" si="255"/>
        <v>-0.26</v>
      </c>
      <c r="BR115" s="291"/>
      <c r="BS115" s="390">
        <f t="shared" si="256"/>
        <v>8.666666666666667E-2</v>
      </c>
      <c r="BT115" s="391"/>
      <c r="BU115" s="377"/>
      <c r="BV115" s="389">
        <v>8</v>
      </c>
      <c r="BW115" s="290">
        <f t="shared" si="257"/>
        <v>-0.3</v>
      </c>
      <c r="BX115" s="291"/>
      <c r="BY115" s="390">
        <f t="shared" si="258"/>
        <v>9.3333333333333338E-2</v>
      </c>
      <c r="BZ115" s="391"/>
      <c r="CA115" s="377"/>
      <c r="CB115" s="389">
        <v>8</v>
      </c>
      <c r="CC115" s="290">
        <f t="shared" si="230"/>
        <v>0</v>
      </c>
      <c r="CD115" s="291">
        <f t="shared" si="262"/>
        <v>-0.7</v>
      </c>
      <c r="CE115" s="390">
        <f t="shared" si="259"/>
        <v>0.19999999999999998</v>
      </c>
      <c r="CF115" s="391"/>
      <c r="CG115" s="404"/>
      <c r="CH115" s="389">
        <v>8</v>
      </c>
      <c r="CI115" s="290">
        <f t="shared" si="231"/>
        <v>0.08</v>
      </c>
      <c r="CJ115" s="291">
        <f t="shared" si="231"/>
        <v>0.01</v>
      </c>
      <c r="CK115" s="390">
        <f t="shared" si="260"/>
        <v>7.0000000000000007E-2</v>
      </c>
      <c r="CL115" s="391"/>
      <c r="CN115" s="389">
        <v>8</v>
      </c>
      <c r="CO115" s="290">
        <f t="shared" si="232"/>
        <v>-0.46</v>
      </c>
      <c r="CP115" s="291">
        <f t="shared" si="232"/>
        <v>0.06</v>
      </c>
      <c r="CQ115" s="390">
        <f t="shared" si="261"/>
        <v>0.52</v>
      </c>
      <c r="CR115" s="391"/>
    </row>
    <row r="116" spans="2:96" ht="13">
      <c r="B116" s="389">
        <v>37</v>
      </c>
      <c r="C116" s="290">
        <v>0.11</v>
      </c>
      <c r="D116" s="290">
        <f t="shared" si="233"/>
        <v>0.16</v>
      </c>
      <c r="E116" s="390">
        <f t="shared" si="234"/>
        <v>0.05</v>
      </c>
      <c r="F116" s="933">
        <f ca="1">VLOOKUP(F112,B114:E119,4)</f>
        <v>0.1</v>
      </c>
      <c r="G116" s="392"/>
      <c r="H116" s="389">
        <v>37</v>
      </c>
      <c r="I116" s="291">
        <v>0.14000000000000001</v>
      </c>
      <c r="J116" s="291">
        <f t="shared" si="235"/>
        <v>0.19</v>
      </c>
      <c r="K116" s="390">
        <f t="shared" si="236"/>
        <v>4.9999999999999989E-2</v>
      </c>
      <c r="L116" s="933">
        <f ca="1">VLOOKUP(L112,H114:K119,4)</f>
        <v>8.0000000000000016E-2</v>
      </c>
      <c r="M116" s="392"/>
      <c r="N116" s="389">
        <v>37</v>
      </c>
      <c r="O116" s="764">
        <v>-0.14000000000000001</v>
      </c>
      <c r="P116" s="291">
        <f t="shared" si="237"/>
        <v>-0.05</v>
      </c>
      <c r="Q116" s="390">
        <f t="shared" si="238"/>
        <v>9.0000000000000011E-2</v>
      </c>
      <c r="R116" s="933">
        <f ca="1">VLOOKUP(R112,N114:Q119,4)</f>
        <v>0.13999999999999999</v>
      </c>
      <c r="S116" s="377"/>
      <c r="T116" s="389">
        <v>37</v>
      </c>
      <c r="U116" s="290">
        <f t="shared" si="239"/>
        <v>0.57999999999999996</v>
      </c>
      <c r="V116" s="291"/>
      <c r="W116" s="390">
        <f t="shared" si="240"/>
        <v>8.666666666666667E-2</v>
      </c>
      <c r="X116" s="933">
        <f ca="1">VLOOKUP(X112,T114:W119,4)</f>
        <v>8.666666666666667E-2</v>
      </c>
      <c r="Y116" s="377"/>
      <c r="Z116" s="389">
        <v>37</v>
      </c>
      <c r="AA116" s="290">
        <f t="shared" si="241"/>
        <v>0.22</v>
      </c>
      <c r="AB116" s="291">
        <v>0.59</v>
      </c>
      <c r="AC116" s="390">
        <f t="shared" si="242"/>
        <v>0.37</v>
      </c>
      <c r="AD116" s="933">
        <f ca="1">VLOOKUP(AD112,Z114:AC119,4)</f>
        <v>0.45000000000000007</v>
      </c>
      <c r="AE116" s="377"/>
      <c r="AF116" s="389">
        <v>37</v>
      </c>
      <c r="AG116" s="290">
        <f t="shared" si="243"/>
        <v>0.23</v>
      </c>
      <c r="AH116" s="291">
        <v>0.72</v>
      </c>
      <c r="AI116" s="390">
        <f t="shared" si="244"/>
        <v>0.49</v>
      </c>
      <c r="AJ116" s="933">
        <f ca="1">VLOOKUP(AJ112,AF114:AI119,4)</f>
        <v>0.52</v>
      </c>
      <c r="AK116" s="377"/>
      <c r="AL116" s="389">
        <v>37</v>
      </c>
      <c r="AM116" s="290">
        <f t="shared" si="245"/>
        <v>0.47</v>
      </c>
      <c r="AN116" s="291"/>
      <c r="AO116" s="390">
        <f t="shared" si="246"/>
        <v>8.3333333333333329E-2</v>
      </c>
      <c r="AP116" s="933">
        <f ca="1">VLOOKUP(AP112,AL114:AO119,4)</f>
        <v>8.3333333333333329E-2</v>
      </c>
      <c r="AQ116" s="377"/>
      <c r="AR116" s="389">
        <v>37</v>
      </c>
      <c r="AS116" s="290">
        <f t="shared" si="247"/>
        <v>0.33</v>
      </c>
      <c r="AT116" s="291"/>
      <c r="AU116" s="390">
        <f t="shared" si="248"/>
        <v>8.3333333333333329E-2</v>
      </c>
      <c r="AV116" s="933">
        <f ca="1">VLOOKUP(AV112,AR114:AU119,4)</f>
        <v>8.3333333333333329E-2</v>
      </c>
      <c r="AW116" s="377"/>
      <c r="AX116" s="389">
        <v>37</v>
      </c>
      <c r="AY116" s="290">
        <f t="shared" si="249"/>
        <v>0.39</v>
      </c>
      <c r="AZ116" s="291"/>
      <c r="BA116" s="390">
        <f t="shared" si="250"/>
        <v>0.26333333333333336</v>
      </c>
      <c r="BB116" s="933">
        <f ca="1">VLOOKUP(BB112,AX114:BA119,4)</f>
        <v>0.26333333333333336</v>
      </c>
      <c r="BC116" s="377"/>
      <c r="BD116" s="389">
        <v>37</v>
      </c>
      <c r="BE116" s="290">
        <f t="shared" si="251"/>
        <v>0.72</v>
      </c>
      <c r="BF116" s="291"/>
      <c r="BG116" s="390">
        <f t="shared" si="252"/>
        <v>9.0000000000000011E-2</v>
      </c>
      <c r="BH116" s="933">
        <f ca="1">VLOOKUP(BH112,BD114:BG119,4)</f>
        <v>9.0000000000000011E-2</v>
      </c>
      <c r="BI116" s="377"/>
      <c r="BJ116" s="389">
        <v>37</v>
      </c>
      <c r="BK116" s="290">
        <f t="shared" si="253"/>
        <v>0.39</v>
      </c>
      <c r="BL116" s="291"/>
      <c r="BM116" s="390">
        <f t="shared" si="254"/>
        <v>0.26333333333333336</v>
      </c>
      <c r="BN116" s="933">
        <f ca="1">VLOOKUP(BN112,BJ114:BM119,4)</f>
        <v>0.26333333333333336</v>
      </c>
      <c r="BO116" s="377"/>
      <c r="BP116" s="389">
        <v>37</v>
      </c>
      <c r="BQ116" s="290">
        <f t="shared" si="255"/>
        <v>0.49</v>
      </c>
      <c r="BR116" s="291"/>
      <c r="BS116" s="390">
        <f t="shared" si="256"/>
        <v>8.666666666666667E-2</v>
      </c>
      <c r="BT116" s="933">
        <f ca="1">VLOOKUP(BT112,BP114:BS119,4)</f>
        <v>8.666666666666667E-2</v>
      </c>
      <c r="BU116" s="377"/>
      <c r="BV116" s="389">
        <v>37</v>
      </c>
      <c r="BW116" s="290">
        <f t="shared" si="257"/>
        <v>0.61</v>
      </c>
      <c r="BX116" s="291"/>
      <c r="BY116" s="390">
        <f t="shared" si="258"/>
        <v>9.3333333333333338E-2</v>
      </c>
      <c r="BZ116" s="933">
        <f ca="1">VLOOKUP(BZ112,BV114:BY119,4)</f>
        <v>9.3333333333333338E-2</v>
      </c>
      <c r="CA116" s="377"/>
      <c r="CB116" s="389">
        <v>37</v>
      </c>
      <c r="CC116" s="290">
        <f t="shared" si="230"/>
        <v>0</v>
      </c>
      <c r="CD116" s="291">
        <f t="shared" si="262"/>
        <v>-0.6</v>
      </c>
      <c r="CE116" s="390">
        <f t="shared" si="259"/>
        <v>0.19999999999999998</v>
      </c>
      <c r="CF116" s="933">
        <f ca="1">VLOOKUP(CF112,CB114:CE119,4)</f>
        <v>0.19999999999999998</v>
      </c>
      <c r="CG116" s="404"/>
      <c r="CH116" s="389">
        <v>37</v>
      </c>
      <c r="CI116" s="290">
        <f t="shared" si="231"/>
        <v>0.23</v>
      </c>
      <c r="CJ116" s="291">
        <f t="shared" si="231"/>
        <v>0.19</v>
      </c>
      <c r="CK116" s="390">
        <f t="shared" si="260"/>
        <v>4.0000000000000008E-2</v>
      </c>
      <c r="CL116" s="933">
        <f ca="1">VLOOKUP(CL112,CH114:CK119,4)</f>
        <v>4.0000000000000008E-2</v>
      </c>
      <c r="CN116" s="389">
        <v>37</v>
      </c>
      <c r="CO116" s="290">
        <f t="shared" si="232"/>
        <v>0.42</v>
      </c>
      <c r="CP116" s="291">
        <f t="shared" si="232"/>
        <v>0.45</v>
      </c>
      <c r="CQ116" s="390">
        <f t="shared" si="261"/>
        <v>3.0000000000000027E-2</v>
      </c>
      <c r="CR116" s="933">
        <f ca="1">VLOOKUP(CR112,CN114:CQ119,4)</f>
        <v>4.9999999999999933E-2</v>
      </c>
    </row>
    <row r="117" spans="2:96" ht="13">
      <c r="B117" s="389">
        <v>44</v>
      </c>
      <c r="C117" s="290">
        <v>0.15</v>
      </c>
      <c r="D117" s="290">
        <f t="shared" si="233"/>
        <v>0.25</v>
      </c>
      <c r="E117" s="390">
        <f t="shared" si="234"/>
        <v>0.1</v>
      </c>
      <c r="F117" s="934"/>
      <c r="G117" s="392"/>
      <c r="H117" s="389">
        <v>44</v>
      </c>
      <c r="I117" s="291">
        <v>0.18</v>
      </c>
      <c r="J117" s="291">
        <f t="shared" si="235"/>
        <v>0.26</v>
      </c>
      <c r="K117" s="390">
        <f t="shared" si="236"/>
        <v>8.0000000000000016E-2</v>
      </c>
      <c r="L117" s="934"/>
      <c r="M117" s="392"/>
      <c r="N117" s="389">
        <v>44</v>
      </c>
      <c r="O117" s="764">
        <v>-0.18</v>
      </c>
      <c r="P117" s="291">
        <f t="shared" si="237"/>
        <v>-0.04</v>
      </c>
      <c r="Q117" s="390">
        <f t="shared" si="238"/>
        <v>0.13999999999999999</v>
      </c>
      <c r="R117" s="934"/>
      <c r="S117" s="377"/>
      <c r="T117" s="389">
        <v>44</v>
      </c>
      <c r="U117" s="290">
        <f t="shared" si="239"/>
        <v>0.7</v>
      </c>
      <c r="V117" s="291"/>
      <c r="W117" s="390">
        <f t="shared" si="240"/>
        <v>8.666666666666667E-2</v>
      </c>
      <c r="X117" s="934"/>
      <c r="Y117" s="377"/>
      <c r="Z117" s="389">
        <v>44</v>
      </c>
      <c r="AA117" s="290">
        <f t="shared" si="241"/>
        <v>0.21</v>
      </c>
      <c r="AB117" s="291">
        <v>0.66</v>
      </c>
      <c r="AC117" s="390">
        <f t="shared" si="242"/>
        <v>0.45000000000000007</v>
      </c>
      <c r="AD117" s="934"/>
      <c r="AE117" s="377"/>
      <c r="AF117" s="389">
        <v>44</v>
      </c>
      <c r="AG117" s="290">
        <f t="shared" si="243"/>
        <v>0.23</v>
      </c>
      <c r="AH117" s="291">
        <v>0.75</v>
      </c>
      <c r="AI117" s="390">
        <f t="shared" si="244"/>
        <v>0.52</v>
      </c>
      <c r="AJ117" s="934"/>
      <c r="AK117" s="377"/>
      <c r="AL117" s="389">
        <v>44</v>
      </c>
      <c r="AM117" s="290">
        <f t="shared" si="245"/>
        <v>0.48</v>
      </c>
      <c r="AN117" s="291"/>
      <c r="AO117" s="390">
        <f t="shared" si="246"/>
        <v>8.3333333333333329E-2</v>
      </c>
      <c r="AP117" s="934"/>
      <c r="AQ117" s="377"/>
      <c r="AR117" s="389">
        <v>44</v>
      </c>
      <c r="AS117" s="290">
        <f t="shared" si="247"/>
        <v>0.33</v>
      </c>
      <c r="AT117" s="291"/>
      <c r="AU117" s="390">
        <f t="shared" si="248"/>
        <v>8.3333333333333329E-2</v>
      </c>
      <c r="AV117" s="934"/>
      <c r="AW117" s="377"/>
      <c r="AX117" s="389">
        <v>44</v>
      </c>
      <c r="AY117" s="290">
        <f t="shared" si="249"/>
        <v>0.37</v>
      </c>
      <c r="AZ117" s="291"/>
      <c r="BA117" s="390">
        <f t="shared" si="250"/>
        <v>0.26333333333333336</v>
      </c>
      <c r="BB117" s="934"/>
      <c r="BC117" s="377"/>
      <c r="BD117" s="389">
        <v>44</v>
      </c>
      <c r="BE117" s="290">
        <f t="shared" si="251"/>
        <v>0.82</v>
      </c>
      <c r="BF117" s="291"/>
      <c r="BG117" s="390">
        <f t="shared" si="252"/>
        <v>9.0000000000000011E-2</v>
      </c>
      <c r="BH117" s="934"/>
      <c r="BI117" s="377"/>
      <c r="BJ117" s="389">
        <v>44</v>
      </c>
      <c r="BK117" s="290">
        <f t="shared" si="253"/>
        <v>0.37</v>
      </c>
      <c r="BL117" s="291"/>
      <c r="BM117" s="390">
        <f t="shared" si="254"/>
        <v>0.26333333333333336</v>
      </c>
      <c r="BN117" s="934"/>
      <c r="BO117" s="377"/>
      <c r="BP117" s="389">
        <v>44</v>
      </c>
      <c r="BQ117" s="290">
        <f t="shared" si="255"/>
        <v>0.56999999999999995</v>
      </c>
      <c r="BR117" s="291"/>
      <c r="BS117" s="390">
        <f t="shared" si="256"/>
        <v>8.666666666666667E-2</v>
      </c>
      <c r="BT117" s="934"/>
      <c r="BU117" s="377"/>
      <c r="BV117" s="389">
        <v>44</v>
      </c>
      <c r="BW117" s="290">
        <f t="shared" si="257"/>
        <v>0.73</v>
      </c>
      <c r="BX117" s="291"/>
      <c r="BY117" s="390">
        <f t="shared" si="258"/>
        <v>9.3333333333333338E-2</v>
      </c>
      <c r="BZ117" s="934"/>
      <c r="CA117" s="377"/>
      <c r="CB117" s="389">
        <v>44</v>
      </c>
      <c r="CC117" s="290">
        <f t="shared" si="230"/>
        <v>-1</v>
      </c>
      <c r="CD117" s="291">
        <f t="shared" si="262"/>
        <v>-0.7</v>
      </c>
      <c r="CE117" s="390">
        <f t="shared" si="259"/>
        <v>0.19999999999999998</v>
      </c>
      <c r="CF117" s="934"/>
      <c r="CG117" s="405"/>
      <c r="CH117" s="389">
        <v>44</v>
      </c>
      <c r="CI117" s="290">
        <f t="shared" si="231"/>
        <v>0.25</v>
      </c>
      <c r="CJ117" s="291">
        <f t="shared" si="231"/>
        <v>0.21</v>
      </c>
      <c r="CK117" s="390">
        <f t="shared" si="260"/>
        <v>4.0000000000000008E-2</v>
      </c>
      <c r="CL117" s="934"/>
      <c r="CN117" s="389">
        <v>44</v>
      </c>
      <c r="CO117" s="290">
        <f t="shared" si="232"/>
        <v>0.56999999999999995</v>
      </c>
      <c r="CP117" s="291">
        <f t="shared" si="232"/>
        <v>0.52</v>
      </c>
      <c r="CQ117" s="390">
        <f t="shared" si="261"/>
        <v>4.9999999999999933E-2</v>
      </c>
      <c r="CR117" s="934"/>
    </row>
    <row r="118" spans="2:96" ht="13">
      <c r="B118" s="389">
        <v>50</v>
      </c>
      <c r="C118" s="290">
        <v>0.18</v>
      </c>
      <c r="D118" s="290">
        <f t="shared" si="233"/>
        <v>0.32</v>
      </c>
      <c r="E118" s="390">
        <f t="shared" si="234"/>
        <v>0.14000000000000001</v>
      </c>
      <c r="F118" s="935">
        <f ca="1">(((F116-F114)/(F112-F110))*(F109-F110))+F114</f>
        <v>5.1357142857142844E-2</v>
      </c>
      <c r="G118" s="392"/>
      <c r="H118" s="389">
        <v>50</v>
      </c>
      <c r="I118" s="291">
        <v>0.2</v>
      </c>
      <c r="J118" s="291">
        <f t="shared" si="235"/>
        <v>0.31</v>
      </c>
      <c r="K118" s="390">
        <f t="shared" si="236"/>
        <v>0.10999999999999999</v>
      </c>
      <c r="L118" s="935">
        <f ca="1">(((L116-L114)/(L112-L110))*(L109-L110))+L114</f>
        <v>5.0814285714285694E-2</v>
      </c>
      <c r="M118" s="392"/>
      <c r="N118" s="389">
        <v>50</v>
      </c>
      <c r="O118" s="764">
        <v>0.2</v>
      </c>
      <c r="P118" s="291">
        <f t="shared" si="237"/>
        <v>-0.05</v>
      </c>
      <c r="Q118" s="390">
        <f t="shared" si="238"/>
        <v>0.25</v>
      </c>
      <c r="R118" s="935">
        <f ca="1">(((R116-R114)/(R112-R110))*(R109-R110))+R114</f>
        <v>9.1357142857142845E-2</v>
      </c>
      <c r="S118" s="377"/>
      <c r="T118" s="389">
        <v>50</v>
      </c>
      <c r="U118" s="290">
        <f t="shared" si="239"/>
        <v>0.79</v>
      </c>
      <c r="V118" s="291"/>
      <c r="W118" s="390">
        <f t="shared" si="240"/>
        <v>8.666666666666667E-2</v>
      </c>
      <c r="X118" s="935">
        <f ca="1">(((X116-X114)/(X112-X110))*(X109-X110))+X114</f>
        <v>8.666666666666667E-2</v>
      </c>
      <c r="Y118" s="377"/>
      <c r="Z118" s="389">
        <v>50</v>
      </c>
      <c r="AA118" s="290">
        <f t="shared" si="241"/>
        <v>0.21</v>
      </c>
      <c r="AB118" s="291">
        <v>0.7</v>
      </c>
      <c r="AC118" s="390">
        <f t="shared" si="242"/>
        <v>0.49</v>
      </c>
      <c r="AD118" s="935">
        <f ca="1">(((AD116-AD114)/(AD112-AD110))*(AD109-AD110))+AD114</f>
        <v>0.37217142857142854</v>
      </c>
      <c r="AE118" s="377"/>
      <c r="AF118" s="389">
        <v>50</v>
      </c>
      <c r="AG118" s="290">
        <f t="shared" si="243"/>
        <v>0.23</v>
      </c>
      <c r="AH118" s="291">
        <v>0.77</v>
      </c>
      <c r="AI118" s="390">
        <f t="shared" si="244"/>
        <v>0.54</v>
      </c>
      <c r="AJ118" s="935">
        <f ca="1">(((AJ116-AJ114)/(AJ112-AJ110))*(AJ109-AJ110))+AJ114</f>
        <v>0.4908142857142857</v>
      </c>
      <c r="AK118" s="377"/>
      <c r="AL118" s="389">
        <v>50</v>
      </c>
      <c r="AM118" s="290">
        <f t="shared" si="245"/>
        <v>0.48</v>
      </c>
      <c r="AN118" s="291"/>
      <c r="AO118" s="390">
        <f t="shared" si="246"/>
        <v>8.3333333333333329E-2</v>
      </c>
      <c r="AP118" s="935">
        <f ca="1">(((AP116-AP114)/(AP112-AP110))*(AP109-AP110))+AP114</f>
        <v>8.3333333333333329E-2</v>
      </c>
      <c r="AQ118" s="377"/>
      <c r="AR118" s="389">
        <v>50</v>
      </c>
      <c r="AS118" s="290">
        <f t="shared" si="247"/>
        <v>0.34</v>
      </c>
      <c r="AT118" s="291"/>
      <c r="AU118" s="390">
        <f t="shared" si="248"/>
        <v>8.3333333333333329E-2</v>
      </c>
      <c r="AV118" s="935">
        <f ca="1">(((AV116-AV114)/(AV112-AV110))*(AV109-AV110))+AV114</f>
        <v>8.3333333333333329E-2</v>
      </c>
      <c r="AW118" s="377"/>
      <c r="AX118" s="389">
        <v>50</v>
      </c>
      <c r="AY118" s="290">
        <f t="shared" si="249"/>
        <v>0.35</v>
      </c>
      <c r="AZ118" s="291"/>
      <c r="BA118" s="390">
        <f t="shared" si="250"/>
        <v>0.26333333333333336</v>
      </c>
      <c r="BB118" s="935">
        <f ca="1">(((BB116-BB114)/(BB112-BB110))*(BB109-BB110))+BB114</f>
        <v>0.26333333333333336</v>
      </c>
      <c r="BC118" s="377"/>
      <c r="BD118" s="389">
        <v>50</v>
      </c>
      <c r="BE118" s="290">
        <f t="shared" si="251"/>
        <v>0.87</v>
      </c>
      <c r="BF118" s="291"/>
      <c r="BG118" s="390">
        <f t="shared" si="252"/>
        <v>9.0000000000000011E-2</v>
      </c>
      <c r="BH118" s="935">
        <f ca="1">(((BH116-BH114)/(BH112-BH110))*(BH109-BH110))+BH114</f>
        <v>9.0000000000000011E-2</v>
      </c>
      <c r="BI118" s="377"/>
      <c r="BJ118" s="389">
        <v>50</v>
      </c>
      <c r="BK118" s="290">
        <f t="shared" si="253"/>
        <v>0.35</v>
      </c>
      <c r="BL118" s="291"/>
      <c r="BM118" s="390">
        <f t="shared" si="254"/>
        <v>0.26333333333333336</v>
      </c>
      <c r="BN118" s="935">
        <f ca="1">(((BN116-BN114)/(BN112-BN110))*(BN109-BN110))+BN114</f>
        <v>0.26333333333333336</v>
      </c>
      <c r="BO118" s="377"/>
      <c r="BP118" s="389">
        <v>50</v>
      </c>
      <c r="BQ118" s="290">
        <f t="shared" si="255"/>
        <v>0.62</v>
      </c>
      <c r="BR118" s="291"/>
      <c r="BS118" s="390">
        <f t="shared" si="256"/>
        <v>8.666666666666667E-2</v>
      </c>
      <c r="BT118" s="935">
        <f ca="1">(((BT116-BT114)/(BT112-BT110))*(BT109-BT110))+BT114</f>
        <v>8.666666666666667E-2</v>
      </c>
      <c r="BU118" s="377"/>
      <c r="BV118" s="389">
        <v>50</v>
      </c>
      <c r="BW118" s="290">
        <f t="shared" si="257"/>
        <v>0.81</v>
      </c>
      <c r="BX118" s="291"/>
      <c r="BY118" s="390">
        <f t="shared" si="258"/>
        <v>9.3333333333333338E-2</v>
      </c>
      <c r="BZ118" s="935">
        <f ca="1">(((BZ116-BZ114)/(BZ112-BZ110))*(BZ109-BZ110))+BZ114</f>
        <v>9.3333333333333338E-2</v>
      </c>
      <c r="CA118" s="377"/>
      <c r="CB118" s="389">
        <v>50</v>
      </c>
      <c r="CC118" s="290">
        <f t="shared" si="230"/>
        <v>-1.6</v>
      </c>
      <c r="CD118" s="291">
        <f t="shared" si="262"/>
        <v>-0.7</v>
      </c>
      <c r="CE118" s="390">
        <f t="shared" si="259"/>
        <v>0.30000000000000004</v>
      </c>
      <c r="CF118" s="935">
        <f ca="1">(((CF116-CF114)/(CF112-CF110))*(CF109-CF110))+CF114</f>
        <v>0.19999999999999998</v>
      </c>
      <c r="CH118" s="389">
        <v>50</v>
      </c>
      <c r="CI118" s="290">
        <f t="shared" si="231"/>
        <v>0.27</v>
      </c>
      <c r="CJ118" s="291">
        <f t="shared" si="231"/>
        <v>0.22</v>
      </c>
      <c r="CK118" s="390">
        <f t="shared" si="260"/>
        <v>5.0000000000000017E-2</v>
      </c>
      <c r="CL118" s="935">
        <f ca="1">(((CL116-CL114)/(CL112-CL110))*(CL109-CL110))+CL114</f>
        <v>4.0000000000000008E-2</v>
      </c>
      <c r="CN118" s="389">
        <v>50</v>
      </c>
      <c r="CO118" s="290">
        <f t="shared" si="232"/>
        <v>0.67</v>
      </c>
      <c r="CP118" s="291">
        <f t="shared" si="232"/>
        <v>0.56999999999999995</v>
      </c>
      <c r="CQ118" s="390">
        <f t="shared" si="261"/>
        <v>0.10000000000000009</v>
      </c>
      <c r="CR118" s="935">
        <f ca="1">(((CR116-CR114)/(CR112-CR110))*(CR109-CR110))+CR114</f>
        <v>3.054285714285716E-2</v>
      </c>
    </row>
    <row r="119" spans="2:96" ht="13">
      <c r="B119" s="389">
        <v>100</v>
      </c>
      <c r="C119" s="290">
        <v>0.26</v>
      </c>
      <c r="D119" s="290">
        <f t="shared" si="233"/>
        <v>0.75</v>
      </c>
      <c r="E119" s="390">
        <f t="shared" si="234"/>
        <v>0.49</v>
      </c>
      <c r="F119" s="391"/>
      <c r="G119" s="392"/>
      <c r="H119" s="389">
        <v>100</v>
      </c>
      <c r="I119" s="291">
        <v>0.13</v>
      </c>
      <c r="J119" s="291">
        <f t="shared" si="235"/>
        <v>0.61</v>
      </c>
      <c r="K119" s="390">
        <f t="shared" si="236"/>
        <v>0.48</v>
      </c>
      <c r="L119" s="391"/>
      <c r="M119" s="392"/>
      <c r="N119" s="389">
        <v>100</v>
      </c>
      <c r="O119" s="764">
        <v>-0.13</v>
      </c>
      <c r="P119" s="291">
        <f t="shared" si="237"/>
        <v>-0.17</v>
      </c>
      <c r="Q119" s="390">
        <f t="shared" si="238"/>
        <v>4.0000000000000008E-2</v>
      </c>
      <c r="R119" s="391"/>
      <c r="S119" s="377"/>
      <c r="T119" s="389">
        <v>100</v>
      </c>
      <c r="U119" s="290">
        <f t="shared" si="239"/>
        <v>0.82</v>
      </c>
      <c r="V119" s="291"/>
      <c r="W119" s="390">
        <f t="shared" si="240"/>
        <v>8.666666666666667E-2</v>
      </c>
      <c r="X119" s="391"/>
      <c r="Y119" s="377"/>
      <c r="Z119" s="389">
        <v>100</v>
      </c>
      <c r="AA119" s="290">
        <f t="shared" si="241"/>
        <v>0.28000000000000003</v>
      </c>
      <c r="AB119" s="291">
        <v>0.72</v>
      </c>
      <c r="AC119" s="390">
        <f t="shared" si="242"/>
        <v>0.43999999999999995</v>
      </c>
      <c r="AD119" s="391"/>
      <c r="AE119" s="377"/>
      <c r="AF119" s="389">
        <v>100</v>
      </c>
      <c r="AG119" s="290">
        <f t="shared" si="243"/>
        <v>0.33</v>
      </c>
      <c r="AH119" s="291">
        <v>0.61</v>
      </c>
      <c r="AI119" s="390">
        <f t="shared" si="244"/>
        <v>0.27999999999999997</v>
      </c>
      <c r="AJ119" s="391"/>
      <c r="AK119" s="377"/>
      <c r="AL119" s="389">
        <v>100</v>
      </c>
      <c r="AM119" s="290">
        <f t="shared" si="245"/>
        <v>0.57999999999999996</v>
      </c>
      <c r="AN119" s="291"/>
      <c r="AO119" s="390">
        <f t="shared" si="246"/>
        <v>8.3333333333333329E-2</v>
      </c>
      <c r="AP119" s="391"/>
      <c r="AQ119" s="377"/>
      <c r="AR119" s="389">
        <v>100</v>
      </c>
      <c r="AS119" s="290">
        <f t="shared" si="247"/>
        <v>0.43</v>
      </c>
      <c r="AT119" s="291"/>
      <c r="AU119" s="390">
        <f t="shared" si="248"/>
        <v>8.3333333333333329E-2</v>
      </c>
      <c r="AV119" s="391"/>
      <c r="AW119" s="377"/>
      <c r="AX119" s="389">
        <v>100</v>
      </c>
      <c r="AY119" s="290">
        <f t="shared" si="249"/>
        <v>0.19</v>
      </c>
      <c r="AZ119" s="291"/>
      <c r="BA119" s="390">
        <f t="shared" si="250"/>
        <v>0.26333333333333336</v>
      </c>
      <c r="BB119" s="391"/>
      <c r="BC119" s="377"/>
      <c r="BD119" s="389">
        <v>100</v>
      </c>
      <c r="BE119" s="290">
        <f t="shared" si="251"/>
        <v>0.71</v>
      </c>
      <c r="BF119" s="291"/>
      <c r="BG119" s="390">
        <f t="shared" si="252"/>
        <v>9.0000000000000011E-2</v>
      </c>
      <c r="BH119" s="391"/>
      <c r="BI119" s="377"/>
      <c r="BJ119" s="389">
        <v>100</v>
      </c>
      <c r="BK119" s="290">
        <f t="shared" si="253"/>
        <v>0.19</v>
      </c>
      <c r="BL119" s="291"/>
      <c r="BM119" s="390">
        <f t="shared" si="254"/>
        <v>0.26333333333333336</v>
      </c>
      <c r="BN119" s="391"/>
      <c r="BO119" s="377"/>
      <c r="BP119" s="389">
        <v>100</v>
      </c>
      <c r="BQ119" s="290">
        <f t="shared" si="255"/>
        <v>0.31</v>
      </c>
      <c r="BR119" s="291"/>
      <c r="BS119" s="390">
        <f t="shared" si="256"/>
        <v>8.666666666666667E-2</v>
      </c>
      <c r="BT119" s="391"/>
      <c r="BU119" s="377"/>
      <c r="BV119" s="389">
        <v>100</v>
      </c>
      <c r="BW119" s="290">
        <f t="shared" si="257"/>
        <v>0.66</v>
      </c>
      <c r="BX119" s="291"/>
      <c r="BY119" s="390">
        <f t="shared" si="258"/>
        <v>9.3333333333333338E-2</v>
      </c>
      <c r="BZ119" s="391"/>
      <c r="CA119" s="377"/>
      <c r="CB119" s="389">
        <v>100</v>
      </c>
      <c r="CC119" s="290">
        <f t="shared" si="230"/>
        <v>-1.7</v>
      </c>
      <c r="CD119" s="291">
        <f t="shared" si="262"/>
        <v>-0.7</v>
      </c>
      <c r="CE119" s="390">
        <f t="shared" si="259"/>
        <v>0.90000000000000013</v>
      </c>
      <c r="CF119" s="391"/>
      <c r="CH119" s="389">
        <v>100</v>
      </c>
      <c r="CI119" s="290">
        <f t="shared" si="231"/>
        <v>0.31</v>
      </c>
      <c r="CJ119" s="291">
        <f t="shared" si="231"/>
        <v>0.23</v>
      </c>
      <c r="CK119" s="390">
        <f t="shared" si="260"/>
        <v>7.9999999999999988E-2</v>
      </c>
      <c r="CL119" s="391"/>
      <c r="CN119" s="389">
        <v>100</v>
      </c>
      <c r="CO119" s="290">
        <f t="shared" si="232"/>
        <v>0.95</v>
      </c>
      <c r="CP119" s="291">
        <f t="shared" si="232"/>
        <v>0.81</v>
      </c>
      <c r="CQ119" s="390">
        <f t="shared" si="261"/>
        <v>0.1399999999999999</v>
      </c>
      <c r="CR119" s="391"/>
    </row>
    <row r="120" spans="2:96" ht="13">
      <c r="B120" s="389">
        <v>150</v>
      </c>
      <c r="C120" s="290">
        <v>0.28000000000000003</v>
      </c>
      <c r="D120" s="290">
        <f t="shared" si="233"/>
        <v>0.71</v>
      </c>
      <c r="E120" s="390">
        <f t="shared" si="234"/>
        <v>0.42999999999999994</v>
      </c>
      <c r="F120" s="391"/>
      <c r="G120" s="392"/>
      <c r="H120" s="389">
        <v>150</v>
      </c>
      <c r="I120" s="291">
        <v>-0.02</v>
      </c>
      <c r="J120" s="291">
        <f t="shared" si="235"/>
        <v>0.56999999999999995</v>
      </c>
      <c r="K120" s="390">
        <f t="shared" si="236"/>
        <v>0.59</v>
      </c>
      <c r="L120" s="391"/>
      <c r="M120" s="392"/>
      <c r="N120" s="389">
        <v>150</v>
      </c>
      <c r="O120" s="764">
        <v>-0.68</v>
      </c>
      <c r="P120" s="291">
        <f t="shared" si="237"/>
        <v>-0.26</v>
      </c>
      <c r="Q120" s="390">
        <f t="shared" si="238"/>
        <v>0.42000000000000004</v>
      </c>
      <c r="R120" s="391"/>
      <c r="S120" s="377"/>
      <c r="T120" s="389">
        <v>150</v>
      </c>
      <c r="U120" s="290">
        <f t="shared" si="239"/>
        <v>0.09</v>
      </c>
      <c r="V120" s="291"/>
      <c r="W120" s="390">
        <f t="shared" si="240"/>
        <v>8.666666666666667E-2</v>
      </c>
      <c r="X120" s="391"/>
      <c r="Y120" s="377"/>
      <c r="Z120" s="389">
        <v>150</v>
      </c>
      <c r="AA120" s="290">
        <f t="shared" si="241"/>
        <v>0.44</v>
      </c>
      <c r="AB120" s="291">
        <v>0.34</v>
      </c>
      <c r="AC120" s="390">
        <f t="shared" si="242"/>
        <v>9.9999999999999978E-2</v>
      </c>
      <c r="AD120" s="391"/>
      <c r="AE120" s="377"/>
      <c r="AF120" s="389">
        <v>150</v>
      </c>
      <c r="AG120" s="290">
        <f t="shared" si="243"/>
        <v>0.51</v>
      </c>
      <c r="AH120" s="291">
        <v>0.16</v>
      </c>
      <c r="AI120" s="390">
        <f t="shared" si="244"/>
        <v>0.35</v>
      </c>
      <c r="AJ120" s="391"/>
      <c r="AK120" s="377"/>
      <c r="AL120" s="389">
        <v>150</v>
      </c>
      <c r="AM120" s="290">
        <f t="shared" si="245"/>
        <v>0.74</v>
      </c>
      <c r="AN120" s="291"/>
      <c r="AO120" s="390">
        <f t="shared" si="246"/>
        <v>8.3333333333333329E-2</v>
      </c>
      <c r="AP120" s="391"/>
      <c r="AQ120" s="377"/>
      <c r="AR120" s="389">
        <v>150</v>
      </c>
      <c r="AS120" s="290">
        <f t="shared" si="247"/>
        <v>0.62</v>
      </c>
      <c r="AT120" s="291"/>
      <c r="AU120" s="390">
        <f t="shared" si="248"/>
        <v>8.3333333333333329E-2</v>
      </c>
      <c r="AV120" s="391"/>
      <c r="AW120" s="377"/>
      <c r="AX120" s="389">
        <v>150</v>
      </c>
      <c r="AY120" s="290">
        <f t="shared" si="249"/>
        <v>-0.02</v>
      </c>
      <c r="AZ120" s="291"/>
      <c r="BA120" s="390">
        <f t="shared" si="250"/>
        <v>0.26333333333333336</v>
      </c>
      <c r="BB120" s="391"/>
      <c r="BC120" s="377"/>
      <c r="BD120" s="389">
        <v>150</v>
      </c>
      <c r="BE120" s="290">
        <f t="shared" si="251"/>
        <v>0.09</v>
      </c>
      <c r="BF120" s="291"/>
      <c r="BG120" s="390">
        <f t="shared" si="252"/>
        <v>9.0000000000000011E-2</v>
      </c>
      <c r="BH120" s="391"/>
      <c r="BI120" s="377"/>
      <c r="BJ120" s="389">
        <v>150</v>
      </c>
      <c r="BK120" s="290">
        <f t="shared" si="253"/>
        <v>-0.02</v>
      </c>
      <c r="BL120" s="291"/>
      <c r="BM120" s="390">
        <f t="shared" si="254"/>
        <v>0.26333333333333336</v>
      </c>
      <c r="BN120" s="391"/>
      <c r="BO120" s="377"/>
      <c r="BP120" s="389">
        <v>150</v>
      </c>
      <c r="BQ120" s="290">
        <f t="shared" si="255"/>
        <v>-0.56999999999999995</v>
      </c>
      <c r="BR120" s="291"/>
      <c r="BS120" s="390">
        <f t="shared" si="256"/>
        <v>8.666666666666667E-2</v>
      </c>
      <c r="BT120" s="391"/>
      <c r="BU120" s="377"/>
      <c r="BV120" s="389">
        <v>150</v>
      </c>
      <c r="BW120" s="290">
        <f t="shared" si="257"/>
        <v>-0.22</v>
      </c>
      <c r="BX120" s="291"/>
      <c r="BY120" s="390">
        <f t="shared" si="258"/>
        <v>9.3333333333333338E-2</v>
      </c>
      <c r="BZ120" s="391"/>
      <c r="CA120" s="377"/>
      <c r="CB120" s="389">
        <v>150</v>
      </c>
      <c r="CC120" s="290">
        <f t="shared" si="230"/>
        <v>-0.9</v>
      </c>
      <c r="CD120" s="291">
        <f t="shared" si="262"/>
        <v>-0.7</v>
      </c>
      <c r="CE120" s="390">
        <f t="shared" si="259"/>
        <v>1</v>
      </c>
      <c r="CF120" s="391"/>
      <c r="CH120" s="389">
        <v>150</v>
      </c>
      <c r="CI120" s="290">
        <f t="shared" si="231"/>
        <v>0.3</v>
      </c>
      <c r="CJ120" s="291">
        <f t="shared" si="231"/>
        <v>0.22</v>
      </c>
      <c r="CK120" s="390">
        <f t="shared" si="260"/>
        <v>7.9999999999999988E-2</v>
      </c>
      <c r="CL120" s="391"/>
      <c r="CN120" s="389">
        <v>150</v>
      </c>
      <c r="CO120" s="290">
        <f t="shared" si="232"/>
        <v>0.49</v>
      </c>
      <c r="CP120" s="291">
        <f t="shared" si="232"/>
        <v>0.87</v>
      </c>
      <c r="CQ120" s="390">
        <f t="shared" si="261"/>
        <v>0.38</v>
      </c>
      <c r="CR120" s="391"/>
    </row>
    <row r="121" spans="2:96" ht="13">
      <c r="B121" s="389">
        <v>200</v>
      </c>
      <c r="C121" s="290">
        <v>0.45</v>
      </c>
      <c r="D121" s="290">
        <f t="shared" si="233"/>
        <v>-0.06</v>
      </c>
      <c r="E121" s="390">
        <f t="shared" si="234"/>
        <v>0.51</v>
      </c>
      <c r="F121" s="391"/>
      <c r="G121" s="392"/>
      <c r="H121" s="389">
        <v>200</v>
      </c>
      <c r="I121" s="291">
        <v>0.21</v>
      </c>
      <c r="J121" s="291">
        <f t="shared" si="235"/>
        <v>0.11</v>
      </c>
      <c r="K121" s="390">
        <f t="shared" si="236"/>
        <v>9.9999999999999992E-2</v>
      </c>
      <c r="L121" s="391"/>
      <c r="M121" s="392"/>
      <c r="N121" s="389">
        <v>200</v>
      </c>
      <c r="O121" s="764">
        <v>-0.38</v>
      </c>
      <c r="P121" s="291">
        <f t="shared" si="237"/>
        <v>-0.03</v>
      </c>
      <c r="Q121" s="390">
        <f t="shared" si="238"/>
        <v>0.35</v>
      </c>
      <c r="R121" s="391"/>
      <c r="S121" s="377"/>
      <c r="T121" s="389">
        <v>200</v>
      </c>
      <c r="U121" s="290">
        <f t="shared" si="239"/>
        <v>-0.86</v>
      </c>
      <c r="V121" s="291"/>
      <c r="W121" s="390">
        <f t="shared" si="240"/>
        <v>8.666666666666667E-2</v>
      </c>
      <c r="X121" s="391"/>
      <c r="Y121" s="377"/>
      <c r="Z121" s="389">
        <v>200</v>
      </c>
      <c r="AA121" s="290">
        <f t="shared" si="241"/>
        <v>0.67</v>
      </c>
      <c r="AB121" s="291">
        <v>-0.12</v>
      </c>
      <c r="AC121" s="390">
        <f t="shared" si="242"/>
        <v>0.79</v>
      </c>
      <c r="AD121" s="391"/>
      <c r="AE121" s="377"/>
      <c r="AF121" s="389">
        <v>200</v>
      </c>
      <c r="AG121" s="290">
        <f t="shared" si="243"/>
        <v>0.76</v>
      </c>
      <c r="AH121" s="291">
        <v>-0.25</v>
      </c>
      <c r="AI121" s="390">
        <f t="shared" si="244"/>
        <v>1.01</v>
      </c>
      <c r="AJ121" s="391"/>
      <c r="AK121" s="377"/>
      <c r="AL121" s="389">
        <v>200</v>
      </c>
      <c r="AM121" s="290">
        <f t="shared" si="245"/>
        <v>0.96</v>
      </c>
      <c r="AN121" s="291"/>
      <c r="AO121" s="390">
        <f t="shared" si="246"/>
        <v>8.3333333333333329E-2</v>
      </c>
      <c r="AP121" s="391"/>
      <c r="AQ121" s="377"/>
      <c r="AR121" s="389">
        <v>200</v>
      </c>
      <c r="AS121" s="290">
        <f t="shared" si="247"/>
        <v>0.82</v>
      </c>
      <c r="AT121" s="291"/>
      <c r="AU121" s="390">
        <f t="shared" si="248"/>
        <v>8.3333333333333329E-2</v>
      </c>
      <c r="AV121" s="391"/>
      <c r="AW121" s="377"/>
      <c r="AX121" s="389">
        <v>200</v>
      </c>
      <c r="AY121" s="290">
        <f t="shared" si="249"/>
        <v>-0.26</v>
      </c>
      <c r="AZ121" s="291"/>
      <c r="BA121" s="390">
        <f t="shared" si="250"/>
        <v>0.26333333333333336</v>
      </c>
      <c r="BB121" s="391"/>
      <c r="BC121" s="377"/>
      <c r="BD121" s="389">
        <v>200</v>
      </c>
      <c r="BE121" s="290">
        <f t="shared" si="251"/>
        <v>-0.06</v>
      </c>
      <c r="BF121" s="291"/>
      <c r="BG121" s="390">
        <f t="shared" si="252"/>
        <v>9.0000000000000011E-2</v>
      </c>
      <c r="BH121" s="391"/>
      <c r="BI121" s="377"/>
      <c r="BJ121" s="389">
        <v>200</v>
      </c>
      <c r="BK121" s="290">
        <f t="shared" si="253"/>
        <v>-0.26</v>
      </c>
      <c r="BL121" s="291"/>
      <c r="BM121" s="390">
        <f t="shared" si="254"/>
        <v>0.26333333333333336</v>
      </c>
      <c r="BN121" s="391"/>
      <c r="BO121" s="377"/>
      <c r="BP121" s="389">
        <v>200</v>
      </c>
      <c r="BQ121" s="290">
        <f t="shared" si="255"/>
        <v>-1.06</v>
      </c>
      <c r="BR121" s="291"/>
      <c r="BS121" s="390">
        <f t="shared" si="256"/>
        <v>8.666666666666667E-2</v>
      </c>
      <c r="BT121" s="391"/>
      <c r="BU121" s="377"/>
      <c r="BV121" s="389">
        <v>200</v>
      </c>
      <c r="BW121" s="290">
        <f t="shared" si="257"/>
        <v>-0.93</v>
      </c>
      <c r="BX121" s="291"/>
      <c r="BY121" s="390">
        <f t="shared" si="258"/>
        <v>9.3333333333333338E-2</v>
      </c>
      <c r="BZ121" s="391"/>
      <c r="CA121" s="377"/>
      <c r="CB121" s="389">
        <v>200</v>
      </c>
      <c r="CC121" s="290">
        <f t="shared" si="230"/>
        <v>0</v>
      </c>
      <c r="CD121" s="291">
        <f t="shared" si="262"/>
        <v>-0.6</v>
      </c>
      <c r="CE121" s="390">
        <f t="shared" si="259"/>
        <v>0.30000000000000004</v>
      </c>
      <c r="CF121" s="391"/>
      <c r="CH121" s="389">
        <v>200</v>
      </c>
      <c r="CI121" s="290">
        <f t="shared" si="231"/>
        <v>0.34</v>
      </c>
      <c r="CJ121" s="291">
        <f t="shared" si="231"/>
        <v>0.47</v>
      </c>
      <c r="CK121" s="390">
        <f t="shared" si="260"/>
        <v>0.12999999999999995</v>
      </c>
      <c r="CL121" s="391"/>
      <c r="CN121" s="389">
        <v>200</v>
      </c>
      <c r="CO121" s="290">
        <f t="shared" si="232"/>
        <v>-0.26</v>
      </c>
      <c r="CP121" s="291">
        <f t="shared" si="232"/>
        <v>0.99</v>
      </c>
      <c r="CQ121" s="390">
        <f t="shared" si="261"/>
        <v>1.25</v>
      </c>
      <c r="CR121" s="391"/>
    </row>
    <row r="122" spans="2:96" s="377" customFormat="1" ht="13">
      <c r="B122" s="397"/>
      <c r="C122" s="378"/>
      <c r="D122" s="378"/>
      <c r="E122" s="395"/>
      <c r="F122" s="395"/>
      <c r="G122" s="395"/>
      <c r="H122" s="395"/>
      <c r="I122" s="395"/>
      <c r="J122" s="395"/>
      <c r="K122" s="395"/>
      <c r="L122" s="395"/>
      <c r="M122" s="395"/>
      <c r="N122" s="395"/>
      <c r="R122" s="395"/>
      <c r="T122" s="378"/>
      <c r="U122" s="378"/>
      <c r="V122" s="378"/>
      <c r="W122" s="378"/>
      <c r="X122" s="395"/>
      <c r="Y122" s="378"/>
      <c r="Z122" s="378"/>
      <c r="AA122" s="378"/>
      <c r="AB122" s="378"/>
      <c r="AD122" s="395"/>
      <c r="AH122" s="378"/>
      <c r="AJ122" s="395"/>
      <c r="AN122" s="378"/>
      <c r="AP122" s="395"/>
      <c r="AT122" s="378"/>
      <c r="AV122" s="395"/>
      <c r="AZ122" s="378"/>
      <c r="BB122" s="395"/>
      <c r="BF122" s="378"/>
      <c r="BH122" s="395"/>
      <c r="BL122" s="378"/>
      <c r="BN122" s="395"/>
      <c r="BR122" s="378"/>
      <c r="BT122" s="395"/>
      <c r="BX122" s="378"/>
      <c r="BZ122" s="395"/>
      <c r="CD122" s="378"/>
      <c r="CF122" s="395"/>
      <c r="CJ122" s="378"/>
      <c r="CL122" s="395"/>
      <c r="CP122" s="378"/>
      <c r="CR122" s="395"/>
    </row>
    <row r="123" spans="2:96" ht="24.75" customHeight="1">
      <c r="B123" s="1198" t="s">
        <v>394</v>
      </c>
      <c r="C123" s="1200" t="str">
        <f>C108</f>
        <v>Thermocouple Data Logger, Merek : MADGETECH, Model : OctTemp 2000, SN : P40270</v>
      </c>
      <c r="D123" s="1200"/>
      <c r="E123" s="1200"/>
      <c r="F123" s="380" t="s">
        <v>648</v>
      </c>
      <c r="G123" s="381"/>
      <c r="H123" s="1198" t="str">
        <f>B123</f>
        <v>CH 9</v>
      </c>
      <c r="I123" s="1200" t="str">
        <f>I108</f>
        <v>Thermocouple Data Logger, Merek : MADGETECH, Model : OctTemp 2000, SN : P41878</v>
      </c>
      <c r="J123" s="1200"/>
      <c r="K123" s="1200"/>
      <c r="L123" s="380" t="s">
        <v>648</v>
      </c>
      <c r="M123" s="381"/>
      <c r="N123" s="1198" t="str">
        <f>H123</f>
        <v>CH 9</v>
      </c>
      <c r="O123" s="1200" t="str">
        <f>O108</f>
        <v>Mobile Corder, Merek : Yokogawa, Model : GP 10, SN : S5T810599</v>
      </c>
      <c r="P123" s="1203"/>
      <c r="Q123" s="1200"/>
      <c r="R123" s="380" t="s">
        <v>648</v>
      </c>
      <c r="S123" s="377"/>
      <c r="T123" s="1198" t="str">
        <f>N123</f>
        <v>CH 9</v>
      </c>
      <c r="U123" s="1200" t="str">
        <f>U108</f>
        <v>Wireless Temperature Recorder, Merek : HIOKI, Model : LR 8510, SN : 200936000</v>
      </c>
      <c r="V123" s="1203"/>
      <c r="W123" s="1200"/>
      <c r="X123" s="380" t="s">
        <v>648</v>
      </c>
      <c r="Y123" s="377"/>
      <c r="Z123" s="1198" t="str">
        <f>T123</f>
        <v>CH 9</v>
      </c>
      <c r="AA123" s="1200" t="str">
        <f>AA108</f>
        <v>Wireless Temperature Recorder, Merek : HIOKI, Model : LR 8510, SN : 200936001</v>
      </c>
      <c r="AB123" s="1203"/>
      <c r="AC123" s="1200"/>
      <c r="AD123" s="380" t="s">
        <v>648</v>
      </c>
      <c r="AE123" s="377"/>
      <c r="AF123" s="1198" t="str">
        <f>Z123</f>
        <v>CH 9</v>
      </c>
      <c r="AG123" s="1200" t="str">
        <f>AG108</f>
        <v>Wireless Temperature Recorder, Merek : HIOKI, Model : LR 8510, SN : 200821397</v>
      </c>
      <c r="AH123" s="1203"/>
      <c r="AI123" s="1200"/>
      <c r="AJ123" s="380" t="s">
        <v>648</v>
      </c>
      <c r="AK123" s="377"/>
      <c r="AL123" s="1198" t="str">
        <f>AF123</f>
        <v>CH 9</v>
      </c>
      <c r="AM123" s="1200" t="str">
        <f>AM108</f>
        <v>Wireless Temperature Recorder, Merek : HIOKI, Model : LR 8510, SN : 210411983</v>
      </c>
      <c r="AN123" s="1203"/>
      <c r="AO123" s="1200"/>
      <c r="AP123" s="380" t="s">
        <v>648</v>
      </c>
      <c r="AQ123" s="406"/>
      <c r="AR123" s="1198" t="str">
        <f>AL123</f>
        <v>CH 9</v>
      </c>
      <c r="AS123" s="1200" t="str">
        <f>AS108</f>
        <v>Wireless Temperature Recorder, Merek : HIOKI, Model : LR 8510, SN : 210411984</v>
      </c>
      <c r="AT123" s="1203"/>
      <c r="AU123" s="1200"/>
      <c r="AV123" s="380" t="s">
        <v>648</v>
      </c>
      <c r="AW123" s="377"/>
      <c r="AX123" s="1198" t="str">
        <f>AR123</f>
        <v>CH 9</v>
      </c>
      <c r="AY123" s="1200" t="str">
        <f>AY108</f>
        <v>Wireless Temperature Recorder, Merek : HIOKI, Model : LR 8510, SN : 210411985</v>
      </c>
      <c r="AZ123" s="1203"/>
      <c r="BA123" s="1200"/>
      <c r="BB123" s="380" t="s">
        <v>648</v>
      </c>
      <c r="BC123" s="377"/>
      <c r="BD123" s="1198" t="str">
        <f>AX123</f>
        <v>CH 9</v>
      </c>
      <c r="BE123" s="1200" t="str">
        <f>BE108</f>
        <v>Wireless Temperature Recorder, Merek : HIOKI, Model : LR 8510, SN : 210746054</v>
      </c>
      <c r="BF123" s="1203"/>
      <c r="BG123" s="1200"/>
      <c r="BH123" s="380" t="s">
        <v>648</v>
      </c>
      <c r="BI123" s="377"/>
      <c r="BJ123" s="1198" t="str">
        <f>BD123</f>
        <v>CH 9</v>
      </c>
      <c r="BK123" s="1200" t="str">
        <f>BK108</f>
        <v>Wireless Temperature Recorder, Merek : HIOKI, Model : LR 8510, SN : 210746055</v>
      </c>
      <c r="BL123" s="1203"/>
      <c r="BM123" s="1200"/>
      <c r="BN123" s="380" t="s">
        <v>648</v>
      </c>
      <c r="BO123" s="377"/>
      <c r="BP123" s="1198" t="str">
        <f>BJ123</f>
        <v>CH 9</v>
      </c>
      <c r="BQ123" s="1200" t="str">
        <f>BQ108</f>
        <v>Wireless Temperature Recorder, Merek : HIOKI, Model : LR 8510, SN : 210746056</v>
      </c>
      <c r="BR123" s="1203"/>
      <c r="BS123" s="1200"/>
      <c r="BT123" s="380" t="s">
        <v>648</v>
      </c>
      <c r="BU123" s="377"/>
      <c r="BV123" s="1198" t="str">
        <f>BP123</f>
        <v>CH 9</v>
      </c>
      <c r="BW123" s="1200" t="str">
        <f>BW108</f>
        <v>Wireless Temperature Recorder, Merek : HIOKI, Model : LR 8510, SN : 200821396</v>
      </c>
      <c r="BX123" s="1203"/>
      <c r="BY123" s="1200"/>
      <c r="BZ123" s="380" t="s">
        <v>648</v>
      </c>
      <c r="CA123" s="377"/>
      <c r="CB123" s="1198" t="str">
        <f>BV123</f>
        <v>CH 9</v>
      </c>
      <c r="CC123" s="1200" t="str">
        <f t="shared" ref="CC123:CC136" si="263">CC108</f>
        <v>Reference Thermometer, Merek : APPA, Model : APPA51, SN : 03002948</v>
      </c>
      <c r="CD123" s="1203"/>
      <c r="CE123" s="1200"/>
      <c r="CF123" s="380" t="s">
        <v>648</v>
      </c>
      <c r="CH123" s="1198" t="str">
        <f>CB123</f>
        <v>CH 9</v>
      </c>
      <c r="CI123" s="1200" t="str">
        <f t="shared" ref="CI123:CJ136" si="264">CI108</f>
        <v>Reference Thermometer, Merek : FLUKE, Model : 1524, SN : 1803038</v>
      </c>
      <c r="CJ123" s="1203"/>
      <c r="CK123" s="1200"/>
      <c r="CL123" s="380" t="s">
        <v>648</v>
      </c>
      <c r="CN123" s="1198" t="str">
        <f>CH123</f>
        <v>CH 9</v>
      </c>
      <c r="CO123" s="1200" t="str">
        <f t="shared" ref="CO123:CP136" si="265">CO108</f>
        <v>Reference Thermometer, Merek : FLUKE, Model : 1524, SN : 1803037</v>
      </c>
      <c r="CP123" s="1203"/>
      <c r="CQ123" s="1200"/>
      <c r="CR123" s="380" t="s">
        <v>648</v>
      </c>
    </row>
    <row r="124" spans="2:96" ht="13">
      <c r="B124" s="1199"/>
      <c r="C124" s="387"/>
      <c r="D124" s="387"/>
      <c r="E124" s="384" t="s">
        <v>386</v>
      </c>
      <c r="F124" s="388">
        <f ca="1">$B$290</f>
        <v>37.19</v>
      </c>
      <c r="G124" s="385"/>
      <c r="H124" s="1199"/>
      <c r="I124" s="386"/>
      <c r="J124" s="387"/>
      <c r="K124" s="384" t="s">
        <v>386</v>
      </c>
      <c r="L124" s="388">
        <f ca="1">$B$290</f>
        <v>37.19</v>
      </c>
      <c r="M124" s="385"/>
      <c r="N124" s="1199"/>
      <c r="O124" s="386">
        <f>O19</f>
        <v>2021</v>
      </c>
      <c r="P124" s="387">
        <f>P19</f>
        <v>2023</v>
      </c>
      <c r="Q124" s="384" t="s">
        <v>386</v>
      </c>
      <c r="R124" s="388">
        <f ca="1">$B$290</f>
        <v>37.19</v>
      </c>
      <c r="S124" s="377"/>
      <c r="T124" s="1199"/>
      <c r="U124" s="386">
        <f>U109</f>
        <v>2021</v>
      </c>
      <c r="V124" s="387"/>
      <c r="W124" s="384" t="s">
        <v>386</v>
      </c>
      <c r="X124" s="388">
        <f ca="1">$B$290</f>
        <v>37.19</v>
      </c>
      <c r="Y124" s="377"/>
      <c r="Z124" s="1199"/>
      <c r="AA124" s="386">
        <f>AA109</f>
        <v>2023</v>
      </c>
      <c r="AB124" s="387">
        <f>AB109</f>
        <v>2021</v>
      </c>
      <c r="AC124" s="384" t="s">
        <v>386</v>
      </c>
      <c r="AD124" s="388">
        <f ca="1">$B$290</f>
        <v>37.19</v>
      </c>
      <c r="AE124" s="377"/>
      <c r="AF124" s="1199"/>
      <c r="AG124" s="386">
        <f>AG109</f>
        <v>2023</v>
      </c>
      <c r="AH124" s="386">
        <f>AH109</f>
        <v>2021</v>
      </c>
      <c r="AI124" s="384" t="s">
        <v>386</v>
      </c>
      <c r="AJ124" s="388">
        <f ca="1">$B$290</f>
        <v>37.19</v>
      </c>
      <c r="AK124" s="377"/>
      <c r="AL124" s="1199"/>
      <c r="AM124" s="386">
        <f>AM109</f>
        <v>2021</v>
      </c>
      <c r="AN124" s="387"/>
      <c r="AO124" s="384" t="s">
        <v>386</v>
      </c>
      <c r="AP124" s="388">
        <f ca="1">$B$290</f>
        <v>37.19</v>
      </c>
      <c r="AQ124" s="406"/>
      <c r="AR124" s="1199"/>
      <c r="AS124" s="386">
        <f>AS109</f>
        <v>2021</v>
      </c>
      <c r="AT124" s="387"/>
      <c r="AU124" s="384" t="s">
        <v>386</v>
      </c>
      <c r="AV124" s="388">
        <f ca="1">$B$290</f>
        <v>37.19</v>
      </c>
      <c r="AW124" s="377"/>
      <c r="AX124" s="1199"/>
      <c r="AY124" s="386">
        <f>AY109</f>
        <v>2021</v>
      </c>
      <c r="AZ124" s="387"/>
      <c r="BA124" s="384" t="s">
        <v>386</v>
      </c>
      <c r="BB124" s="388">
        <f ca="1">$B$290</f>
        <v>37.19</v>
      </c>
      <c r="BC124" s="377"/>
      <c r="BD124" s="1199"/>
      <c r="BE124" s="386">
        <f>BE109</f>
        <v>2021</v>
      </c>
      <c r="BF124" s="387"/>
      <c r="BG124" s="384" t="s">
        <v>386</v>
      </c>
      <c r="BH124" s="388">
        <f ca="1">$B$290</f>
        <v>37.19</v>
      </c>
      <c r="BI124" s="377"/>
      <c r="BJ124" s="1199"/>
      <c r="BK124" s="386">
        <f>BK109</f>
        <v>2021</v>
      </c>
      <c r="BL124" s="387"/>
      <c r="BM124" s="384" t="s">
        <v>386</v>
      </c>
      <c r="BN124" s="388">
        <f ca="1">$B$290</f>
        <v>37.19</v>
      </c>
      <c r="BO124" s="377"/>
      <c r="BP124" s="1199"/>
      <c r="BQ124" s="386">
        <f>BQ109</f>
        <v>2021</v>
      </c>
      <c r="BR124" s="387"/>
      <c r="BS124" s="384" t="s">
        <v>386</v>
      </c>
      <c r="BT124" s="388">
        <f ca="1">$B$290</f>
        <v>37.19</v>
      </c>
      <c r="BU124" s="377"/>
      <c r="BV124" s="1199"/>
      <c r="BW124" s="386">
        <f>BW109</f>
        <v>2022</v>
      </c>
      <c r="BX124" s="387"/>
      <c r="BY124" s="384" t="s">
        <v>386</v>
      </c>
      <c r="BZ124" s="388">
        <f ca="1">$B$290</f>
        <v>37.19</v>
      </c>
      <c r="CA124" s="377"/>
      <c r="CB124" s="1199"/>
      <c r="CC124" s="386">
        <f t="shared" si="263"/>
        <v>2022</v>
      </c>
      <c r="CD124" s="387">
        <v>2020</v>
      </c>
      <c r="CE124" s="384" t="s">
        <v>386</v>
      </c>
      <c r="CF124" s="388">
        <f ca="1">$B$290</f>
        <v>37.19</v>
      </c>
      <c r="CG124" s="400"/>
      <c r="CH124" s="1199"/>
      <c r="CI124" s="386">
        <f t="shared" si="264"/>
        <v>2021</v>
      </c>
      <c r="CJ124" s="387">
        <f>CJ109</f>
        <v>2019</v>
      </c>
      <c r="CK124" s="384" t="s">
        <v>386</v>
      </c>
      <c r="CL124" s="388">
        <f ca="1">$B$290</f>
        <v>37.19</v>
      </c>
      <c r="CN124" s="1199"/>
      <c r="CO124" s="386">
        <f t="shared" si="265"/>
        <v>2021</v>
      </c>
      <c r="CP124" s="387">
        <f>CP109</f>
        <v>2020</v>
      </c>
      <c r="CQ124" s="384" t="s">
        <v>386</v>
      </c>
      <c r="CR124" s="388">
        <f ca="1">$B$290</f>
        <v>37.19</v>
      </c>
    </row>
    <row r="125" spans="2:96" ht="13">
      <c r="B125" s="389">
        <v>-20</v>
      </c>
      <c r="C125" s="290">
        <v>9.9999999999999995E-7</v>
      </c>
      <c r="D125" s="290">
        <v>9.9999999999999995E-7</v>
      </c>
      <c r="E125" s="390">
        <v>9.9999999999999995E-7</v>
      </c>
      <c r="F125" s="932">
        <f ca="1">IF($L$4&lt;=$B$10,$B$9,IF($L$4&lt;=$B$11,$B$10,IF($L$4&lt;=$B$12,$B$11,IF($L$4&lt;=$B$13,$B$12,IF($L$4&lt;=$B$14,$B$13)))))</f>
        <v>37</v>
      </c>
      <c r="G125" s="392"/>
      <c r="H125" s="389">
        <v>-20</v>
      </c>
      <c r="I125" s="290">
        <v>9.9999999999999995E-7</v>
      </c>
      <c r="J125" s="290">
        <v>9.9999999999999995E-7</v>
      </c>
      <c r="K125" s="390">
        <v>9.9999999999999995E-7</v>
      </c>
      <c r="L125" s="932">
        <f ca="1">IF($L$4&lt;=$B$10,$B$9,IF($L$4&lt;=$B$11,$B$10,IF($L$4&lt;=$B$12,$B$11,IF($L$4&lt;=$B$13,$B$12,IF($L$4&lt;=$B$14,$B$13)))))</f>
        <v>37</v>
      </c>
      <c r="M125" s="392"/>
      <c r="N125" s="389">
        <v>-20</v>
      </c>
      <c r="O125" s="291">
        <v>9.9999999999999995E-7</v>
      </c>
      <c r="P125" s="291">
        <f t="shared" ref="P125:P136" si="266">E225</f>
        <v>-0.45</v>
      </c>
      <c r="Q125" s="390">
        <f>IF(OR(O125=0,P125=0),$E$237/3,((MAX(O125:P125)-(MIN(O125:P125)))))</f>
        <v>0.45000099999999998</v>
      </c>
      <c r="R125" s="932">
        <f ca="1">IF($L$4&lt;=$B$10,$B$9,IF($L$4&lt;=$B$11,$B$10,IF($L$4&lt;=$B$12,$B$11,IF($L$4&lt;=$B$13,$B$12,IF($L$4&lt;=$B$14,$B$13)))))</f>
        <v>37</v>
      </c>
      <c r="S125" s="377"/>
      <c r="T125" s="389">
        <v>-20</v>
      </c>
      <c r="U125" s="290">
        <f t="shared" ref="U125:U136" si="267">F225</f>
        <v>-1.4</v>
      </c>
      <c r="V125" s="291"/>
      <c r="W125" s="390">
        <f t="shared" ref="W125:W136" si="268">IF(OR(U125=0,V125=0),$F$237/3,((MAX(U125:V125)-(MIN(U125:V125)))))</f>
        <v>8.3333333333333329E-2</v>
      </c>
      <c r="X125" s="932">
        <f ca="1">IF($L$4&lt;=$B$10,$B$9,IF($L$4&lt;=$B$11,$B$10,IF($L$4&lt;=$B$12,$B$11,IF($L$4&lt;=$B$13,$B$12,IF($L$4&lt;=$B$14,$B$13)))))</f>
        <v>37</v>
      </c>
      <c r="Y125" s="377"/>
      <c r="Z125" s="389">
        <v>-20</v>
      </c>
      <c r="AA125" s="290">
        <f t="shared" ref="AA125:AA136" si="269">G225</f>
        <v>0.2</v>
      </c>
      <c r="AB125" s="291"/>
      <c r="AC125" s="390">
        <f t="shared" ref="AC125:AC136" si="270">IF(OR(AA125=0,AB125=0),$G$237/3,((MAX(AA125:AB125)-(MIN(AA125:AB125)))))</f>
        <v>8.666666666666667E-2</v>
      </c>
      <c r="AD125" s="932">
        <f ca="1">IF($L$4&lt;=$B$10,$B$9,IF($L$4&lt;=$B$11,$B$10,IF($L$4&lt;=$B$12,$B$11,IF($L$4&lt;=$B$13,$B$12,IF($L$4&lt;=$B$14,$B$13)))))</f>
        <v>37</v>
      </c>
      <c r="AE125" s="377"/>
      <c r="AF125" s="389">
        <v>-20</v>
      </c>
      <c r="AG125" s="290">
        <f>H225</f>
        <v>0.19</v>
      </c>
      <c r="AH125" s="291"/>
      <c r="AI125" s="390">
        <f>IF(OR(AG125=0,AH125=0),$H$237/3,((MAX(AG125:AH125)-(MIN(AG125:AH125)))))</f>
        <v>9.0000000000000011E-2</v>
      </c>
      <c r="AJ125" s="932">
        <f ca="1">IF($L$4&lt;=$B$10,$B$9,IF($L$4&lt;=$B$11,$B$10,IF($L$4&lt;=$B$12,$B$11,IF($L$4&lt;=$B$13,$B$12,IF($L$4&lt;=$B$14,$B$13)))))</f>
        <v>37</v>
      </c>
      <c r="AK125" s="377"/>
      <c r="AL125" s="389">
        <v>-20</v>
      </c>
      <c r="AM125" s="290">
        <f t="shared" ref="AM125:AM136" si="271">I225</f>
        <v>0.44</v>
      </c>
      <c r="AN125" s="291"/>
      <c r="AO125" s="390">
        <f t="shared" ref="AO125:AO136" si="272">IF(OR(AM125=0,AN125=0),$I$237/3,((MAX(AM125:AN125)-(MIN(AM125:AN125)))))</f>
        <v>8.3333333333333329E-2</v>
      </c>
      <c r="AP125" s="932">
        <f ca="1">IF($L$4&lt;=$B$10,$B$9,IF($L$4&lt;=$B$11,$B$10,IF($L$4&lt;=$B$12,$B$11,IF($L$4&lt;=$B$13,$B$12,IF($L$4&lt;=$B$14,$B$13)))))</f>
        <v>37</v>
      </c>
      <c r="AQ125" s="406"/>
      <c r="AR125" s="389">
        <v>-20</v>
      </c>
      <c r="AS125" s="290">
        <f t="shared" ref="AS125:AS136" si="273">J225</f>
        <v>0.36</v>
      </c>
      <c r="AT125" s="291"/>
      <c r="AU125" s="390">
        <f t="shared" ref="AU125:AU136" si="274">IF(OR(AS125=0,AT125=0),$J$237/3,((MAX(AS125:AT125)-(MIN(AS125:AT125)))))</f>
        <v>8.3333333333333329E-2</v>
      </c>
      <c r="AV125" s="932">
        <f ca="1">IF($L$4&lt;=$B$10,$B$9,IF($L$4&lt;=$B$11,$B$10,IF($L$4&lt;=$B$12,$B$11,IF($L$4&lt;=$B$13,$B$12,IF($L$4&lt;=$B$14,$B$13)))))</f>
        <v>37</v>
      </c>
      <c r="AW125" s="377"/>
      <c r="AX125" s="389">
        <v>-20</v>
      </c>
      <c r="AY125" s="290">
        <f t="shared" ref="AY125:AY136" si="275">K225</f>
        <v>0.5</v>
      </c>
      <c r="AZ125" s="291"/>
      <c r="BA125" s="390">
        <f t="shared" ref="BA125:BA136" si="276">IF(OR(AY125=0,AZ125=0),$K$237/3,((MAX(AY125:AZ125)-(MIN(AY125:AZ125)))))</f>
        <v>0.26333333333333336</v>
      </c>
      <c r="BB125" s="932">
        <f ca="1">IF($L$4&lt;=$B$10,$B$9,IF($L$4&lt;=$B$11,$B$10,IF($L$4&lt;=$B$12,$B$11,IF($L$4&lt;=$B$13,$B$12,IF($L$4&lt;=$B$14,$B$13)))))</f>
        <v>37</v>
      </c>
      <c r="BC125" s="377"/>
      <c r="BD125" s="389">
        <v>-20</v>
      </c>
      <c r="BE125" s="290">
        <f t="shared" ref="BE125:BE136" si="277">L225</f>
        <v>-1.1100000000000001</v>
      </c>
      <c r="BF125" s="291"/>
      <c r="BG125" s="390">
        <f t="shared" ref="BG125:BG136" si="278">IF(OR(BE125=0,BF125=0),$L$237/3,((MAX(BE125:BF125)-(MIN(BE125:BF125)))))</f>
        <v>9.3333333333333338E-2</v>
      </c>
      <c r="BH125" s="932">
        <f ca="1">IF($L$4&lt;=$B$10,$B$9,IF($L$4&lt;=$B$11,$B$10,IF($L$4&lt;=$B$12,$B$11,IF($L$4&lt;=$B$13,$B$12,IF($L$4&lt;=$B$14,$B$13)))))</f>
        <v>37</v>
      </c>
      <c r="BI125" s="377"/>
      <c r="BJ125" s="389">
        <v>-20</v>
      </c>
      <c r="BK125" s="290">
        <f t="shared" ref="BK125:BK136" si="279">M225</f>
        <v>0.5</v>
      </c>
      <c r="BL125" s="291"/>
      <c r="BM125" s="390">
        <f t="shared" ref="BM125:BM136" si="280">IF(OR(BK125=0,BL125=0),$M$237/3,((MAX(BK125:BL125)-(MIN(BK125:BL125)))))</f>
        <v>0.26333333333333336</v>
      </c>
      <c r="BN125" s="932">
        <f ca="1">IF($L$4&lt;=$B$10,$B$9,IF($L$4&lt;=$B$11,$B$10,IF($L$4&lt;=$B$12,$B$11,IF($L$4&lt;=$B$13,$B$12,IF($L$4&lt;=$B$14,$B$13)))))</f>
        <v>37</v>
      </c>
      <c r="BO125" s="377"/>
      <c r="BP125" s="389">
        <v>-20</v>
      </c>
      <c r="BQ125" s="290">
        <f t="shared" ref="BQ125:BQ136" si="281">N225</f>
        <v>-1.26</v>
      </c>
      <c r="BR125" s="291"/>
      <c r="BS125" s="390">
        <f t="shared" ref="BS125:BS136" si="282">IF(OR(BQ125=0,BR125=0),$N$237/3,((MAX(BQ125:BR125)-(MIN(BQ125:BR125)))))</f>
        <v>8.3333333333333329E-2</v>
      </c>
      <c r="BT125" s="932">
        <f ca="1">IF($L$4&lt;=$B$10,$B$9,IF($L$4&lt;=$B$11,$B$10,IF($L$4&lt;=$B$12,$B$11,IF($L$4&lt;=$B$13,$B$12,IF($L$4&lt;=$B$14,$B$13)))))</f>
        <v>37</v>
      </c>
      <c r="BU125" s="377"/>
      <c r="BV125" s="389">
        <v>-20</v>
      </c>
      <c r="BW125" s="290">
        <f t="shared" ref="BW125:BW136" si="283">O225</f>
        <v>-1.42</v>
      </c>
      <c r="BX125" s="291"/>
      <c r="BY125" s="390">
        <f t="shared" ref="BY125:BY136" si="284">IF(OR(BW125=0,BX125=0),$O$237/3,((MAX(BW125:BX125)-(MIN(BW125:BX125)))))</f>
        <v>9.0000000000000011E-2</v>
      </c>
      <c r="BZ125" s="932">
        <f ca="1">IF($L$4&lt;=$B$10,$B$9,IF($L$4&lt;=$B$11,$B$10,IF($L$4&lt;=$B$12,$B$11,IF($L$4&lt;=$B$13,$B$12,IF($L$4&lt;=$B$14,$B$13)))))</f>
        <v>37</v>
      </c>
      <c r="CA125" s="377"/>
      <c r="CB125" s="389">
        <v>-20</v>
      </c>
      <c r="CC125" s="290">
        <f t="shared" si="263"/>
        <v>-1.1000000000000001</v>
      </c>
      <c r="CD125" s="291">
        <v>-0.7</v>
      </c>
      <c r="CE125" s="390">
        <f t="shared" ref="CE125:CE136" si="285">CE110</f>
        <v>0.40000000000000013</v>
      </c>
      <c r="CF125" s="932">
        <f ca="1">IF($L$4&lt;=$B$10,$B$9,IF($L$4&lt;=$B$11,$B$10,IF($L$4&lt;=$B$12,$B$11,IF($L$4&lt;=$B$13,$B$12,IF($L$4&lt;=$B$14,$B$13)))))</f>
        <v>37</v>
      </c>
      <c r="CG125" s="400"/>
      <c r="CH125" s="389">
        <v>-20</v>
      </c>
      <c r="CI125" s="290">
        <f t="shared" si="264"/>
        <v>-0.15</v>
      </c>
      <c r="CJ125" s="291">
        <f>CJ110</f>
        <v>-0.32</v>
      </c>
      <c r="CK125" s="390">
        <f t="shared" ref="CK125:CK136" si="286">CK110</f>
        <v>0.17</v>
      </c>
      <c r="CL125" s="932">
        <f ca="1">IF($L$4&lt;=$B$10,$B$9,IF($L$4&lt;=$B$11,$B$10,IF($L$4&lt;=$B$12,$B$11,IF($L$4&lt;=$B$13,$B$12,IF($L$4&lt;=$B$14,$B$13)))))</f>
        <v>37</v>
      </c>
      <c r="CN125" s="389">
        <v>-20</v>
      </c>
      <c r="CO125" s="290">
        <f t="shared" si="265"/>
        <v>-1.8</v>
      </c>
      <c r="CP125" s="291">
        <f>CP110</f>
        <v>-0.51</v>
      </c>
      <c r="CQ125" s="390">
        <f t="shared" ref="CQ125:CQ136" si="287">CQ110</f>
        <v>1.29</v>
      </c>
      <c r="CR125" s="932">
        <f ca="1">IF($L$4&lt;=$B$10,$B$9,IF($L$4&lt;=$B$11,$B$10,IF($L$4&lt;=$B$12,$B$11,IF($L$4&lt;=$B$13,$B$12,IF($L$4&lt;=$B$14,$B$13)))))</f>
        <v>37</v>
      </c>
    </row>
    <row r="126" spans="2:96" ht="13">
      <c r="B126" s="389">
        <v>-15</v>
      </c>
      <c r="C126" s="290">
        <v>9.9999999999999995E-7</v>
      </c>
      <c r="D126" s="290">
        <v>9.9999999999999995E-7</v>
      </c>
      <c r="E126" s="390">
        <v>9.9999999999999995E-7</v>
      </c>
      <c r="F126" s="391"/>
      <c r="G126" s="392"/>
      <c r="H126" s="389">
        <v>-15</v>
      </c>
      <c r="I126" s="290">
        <v>9.9999999999999995E-7</v>
      </c>
      <c r="J126" s="290">
        <v>9.9999999999999995E-7</v>
      </c>
      <c r="K126" s="390">
        <v>9.9999999999999995E-7</v>
      </c>
      <c r="L126" s="391"/>
      <c r="M126" s="392"/>
      <c r="N126" s="389">
        <v>-15</v>
      </c>
      <c r="O126" s="291">
        <v>9.9999999999999995E-7</v>
      </c>
      <c r="P126" s="291">
        <f t="shared" si="266"/>
        <v>-0.38</v>
      </c>
      <c r="Q126" s="390">
        <f t="shared" ref="Q126:Q136" si="288">IF(OR(O126=0,P126=0),$E$237/3,((MAX(O126:P126)-(MIN(O126:P126)))))</f>
        <v>0.38000099999999998</v>
      </c>
      <c r="R126" s="391"/>
      <c r="S126" s="377"/>
      <c r="T126" s="389">
        <v>-15</v>
      </c>
      <c r="U126" s="290">
        <f t="shared" si="267"/>
        <v>-1.1499999999999999</v>
      </c>
      <c r="V126" s="291"/>
      <c r="W126" s="390">
        <f t="shared" si="268"/>
        <v>8.3333333333333329E-2</v>
      </c>
      <c r="X126" s="391"/>
      <c r="Y126" s="377"/>
      <c r="Z126" s="389">
        <v>-15</v>
      </c>
      <c r="AA126" s="290">
        <f t="shared" si="269"/>
        <v>0.24</v>
      </c>
      <c r="AB126" s="291"/>
      <c r="AC126" s="390">
        <f t="shared" si="270"/>
        <v>8.666666666666667E-2</v>
      </c>
      <c r="AD126" s="391"/>
      <c r="AE126" s="377"/>
      <c r="AF126" s="389">
        <v>-15</v>
      </c>
      <c r="AG126" s="290">
        <f t="shared" ref="AG126:AG136" si="289">H226</f>
        <v>0.24</v>
      </c>
      <c r="AH126" s="291"/>
      <c r="AI126" s="390">
        <f t="shared" ref="AI126:AI136" si="290">IF(OR(AG126=0,AH126=0),$H$237/3,((MAX(AG126:AH126)-(MIN(AG126:AH126)))))</f>
        <v>9.0000000000000011E-2</v>
      </c>
      <c r="AJ126" s="391"/>
      <c r="AK126" s="377"/>
      <c r="AL126" s="389">
        <v>-15</v>
      </c>
      <c r="AM126" s="290">
        <f t="shared" si="271"/>
        <v>0.45</v>
      </c>
      <c r="AN126" s="291"/>
      <c r="AO126" s="390">
        <f t="shared" si="272"/>
        <v>8.3333333333333329E-2</v>
      </c>
      <c r="AP126" s="391"/>
      <c r="AQ126" s="406"/>
      <c r="AR126" s="389">
        <v>-15</v>
      </c>
      <c r="AS126" s="290">
        <f t="shared" si="273"/>
        <v>0.38</v>
      </c>
      <c r="AT126" s="291"/>
      <c r="AU126" s="390">
        <f t="shared" si="274"/>
        <v>8.3333333333333329E-2</v>
      </c>
      <c r="AV126" s="391"/>
      <c r="AW126" s="377"/>
      <c r="AX126" s="389">
        <v>-15</v>
      </c>
      <c r="AY126" s="290">
        <f t="shared" si="275"/>
        <v>9.9999999999999995E-7</v>
      </c>
      <c r="AZ126" s="291"/>
      <c r="BA126" s="390">
        <f t="shared" si="276"/>
        <v>0.26333333333333336</v>
      </c>
      <c r="BB126" s="391"/>
      <c r="BC126" s="377"/>
      <c r="BD126" s="389">
        <v>-15</v>
      </c>
      <c r="BE126" s="290">
        <f t="shared" si="277"/>
        <v>-0.83</v>
      </c>
      <c r="BF126" s="291"/>
      <c r="BG126" s="390">
        <f t="shared" si="278"/>
        <v>9.3333333333333338E-2</v>
      </c>
      <c r="BH126" s="391"/>
      <c r="BI126" s="377"/>
      <c r="BJ126" s="389">
        <v>-15</v>
      </c>
      <c r="BK126" s="290">
        <f t="shared" si="279"/>
        <v>9.9999999999999995E-7</v>
      </c>
      <c r="BL126" s="291"/>
      <c r="BM126" s="390">
        <f t="shared" si="280"/>
        <v>0.26333333333333336</v>
      </c>
      <c r="BN126" s="391"/>
      <c r="BO126" s="377"/>
      <c r="BP126" s="389">
        <v>-15</v>
      </c>
      <c r="BQ126" s="290">
        <f t="shared" si="281"/>
        <v>-1</v>
      </c>
      <c r="BR126" s="291"/>
      <c r="BS126" s="390">
        <f t="shared" si="282"/>
        <v>8.3333333333333329E-2</v>
      </c>
      <c r="BT126" s="391"/>
      <c r="BU126" s="377"/>
      <c r="BV126" s="389">
        <v>-15</v>
      </c>
      <c r="BW126" s="290">
        <f t="shared" si="283"/>
        <v>-1.1399999999999999</v>
      </c>
      <c r="BX126" s="291"/>
      <c r="BY126" s="390">
        <f t="shared" si="284"/>
        <v>9.0000000000000011E-2</v>
      </c>
      <c r="BZ126" s="391"/>
      <c r="CA126" s="377"/>
      <c r="CB126" s="389">
        <v>-15</v>
      </c>
      <c r="CC126" s="290">
        <f t="shared" si="263"/>
        <v>-1.2</v>
      </c>
      <c r="CD126" s="291">
        <v>-0.7</v>
      </c>
      <c r="CE126" s="390">
        <f t="shared" si="285"/>
        <v>0.40000000000000013</v>
      </c>
      <c r="CF126" s="391"/>
      <c r="CG126" s="401"/>
      <c r="CH126" s="389">
        <v>-15</v>
      </c>
      <c r="CI126" s="290">
        <f t="shared" si="264"/>
        <v>-0.1</v>
      </c>
      <c r="CJ126" s="291">
        <f t="shared" si="264"/>
        <v>-0.24</v>
      </c>
      <c r="CK126" s="390">
        <f t="shared" si="286"/>
        <v>0.13999999999999999</v>
      </c>
      <c r="CL126" s="391"/>
      <c r="CN126" s="389">
        <v>-15</v>
      </c>
      <c r="CO126" s="290">
        <f t="shared" si="265"/>
        <v>-1.52</v>
      </c>
      <c r="CP126" s="291">
        <f t="shared" si="265"/>
        <v>-0.39</v>
      </c>
      <c r="CQ126" s="390">
        <f t="shared" si="287"/>
        <v>1.1299999999999999</v>
      </c>
      <c r="CR126" s="391"/>
    </row>
    <row r="127" spans="2:96" ht="13">
      <c r="B127" s="389">
        <v>-10</v>
      </c>
      <c r="C127" s="290">
        <v>9.9999999999999995E-7</v>
      </c>
      <c r="D127" s="290">
        <v>9.9999999999999995E-7</v>
      </c>
      <c r="E127" s="390">
        <v>9.9999999999999995E-7</v>
      </c>
      <c r="F127" s="932">
        <f ca="1">IF($L$4&lt;=$B$9,$B$9,IF($L$4&lt;=$B$10,$B$10,IF($L$4&lt;=$B$11,$B$11,IF($L$4&lt;=$B$12,$B$12,IF($L$4&lt;=$B$13,$B$13,IF($L$4&lt;=$B$14,$B$14))))))</f>
        <v>44</v>
      </c>
      <c r="G127" s="392"/>
      <c r="H127" s="389">
        <v>-10</v>
      </c>
      <c r="I127" s="290">
        <v>9.9999999999999995E-7</v>
      </c>
      <c r="J127" s="290">
        <v>9.9999999999999995E-7</v>
      </c>
      <c r="K127" s="390">
        <v>9.9999999999999995E-7</v>
      </c>
      <c r="L127" s="932">
        <f ca="1">IF($L$4&lt;=$B$9,$B$9,IF($L$4&lt;=$B$10,$B$10,IF($L$4&lt;=$B$11,$B$11,IF($L$4&lt;=$B$12,$B$12,IF($L$4&lt;=$B$13,$B$13,IF($L$4&lt;=$B$14,$B$14))))))</f>
        <v>44</v>
      </c>
      <c r="M127" s="392"/>
      <c r="N127" s="389">
        <v>-10</v>
      </c>
      <c r="O127" s="291">
        <v>9.9999999999999995E-7</v>
      </c>
      <c r="P127" s="291">
        <f t="shared" si="266"/>
        <v>-0.32</v>
      </c>
      <c r="Q127" s="390">
        <f t="shared" si="288"/>
        <v>0.32000099999999998</v>
      </c>
      <c r="R127" s="932">
        <f ca="1">IF($L$4&lt;=$B$9,$B$9,IF($L$4&lt;=$B$10,$B$10,IF($L$4&lt;=$B$11,$B$11,IF($L$4&lt;=$B$12,$B$12,IF($L$4&lt;=$B$13,$B$13,IF($L$4&lt;=$B$14,$B$14))))))</f>
        <v>44</v>
      </c>
      <c r="S127" s="377"/>
      <c r="T127" s="389">
        <v>-10</v>
      </c>
      <c r="U127" s="290">
        <f t="shared" si="267"/>
        <v>-0.9</v>
      </c>
      <c r="V127" s="291"/>
      <c r="W127" s="390">
        <f t="shared" si="268"/>
        <v>8.3333333333333329E-2</v>
      </c>
      <c r="X127" s="932">
        <f ca="1">IF($L$4&lt;=$B$9,$B$9,IF($L$4&lt;=$B$10,$B$10,IF($L$4&lt;=$B$11,$B$11,IF($L$4&lt;=$B$12,$B$12,IF($L$4&lt;=$B$13,$B$13,IF($L$4&lt;=$B$14,$B$14))))))</f>
        <v>44</v>
      </c>
      <c r="Y127" s="377"/>
      <c r="Z127" s="389">
        <v>-10</v>
      </c>
      <c r="AA127" s="290">
        <f t="shared" si="269"/>
        <v>0.27</v>
      </c>
      <c r="AB127" s="291"/>
      <c r="AC127" s="390">
        <f t="shared" si="270"/>
        <v>8.666666666666667E-2</v>
      </c>
      <c r="AD127" s="932">
        <f ca="1">IF($L$4&lt;=$B$9,$B$9,IF($L$4&lt;=$B$10,$B$10,IF($L$4&lt;=$B$11,$B$11,IF($L$4&lt;=$B$12,$B$12,IF($L$4&lt;=$B$13,$B$13,IF($L$4&lt;=$B$14,$B$14))))))</f>
        <v>44</v>
      </c>
      <c r="AE127" s="377"/>
      <c r="AF127" s="389">
        <v>-10</v>
      </c>
      <c r="AG127" s="290">
        <f t="shared" si="289"/>
        <v>0.26</v>
      </c>
      <c r="AH127" s="291"/>
      <c r="AI127" s="390">
        <f t="shared" si="290"/>
        <v>9.0000000000000011E-2</v>
      </c>
      <c r="AJ127" s="932">
        <f ca="1">IF($L$4&lt;=$B$9,$B$9,IF($L$4&lt;=$B$10,$B$10,IF($L$4&lt;=$B$11,$B$11,IF($L$4&lt;=$B$12,$B$12,IF($L$4&lt;=$B$13,$B$13,IF($L$4&lt;=$B$14,$B$14))))))</f>
        <v>44</v>
      </c>
      <c r="AK127" s="377"/>
      <c r="AL127" s="389">
        <v>-10</v>
      </c>
      <c r="AM127" s="290">
        <f t="shared" si="271"/>
        <v>0.46</v>
      </c>
      <c r="AN127" s="291"/>
      <c r="AO127" s="390">
        <f t="shared" si="272"/>
        <v>8.3333333333333329E-2</v>
      </c>
      <c r="AP127" s="932">
        <f ca="1">IF($L$4&lt;=$B$9,$B$9,IF($L$4&lt;=$B$10,$B$10,IF($L$4&lt;=$B$11,$B$11,IF($L$4&lt;=$B$12,$B$12,IF($L$4&lt;=$B$13,$B$13,IF($L$4&lt;=$B$14,$B$14))))))</f>
        <v>44</v>
      </c>
      <c r="AQ127" s="406"/>
      <c r="AR127" s="389">
        <v>-10</v>
      </c>
      <c r="AS127" s="290">
        <f t="shared" si="273"/>
        <v>0.39</v>
      </c>
      <c r="AT127" s="291"/>
      <c r="AU127" s="390">
        <f t="shared" si="274"/>
        <v>8.3333333333333329E-2</v>
      </c>
      <c r="AV127" s="932">
        <f ca="1">IF($L$4&lt;=$B$9,$B$9,IF($L$4&lt;=$B$10,$B$10,IF($L$4&lt;=$B$11,$B$11,IF($L$4&lt;=$B$12,$B$12,IF($L$4&lt;=$B$13,$B$13,IF($L$4&lt;=$B$14,$B$14))))))</f>
        <v>44</v>
      </c>
      <c r="AW127" s="377"/>
      <c r="AX127" s="389">
        <v>-10</v>
      </c>
      <c r="AY127" s="290">
        <f t="shared" si="275"/>
        <v>0.48</v>
      </c>
      <c r="AZ127" s="291"/>
      <c r="BA127" s="390">
        <f t="shared" si="276"/>
        <v>0.26333333333333336</v>
      </c>
      <c r="BB127" s="932">
        <f ca="1">IF($L$4&lt;=$B$9,$B$9,IF($L$4&lt;=$B$10,$B$10,IF($L$4&lt;=$B$11,$B$11,IF($L$4&lt;=$B$12,$B$12,IF($L$4&lt;=$B$13,$B$13,IF($L$4&lt;=$B$14,$B$14))))))</f>
        <v>44</v>
      </c>
      <c r="BC127" s="377"/>
      <c r="BD127" s="389">
        <v>-10</v>
      </c>
      <c r="BE127" s="290">
        <f t="shared" si="277"/>
        <v>-0.6</v>
      </c>
      <c r="BF127" s="291"/>
      <c r="BG127" s="390">
        <f t="shared" si="278"/>
        <v>9.3333333333333338E-2</v>
      </c>
      <c r="BH127" s="932">
        <f ca="1">IF($L$4&lt;=$B$9,$B$9,IF($L$4&lt;=$B$10,$B$10,IF($L$4&lt;=$B$11,$B$11,IF($L$4&lt;=$B$12,$B$12,IF($L$4&lt;=$B$13,$B$13,IF($L$4&lt;=$B$14,$B$14))))))</f>
        <v>44</v>
      </c>
      <c r="BI127" s="377"/>
      <c r="BJ127" s="389">
        <v>-10</v>
      </c>
      <c r="BK127" s="290">
        <f t="shared" si="279"/>
        <v>0.48</v>
      </c>
      <c r="BL127" s="291"/>
      <c r="BM127" s="390">
        <f t="shared" si="280"/>
        <v>0.26333333333333336</v>
      </c>
      <c r="BN127" s="932">
        <f ca="1">IF($L$4&lt;=$B$9,$B$9,IF($L$4&lt;=$B$10,$B$10,IF($L$4&lt;=$B$11,$B$11,IF($L$4&lt;=$B$12,$B$12,IF($L$4&lt;=$B$13,$B$13,IF($L$4&lt;=$B$14,$B$14))))))</f>
        <v>44</v>
      </c>
      <c r="BO127" s="377"/>
      <c r="BP127" s="389">
        <v>-10</v>
      </c>
      <c r="BQ127" s="290">
        <f t="shared" si="281"/>
        <v>-0.78</v>
      </c>
      <c r="BR127" s="291"/>
      <c r="BS127" s="390">
        <f t="shared" si="282"/>
        <v>8.3333333333333329E-2</v>
      </c>
      <c r="BT127" s="932">
        <f ca="1">IF($L$4&lt;=$B$9,$B$9,IF($L$4&lt;=$B$10,$B$10,IF($L$4&lt;=$B$11,$B$11,IF($L$4&lt;=$B$12,$B$12,IF($L$4&lt;=$B$13,$B$13,IF($L$4&lt;=$B$14,$B$14))))))</f>
        <v>44</v>
      </c>
      <c r="BU127" s="377"/>
      <c r="BV127" s="389">
        <v>-10</v>
      </c>
      <c r="BW127" s="290">
        <f t="shared" si="283"/>
        <v>-0.89</v>
      </c>
      <c r="BX127" s="291"/>
      <c r="BY127" s="390">
        <f t="shared" si="284"/>
        <v>9.0000000000000011E-2</v>
      </c>
      <c r="BZ127" s="932">
        <f ca="1">IF($L$4&lt;=$B$9,$B$9,IF($L$4&lt;=$B$10,$B$10,IF($L$4&lt;=$B$11,$B$11,IF($L$4&lt;=$B$12,$B$12,IF($L$4&lt;=$B$13,$B$13,IF($L$4&lt;=$B$14,$B$14))))))</f>
        <v>44</v>
      </c>
      <c r="CA127" s="377"/>
      <c r="CB127" s="389">
        <v>-10</v>
      </c>
      <c r="CC127" s="290">
        <f t="shared" si="263"/>
        <v>-1.4</v>
      </c>
      <c r="CD127" s="291">
        <v>-0.7</v>
      </c>
      <c r="CE127" s="390">
        <f t="shared" si="285"/>
        <v>0.5</v>
      </c>
      <c r="CF127" s="932">
        <f ca="1">IF($L$4&lt;=$B$9,$B$9,IF($L$4&lt;=$B$10,$B$10,IF($L$4&lt;=$B$11,$B$11,IF($L$4&lt;=$B$12,$B$12,IF($L$4&lt;=$B$13,$B$13,IF($L$4&lt;=$B$14,$B$14))))))</f>
        <v>44</v>
      </c>
      <c r="CG127" s="402"/>
      <c r="CH127" s="389">
        <v>-10</v>
      </c>
      <c r="CI127" s="290">
        <f t="shared" si="264"/>
        <v>-0.05</v>
      </c>
      <c r="CJ127" s="291">
        <f t="shared" si="264"/>
        <v>-0.18</v>
      </c>
      <c r="CK127" s="390">
        <f t="shared" si="286"/>
        <v>0.13</v>
      </c>
      <c r="CL127" s="932">
        <f ca="1">IF($L$4&lt;=$B$9,$B$9,IF($L$4&lt;=$B$10,$B$10,IF($L$4&lt;=$B$11,$B$11,IF($L$4&lt;=$B$12,$B$12,IF($L$4&lt;=$B$13,$B$13,IF($L$4&lt;=$B$14,$B$14))))))</f>
        <v>44</v>
      </c>
      <c r="CN127" s="389">
        <v>-10</v>
      </c>
      <c r="CO127" s="290">
        <f t="shared" si="265"/>
        <v>-1.26</v>
      </c>
      <c r="CP127" s="291">
        <f t="shared" si="265"/>
        <v>-0.28000000000000003</v>
      </c>
      <c r="CQ127" s="390">
        <f t="shared" si="287"/>
        <v>0.98</v>
      </c>
      <c r="CR127" s="932">
        <f ca="1">IF($L$4&lt;=$B$9,$B$9,IF($L$4&lt;=$B$10,$B$10,IF($L$4&lt;=$B$11,$B$11,IF($L$4&lt;=$B$12,$B$12,IF($L$4&lt;=$B$13,$B$13,IF($L$4&lt;=$B$14,$B$14))))))</f>
        <v>44</v>
      </c>
    </row>
    <row r="128" spans="2:96" ht="13">
      <c r="B128" s="389">
        <v>9.9999999999999995E-7</v>
      </c>
      <c r="C128" s="290">
        <v>9.9999999999999995E-7</v>
      </c>
      <c r="D128" s="290">
        <v>9.9999999999999995E-7</v>
      </c>
      <c r="E128" s="390">
        <v>9.9999999999999995E-7</v>
      </c>
      <c r="F128" s="391"/>
      <c r="G128" s="392"/>
      <c r="H128" s="389">
        <v>9.9999999999999995E-7</v>
      </c>
      <c r="I128" s="290">
        <v>9.9999999999999995E-7</v>
      </c>
      <c r="J128" s="290">
        <v>9.9999999999999995E-7</v>
      </c>
      <c r="K128" s="390">
        <v>9.9999999999999995E-7</v>
      </c>
      <c r="L128" s="391"/>
      <c r="M128" s="392"/>
      <c r="N128" s="389">
        <v>9.9999999999999995E-7</v>
      </c>
      <c r="O128" s="291">
        <v>9.9999999999999995E-7</v>
      </c>
      <c r="P128" s="291">
        <f t="shared" si="266"/>
        <v>-0.21</v>
      </c>
      <c r="Q128" s="390">
        <f t="shared" si="288"/>
        <v>0.21000099999999999</v>
      </c>
      <c r="R128" s="391"/>
      <c r="S128" s="377"/>
      <c r="T128" s="389">
        <v>9.9999999999999995E-7</v>
      </c>
      <c r="U128" s="290">
        <f t="shared" si="267"/>
        <v>-0.36</v>
      </c>
      <c r="V128" s="291"/>
      <c r="W128" s="390">
        <f t="shared" si="268"/>
        <v>8.3333333333333329E-2</v>
      </c>
      <c r="X128" s="391"/>
      <c r="Y128" s="377"/>
      <c r="Z128" s="389">
        <v>9.9999999999999995E-7</v>
      </c>
      <c r="AA128" s="290">
        <f t="shared" si="269"/>
        <v>0.22</v>
      </c>
      <c r="AB128" s="291"/>
      <c r="AC128" s="390">
        <f t="shared" si="270"/>
        <v>8.666666666666667E-2</v>
      </c>
      <c r="AD128" s="391"/>
      <c r="AE128" s="377"/>
      <c r="AF128" s="389">
        <v>9.9999999999999995E-7</v>
      </c>
      <c r="AG128" s="290">
        <f t="shared" si="289"/>
        <v>0.21</v>
      </c>
      <c r="AH128" s="291"/>
      <c r="AI128" s="390">
        <f t="shared" si="290"/>
        <v>9.0000000000000011E-2</v>
      </c>
      <c r="AJ128" s="391"/>
      <c r="AK128" s="377"/>
      <c r="AL128" s="389">
        <v>9.9999999999999995E-7</v>
      </c>
      <c r="AM128" s="290">
        <f t="shared" si="271"/>
        <v>0.46</v>
      </c>
      <c r="AN128" s="291"/>
      <c r="AO128" s="390">
        <f t="shared" si="272"/>
        <v>8.3333333333333329E-2</v>
      </c>
      <c r="AP128" s="391"/>
      <c r="AQ128" s="406"/>
      <c r="AR128" s="389">
        <v>9.9999999999999995E-7</v>
      </c>
      <c r="AS128" s="290">
        <f t="shared" si="273"/>
        <v>0.38</v>
      </c>
      <c r="AT128" s="291"/>
      <c r="AU128" s="390">
        <f t="shared" si="274"/>
        <v>8.3333333333333329E-2</v>
      </c>
      <c r="AV128" s="391"/>
      <c r="AW128" s="377"/>
      <c r="AX128" s="389">
        <v>9.9999999999999995E-7</v>
      </c>
      <c r="AY128" s="290">
        <f t="shared" si="275"/>
        <v>0.47</v>
      </c>
      <c r="AZ128" s="291"/>
      <c r="BA128" s="390">
        <f t="shared" si="276"/>
        <v>0.26333333333333336</v>
      </c>
      <c r="BB128" s="391"/>
      <c r="BC128" s="377"/>
      <c r="BD128" s="389">
        <v>9.9999999999999995E-7</v>
      </c>
      <c r="BE128" s="290">
        <f t="shared" si="277"/>
        <v>-0.34</v>
      </c>
      <c r="BF128" s="291"/>
      <c r="BG128" s="390">
        <f t="shared" si="278"/>
        <v>9.3333333333333338E-2</v>
      </c>
      <c r="BH128" s="391"/>
      <c r="BI128" s="377"/>
      <c r="BJ128" s="389">
        <v>9.9999999999999995E-7</v>
      </c>
      <c r="BK128" s="290">
        <f t="shared" si="279"/>
        <v>0.47</v>
      </c>
      <c r="BL128" s="291"/>
      <c r="BM128" s="390">
        <f t="shared" si="280"/>
        <v>0.26333333333333336</v>
      </c>
      <c r="BN128" s="391"/>
      <c r="BO128" s="377"/>
      <c r="BP128" s="389">
        <v>9.9999999999999995E-7</v>
      </c>
      <c r="BQ128" s="290">
        <f t="shared" si="281"/>
        <v>-0.55000000000000004</v>
      </c>
      <c r="BR128" s="291"/>
      <c r="BS128" s="390">
        <f t="shared" si="282"/>
        <v>8.3333333333333329E-2</v>
      </c>
      <c r="BT128" s="391"/>
      <c r="BU128" s="377"/>
      <c r="BV128" s="389">
        <v>9.9999999999999995E-7</v>
      </c>
      <c r="BW128" s="290">
        <f t="shared" si="283"/>
        <v>-0.54</v>
      </c>
      <c r="BX128" s="291"/>
      <c r="BY128" s="390">
        <f t="shared" si="284"/>
        <v>9.0000000000000011E-2</v>
      </c>
      <c r="BZ128" s="391"/>
      <c r="CA128" s="377"/>
      <c r="CB128" s="389">
        <v>9.9999999999999995E-7</v>
      </c>
      <c r="CC128" s="290">
        <f t="shared" si="263"/>
        <v>0</v>
      </c>
      <c r="CD128" s="291">
        <v>-0.7</v>
      </c>
      <c r="CE128" s="390">
        <f t="shared" si="285"/>
        <v>0.7</v>
      </c>
      <c r="CF128" s="391"/>
      <c r="CG128" s="403"/>
      <c r="CH128" s="389">
        <v>9.9999999999999995E-7</v>
      </c>
      <c r="CI128" s="290">
        <f t="shared" si="264"/>
        <v>0.03</v>
      </c>
      <c r="CJ128" s="291">
        <f t="shared" si="264"/>
        <v>-0.06</v>
      </c>
      <c r="CK128" s="390">
        <f t="shared" si="286"/>
        <v>0.09</v>
      </c>
      <c r="CL128" s="391"/>
      <c r="CN128" s="389">
        <v>9.9999999999999995E-7</v>
      </c>
      <c r="CO128" s="290">
        <f t="shared" si="265"/>
        <v>-0.79</v>
      </c>
      <c r="CP128" s="291">
        <f t="shared" si="265"/>
        <v>-0.08</v>
      </c>
      <c r="CQ128" s="390">
        <f t="shared" si="287"/>
        <v>0.71000000000000008</v>
      </c>
      <c r="CR128" s="391"/>
    </row>
    <row r="129" spans="2:96" ht="13">
      <c r="B129" s="389">
        <v>2</v>
      </c>
      <c r="C129" s="290">
        <v>9.9999999999999995E-7</v>
      </c>
      <c r="D129" s="290">
        <v>9.9999999999999995E-7</v>
      </c>
      <c r="E129" s="390">
        <v>9.9999999999999995E-7</v>
      </c>
      <c r="F129" s="933">
        <f ca="1">VLOOKUP(F125,B129:E134,4)</f>
        <v>9.9999999999999995E-7</v>
      </c>
      <c r="G129" s="392"/>
      <c r="H129" s="389">
        <v>2</v>
      </c>
      <c r="I129" s="290">
        <v>9.9999999999999995E-7</v>
      </c>
      <c r="J129" s="290">
        <v>9.9999999999999995E-7</v>
      </c>
      <c r="K129" s="390">
        <v>9.9999999999999995E-7</v>
      </c>
      <c r="L129" s="933">
        <f ca="1">VLOOKUP(L125,H129:K134,4)</f>
        <v>9.9999999999999995E-7</v>
      </c>
      <c r="M129" s="392"/>
      <c r="N129" s="389">
        <v>2</v>
      </c>
      <c r="O129" s="291">
        <v>9.9999999999999995E-7</v>
      </c>
      <c r="P129" s="291">
        <f t="shared" si="266"/>
        <v>-0.2</v>
      </c>
      <c r="Q129" s="390">
        <f t="shared" si="288"/>
        <v>0.20000100000000001</v>
      </c>
      <c r="R129" s="933">
        <f ca="1">VLOOKUP(R125,N129:Q134,4)</f>
        <v>4.0001000000000002E-2</v>
      </c>
      <c r="S129" s="377"/>
      <c r="T129" s="389">
        <v>2</v>
      </c>
      <c r="U129" s="290">
        <f t="shared" si="267"/>
        <v>-0.53</v>
      </c>
      <c r="V129" s="291"/>
      <c r="W129" s="390">
        <f t="shared" si="268"/>
        <v>8.3333333333333329E-2</v>
      </c>
      <c r="X129" s="933">
        <f ca="1">VLOOKUP(X125,T129:W134,4)</f>
        <v>8.3333333333333329E-2</v>
      </c>
      <c r="Y129" s="377"/>
      <c r="Z129" s="389">
        <v>2</v>
      </c>
      <c r="AA129" s="290">
        <f t="shared" si="269"/>
        <v>0.26</v>
      </c>
      <c r="AB129" s="291"/>
      <c r="AC129" s="390">
        <f t="shared" si="270"/>
        <v>8.666666666666667E-2</v>
      </c>
      <c r="AD129" s="933">
        <f ca="1">VLOOKUP(AD125,Z129:AC134,4)</f>
        <v>8.666666666666667E-2</v>
      </c>
      <c r="AE129" s="377"/>
      <c r="AF129" s="389">
        <v>2</v>
      </c>
      <c r="AG129" s="290">
        <f t="shared" si="289"/>
        <v>0.25</v>
      </c>
      <c r="AH129" s="291"/>
      <c r="AI129" s="390">
        <f t="shared" si="290"/>
        <v>9.0000000000000011E-2</v>
      </c>
      <c r="AJ129" s="933">
        <f ca="1">VLOOKUP(AJ125,AF129:AI134,4)</f>
        <v>9.0000000000000011E-2</v>
      </c>
      <c r="AK129" s="377"/>
      <c r="AL129" s="389">
        <v>2</v>
      </c>
      <c r="AM129" s="290">
        <f t="shared" si="271"/>
        <v>0.49</v>
      </c>
      <c r="AN129" s="291"/>
      <c r="AO129" s="390">
        <f t="shared" si="272"/>
        <v>8.3333333333333329E-2</v>
      </c>
      <c r="AP129" s="933">
        <f ca="1">VLOOKUP(AP125,AL129:AO134,4)</f>
        <v>8.3333333333333329E-2</v>
      </c>
      <c r="AQ129" s="406"/>
      <c r="AR129" s="389">
        <v>2</v>
      </c>
      <c r="AS129" s="290">
        <f t="shared" si="273"/>
        <v>0.4</v>
      </c>
      <c r="AT129" s="291"/>
      <c r="AU129" s="390">
        <f t="shared" si="274"/>
        <v>8.3333333333333329E-2</v>
      </c>
      <c r="AV129" s="933">
        <f ca="1">VLOOKUP(AV125,AR129:AU134,4)</f>
        <v>8.3333333333333329E-2</v>
      </c>
      <c r="AW129" s="377"/>
      <c r="AX129" s="389">
        <v>2</v>
      </c>
      <c r="AY129" s="290">
        <f t="shared" si="275"/>
        <v>0.47</v>
      </c>
      <c r="AZ129" s="291"/>
      <c r="BA129" s="390">
        <f t="shared" si="276"/>
        <v>0.26333333333333336</v>
      </c>
      <c r="BB129" s="933">
        <f ca="1">VLOOKUP(BB125,AX129:BA134,4)</f>
        <v>0.26333333333333336</v>
      </c>
      <c r="BC129" s="377"/>
      <c r="BD129" s="389">
        <v>2</v>
      </c>
      <c r="BE129" s="290">
        <f t="shared" si="277"/>
        <v>-0.36</v>
      </c>
      <c r="BF129" s="291"/>
      <c r="BG129" s="390">
        <f t="shared" si="278"/>
        <v>9.3333333333333338E-2</v>
      </c>
      <c r="BH129" s="933">
        <f ca="1">VLOOKUP(BH125,BD129:BG134,4)</f>
        <v>9.3333333333333338E-2</v>
      </c>
      <c r="BI129" s="377"/>
      <c r="BJ129" s="389">
        <v>2</v>
      </c>
      <c r="BK129" s="290">
        <f t="shared" si="279"/>
        <v>0.47</v>
      </c>
      <c r="BL129" s="291"/>
      <c r="BM129" s="390">
        <f t="shared" si="280"/>
        <v>0.26333333333333336</v>
      </c>
      <c r="BN129" s="933">
        <f ca="1">VLOOKUP(BN125,BJ129:BM134,4)</f>
        <v>0.26333333333333336</v>
      </c>
      <c r="BO129" s="377"/>
      <c r="BP129" s="389">
        <v>2</v>
      </c>
      <c r="BQ129" s="290">
        <f t="shared" si="281"/>
        <v>-0.53</v>
      </c>
      <c r="BR129" s="291"/>
      <c r="BS129" s="390">
        <f t="shared" si="282"/>
        <v>8.3333333333333329E-2</v>
      </c>
      <c r="BT129" s="933">
        <f ca="1">VLOOKUP(BT125,BP129:BS134,4)</f>
        <v>8.3333333333333329E-2</v>
      </c>
      <c r="BU129" s="377"/>
      <c r="BV129" s="389">
        <v>2</v>
      </c>
      <c r="BW129" s="290">
        <f t="shared" si="283"/>
        <v>-0.62</v>
      </c>
      <c r="BX129" s="291"/>
      <c r="BY129" s="390">
        <f t="shared" si="284"/>
        <v>9.0000000000000011E-2</v>
      </c>
      <c r="BZ129" s="933">
        <f ca="1">VLOOKUP(BZ125,BV129:BY134,4)</f>
        <v>9.0000000000000011E-2</v>
      </c>
      <c r="CA129" s="377"/>
      <c r="CB129" s="389">
        <v>2</v>
      </c>
      <c r="CC129" s="290">
        <f t="shared" si="263"/>
        <v>0</v>
      </c>
      <c r="CD129" s="291">
        <v>-0.7</v>
      </c>
      <c r="CE129" s="390">
        <f t="shared" si="285"/>
        <v>0.19999999999999998</v>
      </c>
      <c r="CF129" s="933">
        <f ca="1">VLOOKUP(CF125,CB129:CE134,4)</f>
        <v>0.19999999999999998</v>
      </c>
      <c r="CG129" s="404"/>
      <c r="CH129" s="389">
        <v>2</v>
      </c>
      <c r="CI129" s="290">
        <f t="shared" si="264"/>
        <v>0.04</v>
      </c>
      <c r="CJ129" s="291">
        <f t="shared" si="264"/>
        <v>-0.04</v>
      </c>
      <c r="CK129" s="390">
        <f t="shared" si="286"/>
        <v>0.08</v>
      </c>
      <c r="CL129" s="933">
        <f ca="1">VLOOKUP(CL125,CH129:CK134,4)</f>
        <v>4.0000000000000008E-2</v>
      </c>
      <c r="CN129" s="389">
        <v>2</v>
      </c>
      <c r="CO129" s="290">
        <f t="shared" si="265"/>
        <v>-0.7</v>
      </c>
      <c r="CP129" s="291">
        <f t="shared" si="265"/>
        <v>-0.05</v>
      </c>
      <c r="CQ129" s="390">
        <f t="shared" si="287"/>
        <v>0.64999999999999991</v>
      </c>
      <c r="CR129" s="933">
        <f ca="1">VLOOKUP(CR125,CN129:CQ134,4)</f>
        <v>3.0000000000000027E-2</v>
      </c>
    </row>
    <row r="130" spans="2:96" ht="13">
      <c r="B130" s="389">
        <v>8</v>
      </c>
      <c r="C130" s="290">
        <v>9.9999999999999995E-7</v>
      </c>
      <c r="D130" s="290">
        <v>9.9999999999999995E-7</v>
      </c>
      <c r="E130" s="390">
        <v>9.9999999999999995E-7</v>
      </c>
      <c r="F130" s="391"/>
      <c r="G130" s="392"/>
      <c r="H130" s="389">
        <v>8</v>
      </c>
      <c r="I130" s="290">
        <v>9.9999999999999995E-7</v>
      </c>
      <c r="J130" s="290">
        <v>9.9999999999999995E-7</v>
      </c>
      <c r="K130" s="390">
        <v>9.9999999999999995E-7</v>
      </c>
      <c r="L130" s="391"/>
      <c r="M130" s="392"/>
      <c r="N130" s="389">
        <v>8</v>
      </c>
      <c r="O130" s="291">
        <v>9.9999999999999995E-7</v>
      </c>
      <c r="P130" s="291">
        <f t="shared" si="266"/>
        <v>-0.15</v>
      </c>
      <c r="Q130" s="390">
        <f t="shared" si="288"/>
        <v>0.150001</v>
      </c>
      <c r="R130" s="391"/>
      <c r="S130" s="377"/>
      <c r="T130" s="389">
        <v>8</v>
      </c>
      <c r="U130" s="290">
        <f t="shared" si="267"/>
        <v>-0.28000000000000003</v>
      </c>
      <c r="V130" s="291"/>
      <c r="W130" s="390">
        <f t="shared" si="268"/>
        <v>8.3333333333333329E-2</v>
      </c>
      <c r="X130" s="391"/>
      <c r="Y130" s="377"/>
      <c r="Z130" s="389">
        <v>8</v>
      </c>
      <c r="AA130" s="290">
        <f t="shared" si="269"/>
        <v>0.25</v>
      </c>
      <c r="AB130" s="291"/>
      <c r="AC130" s="390">
        <f t="shared" si="270"/>
        <v>8.666666666666667E-2</v>
      </c>
      <c r="AD130" s="391"/>
      <c r="AE130" s="377"/>
      <c r="AF130" s="389">
        <v>8</v>
      </c>
      <c r="AG130" s="290">
        <f t="shared" si="289"/>
        <v>0.25</v>
      </c>
      <c r="AH130" s="291"/>
      <c r="AI130" s="390">
        <f t="shared" si="290"/>
        <v>9.0000000000000011E-2</v>
      </c>
      <c r="AJ130" s="391"/>
      <c r="AK130" s="377"/>
      <c r="AL130" s="389">
        <v>8</v>
      </c>
      <c r="AM130" s="290">
        <f t="shared" si="271"/>
        <v>0.49</v>
      </c>
      <c r="AN130" s="291"/>
      <c r="AO130" s="390">
        <f t="shared" si="272"/>
        <v>8.3333333333333329E-2</v>
      </c>
      <c r="AP130" s="391"/>
      <c r="AQ130" s="406"/>
      <c r="AR130" s="389">
        <v>8</v>
      </c>
      <c r="AS130" s="290">
        <f t="shared" si="273"/>
        <v>0.38</v>
      </c>
      <c r="AT130" s="291"/>
      <c r="AU130" s="390">
        <f t="shared" si="274"/>
        <v>8.3333333333333329E-2</v>
      </c>
      <c r="AV130" s="391"/>
      <c r="AW130" s="377"/>
      <c r="AX130" s="389">
        <v>8</v>
      </c>
      <c r="AY130" s="290">
        <f t="shared" si="275"/>
        <v>0.46</v>
      </c>
      <c r="AZ130" s="291"/>
      <c r="BA130" s="390">
        <f t="shared" si="276"/>
        <v>0.26333333333333336</v>
      </c>
      <c r="BB130" s="391"/>
      <c r="BC130" s="377"/>
      <c r="BD130" s="389">
        <v>8</v>
      </c>
      <c r="BE130" s="290">
        <f t="shared" si="277"/>
        <v>-0.09</v>
      </c>
      <c r="BF130" s="291"/>
      <c r="BG130" s="390">
        <f t="shared" si="278"/>
        <v>9.3333333333333338E-2</v>
      </c>
      <c r="BH130" s="391"/>
      <c r="BI130" s="377"/>
      <c r="BJ130" s="389">
        <v>8</v>
      </c>
      <c r="BK130" s="290">
        <f t="shared" si="279"/>
        <v>0.46</v>
      </c>
      <c r="BL130" s="291"/>
      <c r="BM130" s="390">
        <f t="shared" si="280"/>
        <v>0.26333333333333336</v>
      </c>
      <c r="BN130" s="391"/>
      <c r="BO130" s="377"/>
      <c r="BP130" s="389">
        <v>8</v>
      </c>
      <c r="BQ130" s="290">
        <f t="shared" si="281"/>
        <v>-0.27</v>
      </c>
      <c r="BR130" s="291"/>
      <c r="BS130" s="390">
        <f t="shared" si="282"/>
        <v>8.3333333333333329E-2</v>
      </c>
      <c r="BT130" s="391"/>
      <c r="BU130" s="377"/>
      <c r="BV130" s="389">
        <v>8</v>
      </c>
      <c r="BW130" s="290">
        <f t="shared" si="283"/>
        <v>-0.34</v>
      </c>
      <c r="BX130" s="291"/>
      <c r="BY130" s="390">
        <f t="shared" si="284"/>
        <v>9.0000000000000011E-2</v>
      </c>
      <c r="BZ130" s="391"/>
      <c r="CA130" s="377"/>
      <c r="CB130" s="389">
        <v>8</v>
      </c>
      <c r="CC130" s="290">
        <f t="shared" si="263"/>
        <v>0</v>
      </c>
      <c r="CD130" s="291">
        <v>-0.7</v>
      </c>
      <c r="CE130" s="390">
        <f t="shared" si="285"/>
        <v>0.19999999999999998</v>
      </c>
      <c r="CF130" s="391"/>
      <c r="CG130" s="404"/>
      <c r="CH130" s="389">
        <v>8</v>
      </c>
      <c r="CI130" s="290">
        <f t="shared" si="264"/>
        <v>0.08</v>
      </c>
      <c r="CJ130" s="291">
        <f t="shared" si="264"/>
        <v>0.01</v>
      </c>
      <c r="CK130" s="390">
        <f t="shared" si="286"/>
        <v>7.0000000000000007E-2</v>
      </c>
      <c r="CL130" s="391"/>
      <c r="CN130" s="389">
        <v>8</v>
      </c>
      <c r="CO130" s="290">
        <f t="shared" si="265"/>
        <v>-0.46</v>
      </c>
      <c r="CP130" s="291">
        <f t="shared" si="265"/>
        <v>0.06</v>
      </c>
      <c r="CQ130" s="390">
        <f t="shared" si="287"/>
        <v>0.52</v>
      </c>
      <c r="CR130" s="391"/>
    </row>
    <row r="131" spans="2:96" ht="13">
      <c r="B131" s="389">
        <v>37</v>
      </c>
      <c r="C131" s="290">
        <v>9.9999999999999995E-7</v>
      </c>
      <c r="D131" s="290">
        <v>9.9999999999999995E-7</v>
      </c>
      <c r="E131" s="390">
        <v>9.9999999999999995E-7</v>
      </c>
      <c r="F131" s="933">
        <f ca="1">VLOOKUP(F127,B129:E134,4)</f>
        <v>9.9999999999999995E-7</v>
      </c>
      <c r="G131" s="392"/>
      <c r="H131" s="389">
        <v>37</v>
      </c>
      <c r="I131" s="290">
        <v>9.9999999999999995E-7</v>
      </c>
      <c r="J131" s="290">
        <v>9.9999999999999995E-7</v>
      </c>
      <c r="K131" s="390">
        <v>9.9999999999999995E-7</v>
      </c>
      <c r="L131" s="933">
        <f ca="1">VLOOKUP(L127,H129:K134,4)</f>
        <v>9.9999999999999995E-7</v>
      </c>
      <c r="M131" s="392"/>
      <c r="N131" s="389">
        <v>37</v>
      </c>
      <c r="O131" s="291">
        <v>9.9999999999999995E-7</v>
      </c>
      <c r="P131" s="291">
        <f t="shared" si="266"/>
        <v>-0.04</v>
      </c>
      <c r="Q131" s="390">
        <f t="shared" si="288"/>
        <v>4.0001000000000002E-2</v>
      </c>
      <c r="R131" s="933">
        <f ca="1">VLOOKUP(R127,N129:Q134,4)</f>
        <v>4.0001000000000002E-2</v>
      </c>
      <c r="S131" s="377"/>
      <c r="T131" s="389">
        <v>37</v>
      </c>
      <c r="U131" s="290">
        <f t="shared" si="267"/>
        <v>0.6</v>
      </c>
      <c r="V131" s="291"/>
      <c r="W131" s="390">
        <f t="shared" si="268"/>
        <v>8.3333333333333329E-2</v>
      </c>
      <c r="X131" s="933">
        <f ca="1">VLOOKUP(X127,T129:W134,4)</f>
        <v>8.3333333333333329E-2</v>
      </c>
      <c r="Y131" s="377"/>
      <c r="Z131" s="389">
        <v>37</v>
      </c>
      <c r="AA131" s="290">
        <f t="shared" si="269"/>
        <v>0.24</v>
      </c>
      <c r="AB131" s="291"/>
      <c r="AC131" s="390">
        <f t="shared" si="270"/>
        <v>8.666666666666667E-2</v>
      </c>
      <c r="AD131" s="933">
        <f ca="1">VLOOKUP(AD127,Z129:AC134,4)</f>
        <v>8.666666666666667E-2</v>
      </c>
      <c r="AE131" s="377"/>
      <c r="AF131" s="389">
        <v>37</v>
      </c>
      <c r="AG131" s="290">
        <f t="shared" si="289"/>
        <v>0.26</v>
      </c>
      <c r="AH131" s="291"/>
      <c r="AI131" s="390">
        <f t="shared" si="290"/>
        <v>9.0000000000000011E-2</v>
      </c>
      <c r="AJ131" s="933">
        <f ca="1">VLOOKUP(AJ127,AF129:AI134,4)</f>
        <v>9.0000000000000011E-2</v>
      </c>
      <c r="AK131" s="377"/>
      <c r="AL131" s="389">
        <v>37</v>
      </c>
      <c r="AM131" s="290">
        <f t="shared" si="271"/>
        <v>0.51</v>
      </c>
      <c r="AN131" s="291"/>
      <c r="AO131" s="390">
        <f t="shared" si="272"/>
        <v>8.3333333333333329E-2</v>
      </c>
      <c r="AP131" s="933">
        <f ca="1">VLOOKUP(AP127,AL129:AO134,4)</f>
        <v>8.3333333333333329E-2</v>
      </c>
      <c r="AQ131" s="406"/>
      <c r="AR131" s="389">
        <v>37</v>
      </c>
      <c r="AS131" s="290">
        <f t="shared" si="273"/>
        <v>0.34</v>
      </c>
      <c r="AT131" s="291"/>
      <c r="AU131" s="390">
        <f t="shared" si="274"/>
        <v>8.3333333333333329E-2</v>
      </c>
      <c r="AV131" s="933">
        <f ca="1">VLOOKUP(AV127,AR129:AU134,4)</f>
        <v>8.3333333333333329E-2</v>
      </c>
      <c r="AW131" s="377"/>
      <c r="AX131" s="389">
        <v>37</v>
      </c>
      <c r="AY131" s="290">
        <f t="shared" si="275"/>
        <v>0.4</v>
      </c>
      <c r="AZ131" s="291"/>
      <c r="BA131" s="390">
        <f t="shared" si="276"/>
        <v>0.26333333333333336</v>
      </c>
      <c r="BB131" s="933">
        <f ca="1">VLOOKUP(BB127,AX129:BA134,4)</f>
        <v>0.26333333333333336</v>
      </c>
      <c r="BC131" s="377"/>
      <c r="BD131" s="389">
        <v>37</v>
      </c>
      <c r="BE131" s="290">
        <f t="shared" si="277"/>
        <v>0.79</v>
      </c>
      <c r="BF131" s="291"/>
      <c r="BG131" s="390">
        <f t="shared" si="278"/>
        <v>9.3333333333333338E-2</v>
      </c>
      <c r="BH131" s="933">
        <f ca="1">VLOOKUP(BH127,BD129:BG134,4)</f>
        <v>9.3333333333333338E-2</v>
      </c>
      <c r="BI131" s="377"/>
      <c r="BJ131" s="389">
        <v>37</v>
      </c>
      <c r="BK131" s="290">
        <f t="shared" si="279"/>
        <v>0.4</v>
      </c>
      <c r="BL131" s="291"/>
      <c r="BM131" s="390">
        <f t="shared" si="280"/>
        <v>0.26333333333333336</v>
      </c>
      <c r="BN131" s="933">
        <f ca="1">VLOOKUP(BN127,BJ129:BM134,4)</f>
        <v>0.26333333333333336</v>
      </c>
      <c r="BO131" s="377"/>
      <c r="BP131" s="389">
        <v>37</v>
      </c>
      <c r="BQ131" s="290">
        <f t="shared" si="281"/>
        <v>0.52</v>
      </c>
      <c r="BR131" s="291"/>
      <c r="BS131" s="390">
        <f t="shared" si="282"/>
        <v>8.3333333333333329E-2</v>
      </c>
      <c r="BT131" s="933">
        <f ca="1">VLOOKUP(BT127,BP129:BS134,4)</f>
        <v>8.3333333333333329E-2</v>
      </c>
      <c r="BU131" s="377"/>
      <c r="BV131" s="389">
        <v>37</v>
      </c>
      <c r="BW131" s="290">
        <f t="shared" si="283"/>
        <v>0.56999999999999995</v>
      </c>
      <c r="BX131" s="291"/>
      <c r="BY131" s="390">
        <f t="shared" si="284"/>
        <v>9.0000000000000011E-2</v>
      </c>
      <c r="BZ131" s="933">
        <f ca="1">VLOOKUP(BZ127,BV129:BY134,4)</f>
        <v>9.0000000000000011E-2</v>
      </c>
      <c r="CA131" s="377"/>
      <c r="CB131" s="389">
        <v>37</v>
      </c>
      <c r="CC131" s="290">
        <f t="shared" si="263"/>
        <v>0</v>
      </c>
      <c r="CD131" s="291">
        <v>-0.6</v>
      </c>
      <c r="CE131" s="390">
        <f t="shared" si="285"/>
        <v>0.19999999999999998</v>
      </c>
      <c r="CF131" s="933">
        <f ca="1">VLOOKUP(CF127,CB129:CE134,4)</f>
        <v>0.19999999999999998</v>
      </c>
      <c r="CG131" s="404"/>
      <c r="CH131" s="389">
        <v>37</v>
      </c>
      <c r="CI131" s="290">
        <f t="shared" si="264"/>
        <v>0.23</v>
      </c>
      <c r="CJ131" s="291">
        <f t="shared" si="264"/>
        <v>0.19</v>
      </c>
      <c r="CK131" s="390">
        <f t="shared" si="286"/>
        <v>4.0000000000000008E-2</v>
      </c>
      <c r="CL131" s="933">
        <f ca="1">VLOOKUP(CL127,CH129:CK134,4)</f>
        <v>4.0000000000000008E-2</v>
      </c>
      <c r="CN131" s="389">
        <v>37</v>
      </c>
      <c r="CO131" s="290">
        <f t="shared" si="265"/>
        <v>0.42</v>
      </c>
      <c r="CP131" s="291">
        <f t="shared" si="265"/>
        <v>0.45</v>
      </c>
      <c r="CQ131" s="390">
        <f t="shared" si="287"/>
        <v>3.0000000000000027E-2</v>
      </c>
      <c r="CR131" s="933">
        <f ca="1">VLOOKUP(CR127,CN129:CQ134,4)</f>
        <v>4.9999999999999933E-2</v>
      </c>
    </row>
    <row r="132" spans="2:96" ht="13">
      <c r="B132" s="389">
        <v>44</v>
      </c>
      <c r="C132" s="290">
        <v>9.9999999999999995E-7</v>
      </c>
      <c r="D132" s="290">
        <v>9.9999999999999995E-7</v>
      </c>
      <c r="E132" s="390">
        <v>9.9999999999999995E-7</v>
      </c>
      <c r="F132" s="934"/>
      <c r="G132" s="392"/>
      <c r="H132" s="389">
        <v>44</v>
      </c>
      <c r="I132" s="290">
        <v>9.9999999999999995E-7</v>
      </c>
      <c r="J132" s="290">
        <v>9.9999999999999995E-7</v>
      </c>
      <c r="K132" s="390">
        <v>9.9999999999999995E-7</v>
      </c>
      <c r="L132" s="934"/>
      <c r="M132" s="392"/>
      <c r="N132" s="389">
        <v>44</v>
      </c>
      <c r="O132" s="291">
        <v>9.9999999999999995E-7</v>
      </c>
      <c r="P132" s="291">
        <f t="shared" si="266"/>
        <v>-0.04</v>
      </c>
      <c r="Q132" s="390">
        <f t="shared" si="288"/>
        <v>4.0001000000000002E-2</v>
      </c>
      <c r="R132" s="934"/>
      <c r="S132" s="377"/>
      <c r="T132" s="389">
        <v>44</v>
      </c>
      <c r="U132" s="290">
        <f t="shared" si="267"/>
        <v>0.74</v>
      </c>
      <c r="V132" s="291"/>
      <c r="W132" s="390">
        <f t="shared" si="268"/>
        <v>8.3333333333333329E-2</v>
      </c>
      <c r="X132" s="934"/>
      <c r="Y132" s="377"/>
      <c r="Z132" s="389">
        <v>44</v>
      </c>
      <c r="AA132" s="290">
        <f t="shared" si="269"/>
        <v>0.24</v>
      </c>
      <c r="AB132" s="291"/>
      <c r="AC132" s="390">
        <f t="shared" si="270"/>
        <v>8.666666666666667E-2</v>
      </c>
      <c r="AD132" s="934"/>
      <c r="AE132" s="377"/>
      <c r="AF132" s="389">
        <v>44</v>
      </c>
      <c r="AG132" s="290">
        <f t="shared" si="289"/>
        <v>0.26</v>
      </c>
      <c r="AH132" s="291"/>
      <c r="AI132" s="390">
        <f t="shared" si="290"/>
        <v>9.0000000000000011E-2</v>
      </c>
      <c r="AJ132" s="934"/>
      <c r="AK132" s="377"/>
      <c r="AL132" s="389">
        <v>44</v>
      </c>
      <c r="AM132" s="290">
        <f t="shared" si="271"/>
        <v>0.51</v>
      </c>
      <c r="AN132" s="291"/>
      <c r="AO132" s="390">
        <f t="shared" si="272"/>
        <v>8.3333333333333329E-2</v>
      </c>
      <c r="AP132" s="934"/>
      <c r="AQ132" s="377"/>
      <c r="AR132" s="389">
        <v>44</v>
      </c>
      <c r="AS132" s="290">
        <f t="shared" si="273"/>
        <v>0.34</v>
      </c>
      <c r="AT132" s="291"/>
      <c r="AU132" s="390">
        <f t="shared" si="274"/>
        <v>8.3333333333333329E-2</v>
      </c>
      <c r="AV132" s="934"/>
      <c r="AW132" s="377"/>
      <c r="AX132" s="389">
        <v>44</v>
      </c>
      <c r="AY132" s="290">
        <f t="shared" si="275"/>
        <v>0.38</v>
      </c>
      <c r="AZ132" s="291"/>
      <c r="BA132" s="390">
        <f t="shared" si="276"/>
        <v>0.26333333333333336</v>
      </c>
      <c r="BB132" s="934"/>
      <c r="BC132" s="377"/>
      <c r="BD132" s="389">
        <v>44</v>
      </c>
      <c r="BE132" s="290">
        <f t="shared" si="277"/>
        <v>0.91</v>
      </c>
      <c r="BF132" s="291"/>
      <c r="BG132" s="390">
        <f t="shared" si="278"/>
        <v>9.3333333333333338E-2</v>
      </c>
      <c r="BH132" s="934"/>
      <c r="BI132" s="377"/>
      <c r="BJ132" s="389">
        <v>44</v>
      </c>
      <c r="BK132" s="290">
        <f t="shared" si="279"/>
        <v>0.38</v>
      </c>
      <c r="BL132" s="291"/>
      <c r="BM132" s="390">
        <f t="shared" si="280"/>
        <v>0.26333333333333336</v>
      </c>
      <c r="BN132" s="934"/>
      <c r="BO132" s="377"/>
      <c r="BP132" s="389">
        <v>44</v>
      </c>
      <c r="BQ132" s="290">
        <f t="shared" si="281"/>
        <v>0.6</v>
      </c>
      <c r="BR132" s="291"/>
      <c r="BS132" s="390">
        <f t="shared" si="282"/>
        <v>8.3333333333333329E-2</v>
      </c>
      <c r="BT132" s="934"/>
      <c r="BU132" s="377"/>
      <c r="BV132" s="389">
        <v>44</v>
      </c>
      <c r="BW132" s="290">
        <f t="shared" si="283"/>
        <v>0.7</v>
      </c>
      <c r="BX132" s="291"/>
      <c r="BY132" s="390">
        <f t="shared" si="284"/>
        <v>9.0000000000000011E-2</v>
      </c>
      <c r="BZ132" s="934"/>
      <c r="CA132" s="377"/>
      <c r="CB132" s="389">
        <v>44</v>
      </c>
      <c r="CC132" s="290">
        <f t="shared" si="263"/>
        <v>-1</v>
      </c>
      <c r="CD132" s="291">
        <v>-0.7</v>
      </c>
      <c r="CE132" s="390">
        <f t="shared" si="285"/>
        <v>0.19999999999999998</v>
      </c>
      <c r="CF132" s="934"/>
      <c r="CG132" s="405"/>
      <c r="CH132" s="389">
        <v>44</v>
      </c>
      <c r="CI132" s="290">
        <f t="shared" si="264"/>
        <v>0.25</v>
      </c>
      <c r="CJ132" s="291">
        <f t="shared" si="264"/>
        <v>0.21</v>
      </c>
      <c r="CK132" s="390">
        <f t="shared" si="286"/>
        <v>4.0000000000000008E-2</v>
      </c>
      <c r="CL132" s="934"/>
      <c r="CN132" s="389">
        <v>44</v>
      </c>
      <c r="CO132" s="290">
        <f t="shared" si="265"/>
        <v>0.56999999999999995</v>
      </c>
      <c r="CP132" s="291">
        <f t="shared" si="265"/>
        <v>0.52</v>
      </c>
      <c r="CQ132" s="390">
        <f t="shared" si="287"/>
        <v>4.9999999999999933E-2</v>
      </c>
      <c r="CR132" s="934"/>
    </row>
    <row r="133" spans="2:96" ht="13">
      <c r="B133" s="389">
        <v>50</v>
      </c>
      <c r="C133" s="290">
        <v>9.9999999999999995E-7</v>
      </c>
      <c r="D133" s="290">
        <v>9.9999999999999995E-7</v>
      </c>
      <c r="E133" s="390">
        <v>9.9999999999999995E-7</v>
      </c>
      <c r="F133" s="935">
        <f ca="1">(((F131-F129)/(F127-F125))*(F124-F125))+F129</f>
        <v>9.9999999999999995E-7</v>
      </c>
      <c r="G133" s="392"/>
      <c r="H133" s="389">
        <v>50</v>
      </c>
      <c r="I133" s="290">
        <v>9.9999999999999995E-7</v>
      </c>
      <c r="J133" s="290">
        <v>9.9999999999999995E-7</v>
      </c>
      <c r="K133" s="390">
        <v>9.9999999999999995E-7</v>
      </c>
      <c r="L133" s="935">
        <f ca="1">(((L131-L129)/(L127-L125))*(L124-L125))+L129</f>
        <v>9.9999999999999995E-7</v>
      </c>
      <c r="M133" s="392"/>
      <c r="N133" s="389">
        <v>50</v>
      </c>
      <c r="O133" s="291">
        <v>9.9999999999999995E-7</v>
      </c>
      <c r="P133" s="291">
        <f t="shared" si="266"/>
        <v>-0.04</v>
      </c>
      <c r="Q133" s="390">
        <f>IF(OR(O133=0,P133=0),$E$237/3,((MAX(O133:P133)-(MIN(O133:P133)))))</f>
        <v>4.0001000000000002E-2</v>
      </c>
      <c r="R133" s="935">
        <f ca="1">(((R131-R129)/(R127-R125))*(R124-R125))+R129</f>
        <v>4.0001000000000002E-2</v>
      </c>
      <c r="S133" s="377"/>
      <c r="T133" s="389">
        <v>50</v>
      </c>
      <c r="U133" s="290">
        <f t="shared" si="267"/>
        <v>0.83</v>
      </c>
      <c r="V133" s="291"/>
      <c r="W133" s="390">
        <f t="shared" si="268"/>
        <v>8.3333333333333329E-2</v>
      </c>
      <c r="X133" s="935">
        <f ca="1">(((X131-X129)/(X127-X125))*(X124-X125))+X129</f>
        <v>8.3333333333333329E-2</v>
      </c>
      <c r="Y133" s="377"/>
      <c r="Z133" s="389">
        <v>50</v>
      </c>
      <c r="AA133" s="290">
        <f t="shared" si="269"/>
        <v>0.24</v>
      </c>
      <c r="AB133" s="291"/>
      <c r="AC133" s="390">
        <f t="shared" si="270"/>
        <v>8.666666666666667E-2</v>
      </c>
      <c r="AD133" s="935">
        <f ca="1">(((AD131-AD129)/(AD127-AD125))*(AD124-AD125))+AD129</f>
        <v>8.666666666666667E-2</v>
      </c>
      <c r="AE133" s="377"/>
      <c r="AF133" s="389">
        <v>50</v>
      </c>
      <c r="AG133" s="290">
        <f t="shared" si="289"/>
        <v>0.27</v>
      </c>
      <c r="AH133" s="291"/>
      <c r="AI133" s="390">
        <f t="shared" si="290"/>
        <v>9.0000000000000011E-2</v>
      </c>
      <c r="AJ133" s="935">
        <f ca="1">(((AJ131-AJ129)/(AJ127-AJ125))*(AJ124-AJ125))+AJ129</f>
        <v>9.0000000000000011E-2</v>
      </c>
      <c r="AK133" s="377"/>
      <c r="AL133" s="389">
        <v>50</v>
      </c>
      <c r="AM133" s="290">
        <f t="shared" si="271"/>
        <v>0.52</v>
      </c>
      <c r="AN133" s="291"/>
      <c r="AO133" s="390">
        <f t="shared" si="272"/>
        <v>8.3333333333333329E-2</v>
      </c>
      <c r="AP133" s="935">
        <f ca="1">(((AP131-AP129)/(AP127-AP125))*(AP124-AP125))+AP129</f>
        <v>8.3333333333333329E-2</v>
      </c>
      <c r="AQ133" s="377"/>
      <c r="AR133" s="389">
        <v>50</v>
      </c>
      <c r="AS133" s="290">
        <f t="shared" si="273"/>
        <v>0.34</v>
      </c>
      <c r="AT133" s="291"/>
      <c r="AU133" s="390">
        <f t="shared" si="274"/>
        <v>8.3333333333333329E-2</v>
      </c>
      <c r="AV133" s="935">
        <f ca="1">(((AV131-AV129)/(AV127-AV125))*(AV124-AV125))+AV129</f>
        <v>8.3333333333333329E-2</v>
      </c>
      <c r="AW133" s="377"/>
      <c r="AX133" s="389">
        <v>50</v>
      </c>
      <c r="AY133" s="290">
        <f t="shared" si="275"/>
        <v>0.37</v>
      </c>
      <c r="AZ133" s="291"/>
      <c r="BA133" s="390">
        <f t="shared" si="276"/>
        <v>0.26333333333333336</v>
      </c>
      <c r="BB133" s="935">
        <f ca="1">(((BB131-BB129)/(BB127-BB125))*(BB124-BB125))+BB129</f>
        <v>0.26333333333333336</v>
      </c>
      <c r="BC133" s="377"/>
      <c r="BD133" s="389">
        <v>50</v>
      </c>
      <c r="BE133" s="290">
        <f t="shared" si="277"/>
        <v>0.99</v>
      </c>
      <c r="BF133" s="291"/>
      <c r="BG133" s="390">
        <f t="shared" si="278"/>
        <v>9.3333333333333338E-2</v>
      </c>
      <c r="BH133" s="935">
        <f ca="1">(((BH131-BH129)/(BH127-BH125))*(BH124-BH125))+BH129</f>
        <v>9.3333333333333338E-2</v>
      </c>
      <c r="BI133" s="377"/>
      <c r="BJ133" s="389">
        <v>50</v>
      </c>
      <c r="BK133" s="290">
        <f t="shared" si="279"/>
        <v>0.37</v>
      </c>
      <c r="BL133" s="291"/>
      <c r="BM133" s="390">
        <f t="shared" si="280"/>
        <v>0.26333333333333336</v>
      </c>
      <c r="BN133" s="935">
        <f ca="1">(((BN131-BN129)/(BN127-BN125))*(BN124-BN125))+BN129</f>
        <v>0.26333333333333336</v>
      </c>
      <c r="BO133" s="377"/>
      <c r="BP133" s="389">
        <v>50</v>
      </c>
      <c r="BQ133" s="290">
        <f t="shared" si="281"/>
        <v>0.65</v>
      </c>
      <c r="BR133" s="291"/>
      <c r="BS133" s="390">
        <f t="shared" si="282"/>
        <v>8.3333333333333329E-2</v>
      </c>
      <c r="BT133" s="935">
        <f ca="1">(((BT131-BT129)/(BT127-BT125))*(BT124-BT125))+BT129</f>
        <v>8.3333333333333329E-2</v>
      </c>
      <c r="BU133" s="377"/>
      <c r="BV133" s="389">
        <v>50</v>
      </c>
      <c r="BW133" s="290">
        <f t="shared" si="283"/>
        <v>0.77</v>
      </c>
      <c r="BX133" s="291"/>
      <c r="BY133" s="390">
        <f t="shared" si="284"/>
        <v>9.0000000000000011E-2</v>
      </c>
      <c r="BZ133" s="935">
        <f ca="1">(((BZ131-BZ129)/(BZ127-BZ125))*(BZ124-BZ125))+BZ129</f>
        <v>9.0000000000000011E-2</v>
      </c>
      <c r="CA133" s="377"/>
      <c r="CB133" s="389">
        <v>50</v>
      </c>
      <c r="CC133" s="290">
        <f t="shared" si="263"/>
        <v>-1.6</v>
      </c>
      <c r="CD133" s="291">
        <v>-0.7</v>
      </c>
      <c r="CE133" s="390">
        <f t="shared" si="285"/>
        <v>0.30000000000000004</v>
      </c>
      <c r="CF133" s="935">
        <f ca="1">(((CF131-CF129)/(CF127-CF125))*(CF124-CF125))+CF129</f>
        <v>0.19999999999999998</v>
      </c>
      <c r="CH133" s="389">
        <v>50</v>
      </c>
      <c r="CI133" s="290">
        <f t="shared" si="264"/>
        <v>0.27</v>
      </c>
      <c r="CJ133" s="291">
        <f t="shared" si="264"/>
        <v>0.22</v>
      </c>
      <c r="CK133" s="390">
        <f t="shared" si="286"/>
        <v>5.0000000000000017E-2</v>
      </c>
      <c r="CL133" s="935">
        <f ca="1">(((CL131-CL129)/(CL127-CL125))*(CL124-CL125))+CL129</f>
        <v>4.0000000000000008E-2</v>
      </c>
      <c r="CN133" s="389">
        <v>50</v>
      </c>
      <c r="CO133" s="290">
        <f t="shared" si="265"/>
        <v>0.67</v>
      </c>
      <c r="CP133" s="291">
        <f t="shared" si="265"/>
        <v>0.56999999999999995</v>
      </c>
      <c r="CQ133" s="390">
        <f t="shared" si="287"/>
        <v>0.10000000000000009</v>
      </c>
      <c r="CR133" s="935">
        <f ca="1">(((CR131-CR129)/(CR127-CR125))*(CR124-CR125))+CR129</f>
        <v>3.054285714285716E-2</v>
      </c>
    </row>
    <row r="134" spans="2:96" ht="13">
      <c r="B134" s="389">
        <v>100</v>
      </c>
      <c r="C134" s="290">
        <v>9.9999999999999995E-7</v>
      </c>
      <c r="D134" s="290">
        <v>9.9999999999999995E-7</v>
      </c>
      <c r="E134" s="390">
        <v>9.9999999999999995E-7</v>
      </c>
      <c r="F134" s="391"/>
      <c r="G134" s="392"/>
      <c r="H134" s="389">
        <v>100</v>
      </c>
      <c r="I134" s="290">
        <v>9.9999999999999995E-7</v>
      </c>
      <c r="J134" s="290">
        <v>9.9999999999999995E-7</v>
      </c>
      <c r="K134" s="390">
        <v>9.9999999999999995E-7</v>
      </c>
      <c r="L134" s="391"/>
      <c r="M134" s="392"/>
      <c r="N134" s="389">
        <v>100</v>
      </c>
      <c r="O134" s="291">
        <v>9.9999999999999995E-7</v>
      </c>
      <c r="P134" s="291">
        <f t="shared" si="266"/>
        <v>-0.17</v>
      </c>
      <c r="Q134" s="390">
        <f t="shared" si="288"/>
        <v>0.17000100000000001</v>
      </c>
      <c r="R134" s="391"/>
      <c r="S134" s="377"/>
      <c r="T134" s="389">
        <v>100</v>
      </c>
      <c r="U134" s="290">
        <f t="shared" si="267"/>
        <v>0.95</v>
      </c>
      <c r="V134" s="291"/>
      <c r="W134" s="390">
        <f t="shared" si="268"/>
        <v>8.3333333333333329E-2</v>
      </c>
      <c r="X134" s="391"/>
      <c r="Y134" s="377"/>
      <c r="Z134" s="389">
        <v>100</v>
      </c>
      <c r="AA134" s="290">
        <f t="shared" si="269"/>
        <v>0.33</v>
      </c>
      <c r="AB134" s="291"/>
      <c r="AC134" s="390">
        <f t="shared" si="270"/>
        <v>8.666666666666667E-2</v>
      </c>
      <c r="AD134" s="391"/>
      <c r="AE134" s="377"/>
      <c r="AF134" s="389">
        <v>100</v>
      </c>
      <c r="AG134" s="290">
        <f t="shared" si="289"/>
        <v>0.36</v>
      </c>
      <c r="AH134" s="291"/>
      <c r="AI134" s="390">
        <f t="shared" si="290"/>
        <v>9.0000000000000011E-2</v>
      </c>
      <c r="AJ134" s="391"/>
      <c r="AK134" s="377"/>
      <c r="AL134" s="389">
        <v>100</v>
      </c>
      <c r="AM134" s="290">
        <f t="shared" si="271"/>
        <v>0.61</v>
      </c>
      <c r="AN134" s="291"/>
      <c r="AO134" s="390">
        <f t="shared" si="272"/>
        <v>8.3333333333333329E-2</v>
      </c>
      <c r="AP134" s="391"/>
      <c r="AQ134" s="377"/>
      <c r="AR134" s="389">
        <v>100</v>
      </c>
      <c r="AS134" s="290">
        <f t="shared" si="273"/>
        <v>0.44</v>
      </c>
      <c r="AT134" s="291"/>
      <c r="AU134" s="390">
        <f t="shared" si="274"/>
        <v>8.3333333333333329E-2</v>
      </c>
      <c r="AV134" s="391"/>
      <c r="AW134" s="377"/>
      <c r="AX134" s="389">
        <v>100</v>
      </c>
      <c r="AY134" s="290">
        <f t="shared" si="275"/>
        <v>0.2</v>
      </c>
      <c r="AZ134" s="291"/>
      <c r="BA134" s="390">
        <f t="shared" si="276"/>
        <v>0.26333333333333336</v>
      </c>
      <c r="BB134" s="391"/>
      <c r="BC134" s="377"/>
      <c r="BD134" s="389">
        <v>100</v>
      </c>
      <c r="BE134" s="290">
        <f t="shared" si="277"/>
        <v>1.02</v>
      </c>
      <c r="BF134" s="291"/>
      <c r="BG134" s="390">
        <f t="shared" si="278"/>
        <v>9.3333333333333338E-2</v>
      </c>
      <c r="BH134" s="391"/>
      <c r="BI134" s="377"/>
      <c r="BJ134" s="389">
        <v>100</v>
      </c>
      <c r="BK134" s="290">
        <f t="shared" si="279"/>
        <v>0.2</v>
      </c>
      <c r="BL134" s="291"/>
      <c r="BM134" s="390">
        <f t="shared" si="280"/>
        <v>0.26333333333333336</v>
      </c>
      <c r="BN134" s="391"/>
      <c r="BO134" s="377"/>
      <c r="BP134" s="389">
        <v>100</v>
      </c>
      <c r="BQ134" s="290">
        <f t="shared" si="281"/>
        <v>0.37</v>
      </c>
      <c r="BR134" s="291"/>
      <c r="BS134" s="390">
        <f t="shared" si="282"/>
        <v>8.3333333333333329E-2</v>
      </c>
      <c r="BT134" s="391"/>
      <c r="BU134" s="377"/>
      <c r="BV134" s="389">
        <v>100</v>
      </c>
      <c r="BW134" s="290">
        <f t="shared" si="283"/>
        <v>0.67</v>
      </c>
      <c r="BX134" s="291"/>
      <c r="BY134" s="390">
        <f t="shared" si="284"/>
        <v>9.0000000000000011E-2</v>
      </c>
      <c r="BZ134" s="391"/>
      <c r="CA134" s="377"/>
      <c r="CB134" s="389">
        <v>100</v>
      </c>
      <c r="CC134" s="290">
        <f t="shared" si="263"/>
        <v>-1.7</v>
      </c>
      <c r="CD134" s="291">
        <v>-0.7</v>
      </c>
      <c r="CE134" s="390">
        <f t="shared" si="285"/>
        <v>0.90000000000000013</v>
      </c>
      <c r="CF134" s="391"/>
      <c r="CH134" s="389">
        <v>100</v>
      </c>
      <c r="CI134" s="290">
        <f t="shared" si="264"/>
        <v>0.31</v>
      </c>
      <c r="CJ134" s="291">
        <f t="shared" si="264"/>
        <v>0.23</v>
      </c>
      <c r="CK134" s="390">
        <f t="shared" si="286"/>
        <v>7.9999999999999988E-2</v>
      </c>
      <c r="CL134" s="391"/>
      <c r="CN134" s="389">
        <v>100</v>
      </c>
      <c r="CO134" s="290">
        <f t="shared" si="265"/>
        <v>0.95</v>
      </c>
      <c r="CP134" s="291">
        <f t="shared" si="265"/>
        <v>0.81</v>
      </c>
      <c r="CQ134" s="390">
        <f t="shared" si="287"/>
        <v>0.1399999999999999</v>
      </c>
      <c r="CR134" s="391"/>
    </row>
    <row r="135" spans="2:96" ht="13">
      <c r="B135" s="389">
        <v>150</v>
      </c>
      <c r="C135" s="290">
        <v>9.9999999999999995E-7</v>
      </c>
      <c r="D135" s="290">
        <v>9.9999999999999995E-7</v>
      </c>
      <c r="E135" s="390">
        <v>9.9999999999999995E-7</v>
      </c>
      <c r="F135" s="391"/>
      <c r="G135" s="392"/>
      <c r="H135" s="389">
        <v>150</v>
      </c>
      <c r="I135" s="290">
        <v>9.9999999999999995E-7</v>
      </c>
      <c r="J135" s="290">
        <v>9.9999999999999995E-7</v>
      </c>
      <c r="K135" s="390">
        <v>9.9999999999999995E-7</v>
      </c>
      <c r="L135" s="391"/>
      <c r="M135" s="392"/>
      <c r="N135" s="389">
        <v>150</v>
      </c>
      <c r="O135" s="291">
        <v>9.9999999999999995E-7</v>
      </c>
      <c r="P135" s="291">
        <f t="shared" si="266"/>
        <v>-0.28000000000000003</v>
      </c>
      <c r="Q135" s="390">
        <f t="shared" si="288"/>
        <v>0.280001</v>
      </c>
      <c r="R135" s="391"/>
      <c r="S135" s="377"/>
      <c r="T135" s="389">
        <v>150</v>
      </c>
      <c r="U135" s="290">
        <f t="shared" si="267"/>
        <v>0.34</v>
      </c>
      <c r="V135" s="291"/>
      <c r="W135" s="390">
        <f t="shared" si="268"/>
        <v>8.3333333333333329E-2</v>
      </c>
      <c r="X135" s="391"/>
      <c r="Y135" s="377"/>
      <c r="Z135" s="389">
        <v>150</v>
      </c>
      <c r="AA135" s="290">
        <f t="shared" si="269"/>
        <v>0.51</v>
      </c>
      <c r="AB135" s="291"/>
      <c r="AC135" s="390">
        <f t="shared" si="270"/>
        <v>8.666666666666667E-2</v>
      </c>
      <c r="AD135" s="391"/>
      <c r="AE135" s="377"/>
      <c r="AF135" s="389">
        <v>150</v>
      </c>
      <c r="AG135" s="290">
        <f t="shared" si="289"/>
        <v>0.54</v>
      </c>
      <c r="AH135" s="291"/>
      <c r="AI135" s="390">
        <f t="shared" si="290"/>
        <v>9.0000000000000011E-2</v>
      </c>
      <c r="AJ135" s="391"/>
      <c r="AK135" s="377"/>
      <c r="AL135" s="389">
        <v>150</v>
      </c>
      <c r="AM135" s="290">
        <f t="shared" si="271"/>
        <v>0.77</v>
      </c>
      <c r="AN135" s="291"/>
      <c r="AO135" s="390">
        <f t="shared" si="272"/>
        <v>8.3333333333333329E-2</v>
      </c>
      <c r="AP135" s="391"/>
      <c r="AQ135" s="377"/>
      <c r="AR135" s="389">
        <v>150</v>
      </c>
      <c r="AS135" s="290">
        <f t="shared" si="273"/>
        <v>0.62</v>
      </c>
      <c r="AT135" s="291"/>
      <c r="AU135" s="390">
        <f t="shared" si="274"/>
        <v>8.3333333333333329E-2</v>
      </c>
      <c r="AV135" s="391"/>
      <c r="AW135" s="377"/>
      <c r="AX135" s="389">
        <v>150</v>
      </c>
      <c r="AY135" s="290">
        <f t="shared" si="275"/>
        <v>-0.01</v>
      </c>
      <c r="AZ135" s="291"/>
      <c r="BA135" s="390">
        <f t="shared" si="276"/>
        <v>0.26333333333333336</v>
      </c>
      <c r="BB135" s="391"/>
      <c r="BC135" s="377"/>
      <c r="BD135" s="389">
        <v>150</v>
      </c>
      <c r="BE135" s="290">
        <f t="shared" si="277"/>
        <v>0.63</v>
      </c>
      <c r="BF135" s="291"/>
      <c r="BG135" s="390">
        <f t="shared" si="278"/>
        <v>9.3333333333333338E-2</v>
      </c>
      <c r="BH135" s="391"/>
      <c r="BI135" s="377"/>
      <c r="BJ135" s="389">
        <v>150</v>
      </c>
      <c r="BK135" s="290">
        <f t="shared" si="279"/>
        <v>-0.01</v>
      </c>
      <c r="BL135" s="291"/>
      <c r="BM135" s="390">
        <f t="shared" si="280"/>
        <v>0.26333333333333336</v>
      </c>
      <c r="BN135" s="391"/>
      <c r="BO135" s="377"/>
      <c r="BP135" s="389">
        <v>150</v>
      </c>
      <c r="BQ135" s="290">
        <f t="shared" si="281"/>
        <v>-0.35</v>
      </c>
      <c r="BR135" s="291"/>
      <c r="BS135" s="390">
        <f t="shared" si="282"/>
        <v>8.3333333333333329E-2</v>
      </c>
      <c r="BT135" s="391"/>
      <c r="BU135" s="377"/>
      <c r="BV135" s="389">
        <v>150</v>
      </c>
      <c r="BW135" s="290">
        <f t="shared" si="283"/>
        <v>-0.12</v>
      </c>
      <c r="BX135" s="291"/>
      <c r="BY135" s="390">
        <f t="shared" si="284"/>
        <v>9.0000000000000011E-2</v>
      </c>
      <c r="BZ135" s="391"/>
      <c r="CA135" s="377"/>
      <c r="CB135" s="389">
        <v>150</v>
      </c>
      <c r="CC135" s="290">
        <f t="shared" si="263"/>
        <v>-0.9</v>
      </c>
      <c r="CD135" s="291">
        <v>-0.7</v>
      </c>
      <c r="CE135" s="390">
        <f t="shared" si="285"/>
        <v>1</v>
      </c>
      <c r="CF135" s="391"/>
      <c r="CH135" s="389">
        <v>150</v>
      </c>
      <c r="CI135" s="290">
        <f t="shared" si="264"/>
        <v>0.3</v>
      </c>
      <c r="CJ135" s="291">
        <f t="shared" si="264"/>
        <v>0.22</v>
      </c>
      <c r="CK135" s="390">
        <f t="shared" si="286"/>
        <v>7.9999999999999988E-2</v>
      </c>
      <c r="CL135" s="391"/>
      <c r="CN135" s="389">
        <v>150</v>
      </c>
      <c r="CO135" s="290">
        <f t="shared" si="265"/>
        <v>0.49</v>
      </c>
      <c r="CP135" s="291">
        <f t="shared" si="265"/>
        <v>0.87</v>
      </c>
      <c r="CQ135" s="390">
        <f t="shared" si="287"/>
        <v>0.38</v>
      </c>
      <c r="CR135" s="391"/>
    </row>
    <row r="136" spans="2:96" ht="13">
      <c r="B136" s="389">
        <v>200</v>
      </c>
      <c r="C136" s="290">
        <v>9.9999999999999995E-7</v>
      </c>
      <c r="D136" s="290">
        <v>9.9999999999999995E-7</v>
      </c>
      <c r="E136" s="390">
        <v>9.9999999999999995E-7</v>
      </c>
      <c r="F136" s="391"/>
      <c r="G136" s="392"/>
      <c r="H136" s="389">
        <v>200</v>
      </c>
      <c r="I136" s="290">
        <v>9.9999999999999995E-7</v>
      </c>
      <c r="J136" s="290">
        <v>9.9999999999999995E-7</v>
      </c>
      <c r="K136" s="390">
        <v>9.9999999999999995E-7</v>
      </c>
      <c r="L136" s="391"/>
      <c r="M136" s="392"/>
      <c r="N136" s="389">
        <v>200</v>
      </c>
      <c r="O136" s="291">
        <v>9.9999999999999995E-7</v>
      </c>
      <c r="P136" s="291">
        <f t="shared" si="266"/>
        <v>0</v>
      </c>
      <c r="Q136" s="390">
        <f t="shared" si="288"/>
        <v>9.3333333333333338E-2</v>
      </c>
      <c r="R136" s="391"/>
      <c r="S136" s="377"/>
      <c r="T136" s="389">
        <v>200</v>
      </c>
      <c r="U136" s="290">
        <f t="shared" si="267"/>
        <v>-0.41</v>
      </c>
      <c r="V136" s="291"/>
      <c r="W136" s="390">
        <f t="shared" si="268"/>
        <v>8.3333333333333329E-2</v>
      </c>
      <c r="X136" s="391"/>
      <c r="Y136" s="377"/>
      <c r="Z136" s="389">
        <v>200</v>
      </c>
      <c r="AA136" s="290">
        <f t="shared" si="269"/>
        <v>0.74</v>
      </c>
      <c r="AB136" s="291"/>
      <c r="AC136" s="390">
        <f t="shared" si="270"/>
        <v>8.666666666666667E-2</v>
      </c>
      <c r="AD136" s="391"/>
      <c r="AE136" s="377"/>
      <c r="AF136" s="389">
        <v>200</v>
      </c>
      <c r="AG136" s="290">
        <f t="shared" si="289"/>
        <v>0.81</v>
      </c>
      <c r="AH136" s="291"/>
      <c r="AI136" s="390">
        <f t="shared" si="290"/>
        <v>9.0000000000000011E-2</v>
      </c>
      <c r="AJ136" s="391"/>
      <c r="AK136" s="377"/>
      <c r="AL136" s="389">
        <v>200</v>
      </c>
      <c r="AM136" s="290">
        <f t="shared" si="271"/>
        <v>1.02</v>
      </c>
      <c r="AN136" s="291"/>
      <c r="AO136" s="390">
        <f t="shared" si="272"/>
        <v>8.3333333333333329E-2</v>
      </c>
      <c r="AP136" s="391"/>
      <c r="AQ136" s="377"/>
      <c r="AR136" s="389">
        <v>200</v>
      </c>
      <c r="AS136" s="290">
        <f t="shared" si="273"/>
        <v>0.83</v>
      </c>
      <c r="AT136" s="291"/>
      <c r="AU136" s="390">
        <f t="shared" si="274"/>
        <v>8.3333333333333329E-2</v>
      </c>
      <c r="AV136" s="391"/>
      <c r="AW136" s="377"/>
      <c r="AX136" s="389">
        <v>200</v>
      </c>
      <c r="AY136" s="290">
        <f t="shared" si="275"/>
        <v>-0.28999999999999998</v>
      </c>
      <c r="AZ136" s="291"/>
      <c r="BA136" s="390">
        <f t="shared" si="276"/>
        <v>0.26333333333333336</v>
      </c>
      <c r="BB136" s="391"/>
      <c r="BC136" s="377"/>
      <c r="BD136" s="389">
        <v>200</v>
      </c>
      <c r="BE136" s="290">
        <f t="shared" si="277"/>
        <v>0.8</v>
      </c>
      <c r="BF136" s="291"/>
      <c r="BG136" s="390">
        <f t="shared" si="278"/>
        <v>9.3333333333333338E-2</v>
      </c>
      <c r="BH136" s="391"/>
      <c r="BI136" s="377"/>
      <c r="BJ136" s="389">
        <v>200</v>
      </c>
      <c r="BK136" s="290">
        <f t="shared" si="279"/>
        <v>-0.28999999999999998</v>
      </c>
      <c r="BL136" s="291"/>
      <c r="BM136" s="390">
        <f t="shared" si="280"/>
        <v>0.26333333333333336</v>
      </c>
      <c r="BN136" s="391"/>
      <c r="BO136" s="377"/>
      <c r="BP136" s="389">
        <v>200</v>
      </c>
      <c r="BQ136" s="290">
        <f t="shared" si="281"/>
        <v>-0.36</v>
      </c>
      <c r="BR136" s="291"/>
      <c r="BS136" s="390">
        <f t="shared" si="282"/>
        <v>8.3333333333333329E-2</v>
      </c>
      <c r="BT136" s="391"/>
      <c r="BU136" s="377"/>
      <c r="BV136" s="389">
        <v>200</v>
      </c>
      <c r="BW136" s="290">
        <f t="shared" si="283"/>
        <v>-0.65</v>
      </c>
      <c r="BX136" s="291"/>
      <c r="BY136" s="390">
        <f t="shared" si="284"/>
        <v>9.0000000000000011E-2</v>
      </c>
      <c r="BZ136" s="391"/>
      <c r="CA136" s="377"/>
      <c r="CB136" s="389">
        <v>200</v>
      </c>
      <c r="CC136" s="290">
        <f t="shared" si="263"/>
        <v>0</v>
      </c>
      <c r="CD136" s="291">
        <v>-0.6</v>
      </c>
      <c r="CE136" s="390">
        <f t="shared" si="285"/>
        <v>0.30000000000000004</v>
      </c>
      <c r="CF136" s="391"/>
      <c r="CH136" s="389">
        <v>200</v>
      </c>
      <c r="CI136" s="290">
        <f t="shared" si="264"/>
        <v>0.34</v>
      </c>
      <c r="CJ136" s="291">
        <f t="shared" si="264"/>
        <v>0.47</v>
      </c>
      <c r="CK136" s="390">
        <f t="shared" si="286"/>
        <v>0.12999999999999995</v>
      </c>
      <c r="CL136" s="391"/>
      <c r="CN136" s="389">
        <v>200</v>
      </c>
      <c r="CO136" s="290">
        <f t="shared" si="265"/>
        <v>-0.26</v>
      </c>
      <c r="CP136" s="291">
        <f t="shared" si="265"/>
        <v>0.99</v>
      </c>
      <c r="CQ136" s="390">
        <f t="shared" si="287"/>
        <v>1.25</v>
      </c>
      <c r="CR136" s="391"/>
    </row>
    <row r="137" spans="2:96" s="377" customFormat="1" ht="13">
      <c r="B137" s="397"/>
      <c r="C137" s="378"/>
      <c r="D137" s="378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R137" s="395"/>
      <c r="T137" s="378"/>
      <c r="U137" s="378"/>
      <c r="V137" s="378"/>
      <c r="W137" s="378"/>
      <c r="X137" s="395"/>
      <c r="Y137" s="378"/>
      <c r="Z137" s="378"/>
      <c r="AA137" s="378"/>
      <c r="AB137" s="378"/>
      <c r="AD137" s="395"/>
      <c r="AH137" s="378"/>
      <c r="AJ137" s="395"/>
      <c r="AN137" s="378"/>
      <c r="AP137" s="395"/>
      <c r="AT137" s="378"/>
      <c r="AV137" s="395"/>
      <c r="AZ137" s="378"/>
      <c r="BB137" s="395"/>
      <c r="BF137" s="378"/>
      <c r="BH137" s="395"/>
      <c r="BL137" s="378"/>
      <c r="BN137" s="395"/>
      <c r="BR137" s="378"/>
      <c r="BT137" s="395"/>
      <c r="BX137" s="378"/>
      <c r="BZ137" s="395"/>
      <c r="CD137" s="378"/>
      <c r="CF137" s="395"/>
      <c r="CJ137" s="378"/>
      <c r="CL137" s="395"/>
      <c r="CP137" s="378"/>
      <c r="CR137" s="395"/>
    </row>
    <row r="138" spans="2:96" ht="24.75" customHeight="1">
      <c r="B138" s="1198" t="s">
        <v>395</v>
      </c>
      <c r="C138" s="1200" t="str">
        <f>C123</f>
        <v>Thermocouple Data Logger, Merek : MADGETECH, Model : OctTemp 2000, SN : P40270</v>
      </c>
      <c r="D138" s="1200"/>
      <c r="E138" s="1200"/>
      <c r="F138" s="380" t="s">
        <v>648</v>
      </c>
      <c r="G138" s="381"/>
      <c r="H138" s="1198" t="str">
        <f>B138</f>
        <v>CH 10</v>
      </c>
      <c r="I138" s="1200" t="str">
        <f>I123</f>
        <v>Thermocouple Data Logger, Merek : MADGETECH, Model : OctTemp 2000, SN : P41878</v>
      </c>
      <c r="J138" s="1200"/>
      <c r="K138" s="1200"/>
      <c r="L138" s="380" t="s">
        <v>648</v>
      </c>
      <c r="M138" s="381"/>
      <c r="N138" s="1198" t="str">
        <f>H138</f>
        <v>CH 10</v>
      </c>
      <c r="O138" s="1200" t="str">
        <f>O123</f>
        <v>Mobile Corder, Merek : Yokogawa, Model : GP 10, SN : S5T810599</v>
      </c>
      <c r="P138" s="1203"/>
      <c r="Q138" s="1200"/>
      <c r="R138" s="380" t="s">
        <v>648</v>
      </c>
      <c r="S138" s="377"/>
      <c r="T138" s="1198" t="str">
        <f>N138</f>
        <v>CH 10</v>
      </c>
      <c r="U138" s="1200" t="str">
        <f>U123</f>
        <v>Wireless Temperature Recorder, Merek : HIOKI, Model : LR 8510, SN : 200936000</v>
      </c>
      <c r="V138" s="1203"/>
      <c r="W138" s="1200"/>
      <c r="X138" s="380" t="s">
        <v>648</v>
      </c>
      <c r="Y138" s="377"/>
      <c r="Z138" s="1198" t="str">
        <f>T138</f>
        <v>CH 10</v>
      </c>
      <c r="AA138" s="1200" t="str">
        <f>AA123</f>
        <v>Wireless Temperature Recorder, Merek : HIOKI, Model : LR 8510, SN : 200936001</v>
      </c>
      <c r="AB138" s="1203"/>
      <c r="AC138" s="1200"/>
      <c r="AD138" s="380" t="s">
        <v>648</v>
      </c>
      <c r="AE138" s="377"/>
      <c r="AF138" s="1198" t="str">
        <f>Z138</f>
        <v>CH 10</v>
      </c>
      <c r="AG138" s="1200" t="str">
        <f>AG123</f>
        <v>Wireless Temperature Recorder, Merek : HIOKI, Model : LR 8510, SN : 200821397</v>
      </c>
      <c r="AH138" s="1203"/>
      <c r="AI138" s="1200"/>
      <c r="AJ138" s="380" t="s">
        <v>648</v>
      </c>
      <c r="AK138" s="377"/>
      <c r="AL138" s="1198" t="str">
        <f>AF138</f>
        <v>CH 10</v>
      </c>
      <c r="AM138" s="1200" t="str">
        <f>AM123</f>
        <v>Wireless Temperature Recorder, Merek : HIOKI, Model : LR 8510, SN : 210411983</v>
      </c>
      <c r="AN138" s="1203"/>
      <c r="AO138" s="1200"/>
      <c r="AP138" s="380" t="s">
        <v>648</v>
      </c>
      <c r="AQ138" s="406"/>
      <c r="AR138" s="1198" t="str">
        <f>AL138</f>
        <v>CH 10</v>
      </c>
      <c r="AS138" s="1200" t="str">
        <f>AS123</f>
        <v>Wireless Temperature Recorder, Merek : HIOKI, Model : LR 8510, SN : 210411984</v>
      </c>
      <c r="AT138" s="1203"/>
      <c r="AU138" s="1200"/>
      <c r="AV138" s="380" t="s">
        <v>648</v>
      </c>
      <c r="AW138" s="377"/>
      <c r="AX138" s="1198" t="str">
        <f>AR138</f>
        <v>CH 10</v>
      </c>
      <c r="AY138" s="1200" t="str">
        <f>AY123</f>
        <v>Wireless Temperature Recorder, Merek : HIOKI, Model : LR 8510, SN : 210411985</v>
      </c>
      <c r="AZ138" s="1203"/>
      <c r="BA138" s="1200"/>
      <c r="BB138" s="380" t="s">
        <v>648</v>
      </c>
      <c r="BC138" s="377"/>
      <c r="BD138" s="1198" t="str">
        <f>AX138</f>
        <v>CH 10</v>
      </c>
      <c r="BE138" s="1200" t="str">
        <f>BE123</f>
        <v>Wireless Temperature Recorder, Merek : HIOKI, Model : LR 8510, SN : 210746054</v>
      </c>
      <c r="BF138" s="1203"/>
      <c r="BG138" s="1200"/>
      <c r="BH138" s="380" t="s">
        <v>648</v>
      </c>
      <c r="BI138" s="377"/>
      <c r="BJ138" s="1198" t="str">
        <f>BD138</f>
        <v>CH 10</v>
      </c>
      <c r="BK138" s="1200" t="str">
        <f>BK123</f>
        <v>Wireless Temperature Recorder, Merek : HIOKI, Model : LR 8510, SN : 210746055</v>
      </c>
      <c r="BL138" s="1203"/>
      <c r="BM138" s="1200"/>
      <c r="BN138" s="380" t="s">
        <v>648</v>
      </c>
      <c r="BO138" s="377"/>
      <c r="BP138" s="1198" t="str">
        <f>BJ138</f>
        <v>CH 10</v>
      </c>
      <c r="BQ138" s="1200" t="str">
        <f>BQ123</f>
        <v>Wireless Temperature Recorder, Merek : HIOKI, Model : LR 8510, SN : 210746056</v>
      </c>
      <c r="BR138" s="1203"/>
      <c r="BS138" s="1200"/>
      <c r="BT138" s="380" t="s">
        <v>648</v>
      </c>
      <c r="BU138" s="377"/>
      <c r="BV138" s="1198" t="str">
        <f>BP138</f>
        <v>CH 10</v>
      </c>
      <c r="BW138" s="1200" t="str">
        <f>BW123</f>
        <v>Wireless Temperature Recorder, Merek : HIOKI, Model : LR 8510, SN : 200821396</v>
      </c>
      <c r="BX138" s="1203"/>
      <c r="BY138" s="1200"/>
      <c r="BZ138" s="380" t="s">
        <v>648</v>
      </c>
      <c r="CA138" s="377"/>
      <c r="CB138" s="1198" t="str">
        <f>BV138</f>
        <v>CH 10</v>
      </c>
      <c r="CC138" s="1200" t="str">
        <f t="shared" ref="CC138:CD151" si="291">CC123</f>
        <v>Reference Thermometer, Merek : APPA, Model : APPA51, SN : 03002948</v>
      </c>
      <c r="CD138" s="1203"/>
      <c r="CE138" s="1200"/>
      <c r="CF138" s="380" t="s">
        <v>648</v>
      </c>
      <c r="CH138" s="1198" t="str">
        <f>CB138</f>
        <v>CH 10</v>
      </c>
      <c r="CI138" s="1200" t="str">
        <f t="shared" ref="CI138:CJ151" si="292">CI123</f>
        <v>Reference Thermometer, Merek : FLUKE, Model : 1524, SN : 1803038</v>
      </c>
      <c r="CJ138" s="1203"/>
      <c r="CK138" s="1200"/>
      <c r="CL138" s="380" t="s">
        <v>648</v>
      </c>
      <c r="CN138" s="1198" t="str">
        <f>CH138</f>
        <v>CH 10</v>
      </c>
      <c r="CO138" s="1200" t="str">
        <f t="shared" ref="CO138:CP151" si="293">CO123</f>
        <v>Reference Thermometer, Merek : FLUKE, Model : 1524, SN : 1803037</v>
      </c>
      <c r="CP138" s="1203"/>
      <c r="CQ138" s="1200"/>
      <c r="CR138" s="380" t="s">
        <v>648</v>
      </c>
    </row>
    <row r="139" spans="2:96" ht="13">
      <c r="B139" s="1199"/>
      <c r="C139" s="387"/>
      <c r="D139" s="387"/>
      <c r="E139" s="384" t="s">
        <v>386</v>
      </c>
      <c r="F139" s="388">
        <f ca="1">$B$290</f>
        <v>37.19</v>
      </c>
      <c r="G139" s="385"/>
      <c r="H139" s="1199"/>
      <c r="I139" s="386"/>
      <c r="J139" s="387"/>
      <c r="K139" s="384" t="s">
        <v>386</v>
      </c>
      <c r="L139" s="388">
        <f ca="1">$B$290</f>
        <v>37.19</v>
      </c>
      <c r="M139" s="385"/>
      <c r="N139" s="1199"/>
      <c r="O139" s="386">
        <f>O34</f>
        <v>2021</v>
      </c>
      <c r="P139" s="387">
        <f>P34</f>
        <v>2023</v>
      </c>
      <c r="Q139" s="384" t="s">
        <v>386</v>
      </c>
      <c r="R139" s="388">
        <f ca="1">$B$290</f>
        <v>37.19</v>
      </c>
      <c r="S139" s="377"/>
      <c r="T139" s="1199"/>
      <c r="U139" s="386">
        <f>U124</f>
        <v>2021</v>
      </c>
      <c r="V139" s="387"/>
      <c r="W139" s="384" t="s">
        <v>386</v>
      </c>
      <c r="X139" s="388">
        <f ca="1">$B$290</f>
        <v>37.19</v>
      </c>
      <c r="Y139" s="377"/>
      <c r="Z139" s="1199"/>
      <c r="AA139" s="386">
        <f>AA124</f>
        <v>2023</v>
      </c>
      <c r="AB139" s="387">
        <f>AB124</f>
        <v>2021</v>
      </c>
      <c r="AC139" s="384" t="s">
        <v>386</v>
      </c>
      <c r="AD139" s="388">
        <f ca="1">$B$290</f>
        <v>37.19</v>
      </c>
      <c r="AE139" s="377"/>
      <c r="AF139" s="1199"/>
      <c r="AG139" s="386">
        <f>AG124</f>
        <v>2023</v>
      </c>
      <c r="AH139" s="386">
        <f>AH124</f>
        <v>2021</v>
      </c>
      <c r="AI139" s="384" t="s">
        <v>386</v>
      </c>
      <c r="AJ139" s="388">
        <f ca="1">$B$290</f>
        <v>37.19</v>
      </c>
      <c r="AK139" s="377"/>
      <c r="AL139" s="1199"/>
      <c r="AM139" s="386">
        <f>AM124</f>
        <v>2021</v>
      </c>
      <c r="AN139" s="387"/>
      <c r="AO139" s="384" t="s">
        <v>386</v>
      </c>
      <c r="AP139" s="388">
        <f ca="1">$B$290</f>
        <v>37.19</v>
      </c>
      <c r="AQ139" s="406"/>
      <c r="AR139" s="1199"/>
      <c r="AS139" s="386">
        <f>AS124</f>
        <v>2021</v>
      </c>
      <c r="AT139" s="387"/>
      <c r="AU139" s="384" t="s">
        <v>386</v>
      </c>
      <c r="AV139" s="388">
        <f ca="1">$B$290</f>
        <v>37.19</v>
      </c>
      <c r="AW139" s="377"/>
      <c r="AX139" s="1199"/>
      <c r="AY139" s="386">
        <f>AY124</f>
        <v>2021</v>
      </c>
      <c r="AZ139" s="387"/>
      <c r="BA139" s="384" t="s">
        <v>386</v>
      </c>
      <c r="BB139" s="388">
        <f ca="1">$B$290</f>
        <v>37.19</v>
      </c>
      <c r="BC139" s="377"/>
      <c r="BD139" s="1199"/>
      <c r="BE139" s="386">
        <f>BE124</f>
        <v>2021</v>
      </c>
      <c r="BF139" s="387"/>
      <c r="BG139" s="384" t="s">
        <v>386</v>
      </c>
      <c r="BH139" s="388">
        <f ca="1">$B$290</f>
        <v>37.19</v>
      </c>
      <c r="BI139" s="377"/>
      <c r="BJ139" s="1199"/>
      <c r="BK139" s="386">
        <f>BK124</f>
        <v>2021</v>
      </c>
      <c r="BL139" s="387"/>
      <c r="BM139" s="384" t="s">
        <v>386</v>
      </c>
      <c r="BN139" s="388">
        <f ca="1">$B$290</f>
        <v>37.19</v>
      </c>
      <c r="BO139" s="377"/>
      <c r="BP139" s="1199"/>
      <c r="BQ139" s="386">
        <f>BQ124</f>
        <v>2021</v>
      </c>
      <c r="BR139" s="387"/>
      <c r="BS139" s="384" t="s">
        <v>386</v>
      </c>
      <c r="BT139" s="388">
        <f ca="1">$B$290</f>
        <v>37.19</v>
      </c>
      <c r="BU139" s="377"/>
      <c r="BV139" s="1199"/>
      <c r="BW139" s="386">
        <f>BW124</f>
        <v>2022</v>
      </c>
      <c r="BX139" s="387"/>
      <c r="BY139" s="384" t="s">
        <v>386</v>
      </c>
      <c r="BZ139" s="388">
        <f ca="1">$B$290</f>
        <v>37.19</v>
      </c>
      <c r="CA139" s="377"/>
      <c r="CB139" s="1199"/>
      <c r="CC139" s="386">
        <f t="shared" si="291"/>
        <v>2022</v>
      </c>
      <c r="CD139" s="387">
        <f>CD124</f>
        <v>2020</v>
      </c>
      <c r="CE139" s="384" t="s">
        <v>386</v>
      </c>
      <c r="CF139" s="388">
        <f ca="1">$B$290</f>
        <v>37.19</v>
      </c>
      <c r="CG139" s="400"/>
      <c r="CH139" s="1199"/>
      <c r="CI139" s="386">
        <f t="shared" si="292"/>
        <v>2021</v>
      </c>
      <c r="CJ139" s="387">
        <f>CJ124</f>
        <v>2019</v>
      </c>
      <c r="CK139" s="384" t="s">
        <v>386</v>
      </c>
      <c r="CL139" s="388">
        <f ca="1">$B$290</f>
        <v>37.19</v>
      </c>
      <c r="CN139" s="1199"/>
      <c r="CO139" s="386">
        <f t="shared" si="293"/>
        <v>2021</v>
      </c>
      <c r="CP139" s="387">
        <f>CP124</f>
        <v>2020</v>
      </c>
      <c r="CQ139" s="384" t="s">
        <v>386</v>
      </c>
      <c r="CR139" s="388">
        <f ca="1">$B$290</f>
        <v>37.19</v>
      </c>
    </row>
    <row r="140" spans="2:96" ht="13">
      <c r="B140" s="389">
        <v>-20</v>
      </c>
      <c r="C140" s="290">
        <v>9.9999999999999995E-7</v>
      </c>
      <c r="D140" s="290">
        <v>9.9999999999999995E-7</v>
      </c>
      <c r="E140" s="390">
        <v>9.9999999999999995E-7</v>
      </c>
      <c r="F140" s="932">
        <f ca="1">IF($L$4&lt;=$B$10,$B$9,IF($L$4&lt;=$B$11,$B$10,IF($L$4&lt;=$B$12,$B$11,IF($L$4&lt;=$B$13,$B$12,IF($L$4&lt;=$B$14,$B$13)))))</f>
        <v>37</v>
      </c>
      <c r="G140" s="392"/>
      <c r="H140" s="389">
        <v>-20</v>
      </c>
      <c r="I140" s="290">
        <v>9.9999999999999995E-7</v>
      </c>
      <c r="J140" s="290">
        <v>9.9999999999999995E-7</v>
      </c>
      <c r="K140" s="390">
        <v>9.9999999999999995E-7</v>
      </c>
      <c r="L140" s="932">
        <f ca="1">IF($L$4&lt;=$B$10,$B$9,IF($L$4&lt;=$B$11,$B$10,IF($L$4&lt;=$B$12,$B$11,IF($L$4&lt;=$B$13,$B$12,IF($L$4&lt;=$B$14,$B$13)))))</f>
        <v>37</v>
      </c>
      <c r="M140" s="392"/>
      <c r="N140" s="389">
        <v>-20</v>
      </c>
      <c r="O140" s="290">
        <v>9.9999999999999995E-7</v>
      </c>
      <c r="P140" s="290">
        <f>W225</f>
        <v>-0.46</v>
      </c>
      <c r="Q140" s="390">
        <f>IF(OR(O140=0,P140=0),$E$237/3,((MAX(O140:P140)-(MIN(O140:P140)))))</f>
        <v>0.46000099999999999</v>
      </c>
      <c r="R140" s="932">
        <f ca="1">IF($L$4&lt;=$B$10,$B$9,IF($L$4&lt;=$B$11,$B$10,IF($L$4&lt;=$B$12,$B$11,IF($L$4&lt;=$B$13,$B$12,IF($L$4&lt;=$B$14,$B$13)))))</f>
        <v>37</v>
      </c>
      <c r="S140" s="377"/>
      <c r="T140" s="389">
        <v>-20</v>
      </c>
      <c r="U140" s="290">
        <f t="shared" ref="U140:U151" si="294">X225</f>
        <v>-1.35</v>
      </c>
      <c r="V140" s="291"/>
      <c r="W140" s="390">
        <f>IF(OR(U140=0,V140=0),$X$237/3,((MAX(U140:V140)-(MIN(U140:V140)))))</f>
        <v>8.666666666666667E-2</v>
      </c>
      <c r="X140" s="932">
        <f ca="1">IF($L$4&lt;=$B$10,$B$9,IF($L$4&lt;=$B$11,$B$10,IF($L$4&lt;=$B$12,$B$11,IF($L$4&lt;=$B$13,$B$12,IF($L$4&lt;=$B$14,$B$13)))))</f>
        <v>37</v>
      </c>
      <c r="Y140" s="377"/>
      <c r="Z140" s="389">
        <v>-20</v>
      </c>
      <c r="AA140" s="290">
        <f t="shared" ref="AA140:AA151" si="295">Y225</f>
        <v>0.21</v>
      </c>
      <c r="AB140" s="291"/>
      <c r="AC140" s="390">
        <f>IF(OR(AA140=0,AB140=0),$Y$237/3,((MAX(AA140:AB140)-(MIN(AA140:AB140)))))</f>
        <v>8.666666666666667E-2</v>
      </c>
      <c r="AD140" s="932">
        <f ca="1">IF($L$4&lt;=$B$10,$B$9,IF($L$4&lt;=$B$11,$B$10,IF($L$4&lt;=$B$12,$B$11,IF($L$4&lt;=$B$13,$B$12,IF($L$4&lt;=$B$14,$B$13)))))</f>
        <v>37</v>
      </c>
      <c r="AE140" s="377"/>
      <c r="AF140" s="389">
        <v>-20</v>
      </c>
      <c r="AG140" s="290">
        <f>Z225</f>
        <v>0.22</v>
      </c>
      <c r="AH140" s="291"/>
      <c r="AI140" s="390">
        <f>IF(OR(AG140=0,AH140=0),$Z$237/3,((MAX(AG140:AH140)-(MIN(AG140:AH140)))))</f>
        <v>9.3333333333333338E-2</v>
      </c>
      <c r="AJ140" s="932">
        <f ca="1">IF($L$4&lt;=$B$10,$B$9,IF($L$4&lt;=$B$11,$B$10,IF($L$4&lt;=$B$12,$B$11,IF($L$4&lt;=$B$13,$B$12,IF($L$4&lt;=$B$14,$B$13)))))</f>
        <v>37</v>
      </c>
      <c r="AK140" s="377"/>
      <c r="AL140" s="389">
        <v>-20</v>
      </c>
      <c r="AM140" s="394">
        <f t="shared" ref="AM140:AM151" si="296">AA225</f>
        <v>0.44</v>
      </c>
      <c r="AN140" s="291"/>
      <c r="AO140" s="390">
        <f t="shared" ref="AO140:AO151" si="297">IF(OR(AM140=0,AN140=0),$AA$237/3,((MAX(AM140:AN140)-(MIN(AM140:AN140)))))</f>
        <v>0.08</v>
      </c>
      <c r="AP140" s="932">
        <f ca="1">IF($L$4&lt;=$B$10,$B$9,IF($L$4&lt;=$B$11,$B$10,IF($L$4&lt;=$B$12,$B$11,IF($L$4&lt;=$B$13,$B$12,IF($L$4&lt;=$B$14,$B$13)))))</f>
        <v>37</v>
      </c>
      <c r="AQ140" s="406"/>
      <c r="AR140" s="389">
        <v>-20</v>
      </c>
      <c r="AS140" s="394">
        <f t="shared" ref="AS140:AS151" si="298">AB225</f>
        <v>0.34</v>
      </c>
      <c r="AT140" s="291"/>
      <c r="AU140" s="390">
        <f t="shared" ref="AU140:AU151" si="299">IF(OR(AS140=0,AT140=0),$AB$237/3,((MAX(AS140:AT140)-(MIN(AS140:AT140)))))</f>
        <v>8.3333333333333329E-2</v>
      </c>
      <c r="AV140" s="932">
        <f ca="1">IF($L$4&lt;=$B$10,$B$9,IF($L$4&lt;=$B$11,$B$10,IF($L$4&lt;=$B$12,$B$11,IF($L$4&lt;=$B$13,$B$12,IF($L$4&lt;=$B$14,$B$13)))))</f>
        <v>37</v>
      </c>
      <c r="AW140" s="377"/>
      <c r="AX140" s="389">
        <v>-20</v>
      </c>
      <c r="AY140" s="290">
        <f t="shared" ref="AY140:AY151" si="300">AC225</f>
        <v>0.47</v>
      </c>
      <c r="AZ140" s="291"/>
      <c r="BA140" s="390">
        <f t="shared" ref="BA140:BA151" si="301">IF(OR(AY140=0,AZ140=0),$AC$237/3,((MAX(AY140:AZ140)-(MIN(AY140:AZ140)))))</f>
        <v>0.26333333333333336</v>
      </c>
      <c r="BB140" s="932">
        <f ca="1">IF($L$4&lt;=$B$10,$B$9,IF($L$4&lt;=$B$11,$B$10,IF($L$4&lt;=$B$12,$B$11,IF($L$4&lt;=$B$13,$B$12,IF($L$4&lt;=$B$14,$B$13)))))</f>
        <v>37</v>
      </c>
      <c r="BC140" s="377"/>
      <c r="BD140" s="389">
        <v>-20</v>
      </c>
      <c r="BE140" s="290">
        <f t="shared" ref="BE140:BE151" si="302">AD225</f>
        <v>-1.0900000000000001</v>
      </c>
      <c r="BF140" s="291"/>
      <c r="BG140" s="390">
        <f t="shared" ref="BG140:BG151" si="303">IF(OR(BE140=0,BF140=0),$AD$237/3,((MAX(BE140:BF140)-(MIN(BE140:BF140)))))</f>
        <v>9.0000000000000011E-2</v>
      </c>
      <c r="BH140" s="932">
        <f ca="1">IF($L$4&lt;=$B$10,$B$9,IF($L$4&lt;=$B$11,$B$10,IF($L$4&lt;=$B$12,$B$11,IF($L$4&lt;=$B$13,$B$12,IF($L$4&lt;=$B$14,$B$13)))))</f>
        <v>37</v>
      </c>
      <c r="BI140" s="377"/>
      <c r="BJ140" s="389">
        <v>-20</v>
      </c>
      <c r="BK140" s="290">
        <f t="shared" ref="BK140:BK151" si="304">AE225</f>
        <v>0.47</v>
      </c>
      <c r="BL140" s="291"/>
      <c r="BM140" s="390">
        <f t="shared" ref="BM140:BM151" si="305">IF(OR(BK140=0,BL140=0),$AE$237/3,((MAX(BK140:BL140)-(MIN(BK140:BL140)))))</f>
        <v>0.26333333333333336</v>
      </c>
      <c r="BN140" s="932">
        <f ca="1">IF($L$4&lt;=$B$10,$B$9,IF($L$4&lt;=$B$11,$B$10,IF($L$4&lt;=$B$12,$B$11,IF($L$4&lt;=$B$13,$B$12,IF($L$4&lt;=$B$14,$B$13)))))</f>
        <v>37</v>
      </c>
      <c r="BO140" s="377"/>
      <c r="BP140" s="389">
        <v>-20</v>
      </c>
      <c r="BQ140" s="394">
        <f t="shared" ref="BQ140:BQ151" si="306">AF225</f>
        <v>-1.22</v>
      </c>
      <c r="BR140" s="291"/>
      <c r="BS140" s="390">
        <f t="shared" ref="BS140:BS151" si="307">IF(OR(BQ140=0,BR140=0),$AF$237/3,((MAX(BQ140:BR140)-(MIN(BQ140:BR140)))))</f>
        <v>8.3333333333333329E-2</v>
      </c>
      <c r="BT140" s="932">
        <f ca="1">IF($L$4&lt;=$B$10,$B$9,IF($L$4&lt;=$B$11,$B$10,IF($L$4&lt;=$B$12,$B$11,IF($L$4&lt;=$B$13,$B$12,IF($L$4&lt;=$B$14,$B$13)))))</f>
        <v>37</v>
      </c>
      <c r="BU140" s="377"/>
      <c r="BV140" s="389">
        <v>-20</v>
      </c>
      <c r="BW140" s="290">
        <f t="shared" ref="BW140:BW151" si="308">AG225</f>
        <v>-1.34</v>
      </c>
      <c r="BX140" s="291"/>
      <c r="BY140" s="390">
        <f t="shared" ref="BY140:BY151" si="309">IF(OR(BW140=0,BX140=0),$AG$237/3,((MAX(BW140:BX140)-(MIN(BW140:BX140)))))</f>
        <v>9.0000000000000011E-2</v>
      </c>
      <c r="BZ140" s="932">
        <f ca="1">IF($L$4&lt;=$B$10,$B$9,IF($L$4&lt;=$B$11,$B$10,IF($L$4&lt;=$B$12,$B$11,IF($L$4&lt;=$B$13,$B$12,IF($L$4&lt;=$B$14,$B$13)))))</f>
        <v>37</v>
      </c>
      <c r="CA140" s="377"/>
      <c r="CB140" s="389">
        <v>-20</v>
      </c>
      <c r="CC140" s="290">
        <f t="shared" si="291"/>
        <v>-1.1000000000000001</v>
      </c>
      <c r="CD140" s="291">
        <f>CD125</f>
        <v>-0.7</v>
      </c>
      <c r="CE140" s="390">
        <f t="shared" ref="CE140:CE151" si="310">CE125</f>
        <v>0.40000000000000013</v>
      </c>
      <c r="CF140" s="932">
        <f ca="1">IF($L$4&lt;=$B$10,$B$9,IF($L$4&lt;=$B$11,$B$10,IF($L$4&lt;=$B$12,$B$11,IF($L$4&lt;=$B$13,$B$12,IF($L$4&lt;=$B$14,$B$13)))))</f>
        <v>37</v>
      </c>
      <c r="CG140" s="400"/>
      <c r="CH140" s="389">
        <v>-20</v>
      </c>
      <c r="CI140" s="290">
        <f t="shared" si="292"/>
        <v>-0.15</v>
      </c>
      <c r="CJ140" s="291">
        <f>CJ125</f>
        <v>-0.32</v>
      </c>
      <c r="CK140" s="390">
        <f t="shared" ref="CK140:CK151" si="311">CK125</f>
        <v>0.17</v>
      </c>
      <c r="CL140" s="932">
        <f ca="1">IF($L$4&lt;=$B$10,$B$9,IF($L$4&lt;=$B$11,$B$10,IF($L$4&lt;=$B$12,$B$11,IF($L$4&lt;=$B$13,$B$12,IF($L$4&lt;=$B$14,$B$13)))))</f>
        <v>37</v>
      </c>
      <c r="CN140" s="389">
        <v>-20</v>
      </c>
      <c r="CO140" s="290">
        <f t="shared" si="293"/>
        <v>-1.8</v>
      </c>
      <c r="CP140" s="291">
        <f>CP125</f>
        <v>-0.51</v>
      </c>
      <c r="CQ140" s="390">
        <f t="shared" ref="CQ140:CQ151" si="312">CQ125</f>
        <v>1.29</v>
      </c>
      <c r="CR140" s="932">
        <f ca="1">IF($L$4&lt;=$B$10,$B$9,IF($L$4&lt;=$B$11,$B$10,IF($L$4&lt;=$B$12,$B$11,IF($L$4&lt;=$B$13,$B$12,IF($L$4&lt;=$B$14,$B$13)))))</f>
        <v>37</v>
      </c>
    </row>
    <row r="141" spans="2:96" ht="13">
      <c r="B141" s="389">
        <v>-15</v>
      </c>
      <c r="C141" s="290">
        <v>9.9999999999999995E-7</v>
      </c>
      <c r="D141" s="290">
        <v>9.9999999999999995E-7</v>
      </c>
      <c r="E141" s="390">
        <v>9.9999999999999995E-7</v>
      </c>
      <c r="F141" s="391"/>
      <c r="G141" s="392"/>
      <c r="H141" s="389">
        <v>-15</v>
      </c>
      <c r="I141" s="290">
        <v>9.9999999999999995E-7</v>
      </c>
      <c r="J141" s="290">
        <v>9.9999999999999995E-7</v>
      </c>
      <c r="K141" s="390">
        <v>9.9999999999999995E-7</v>
      </c>
      <c r="L141" s="391"/>
      <c r="M141" s="392"/>
      <c r="N141" s="389">
        <v>-15</v>
      </c>
      <c r="O141" s="290">
        <v>9.9999999999999995E-7</v>
      </c>
      <c r="P141" s="290">
        <f t="shared" ref="P141:P151" si="313">W226</f>
        <v>-0.39</v>
      </c>
      <c r="Q141" s="390">
        <f t="shared" ref="Q141:Q151" si="314">IF(OR(O141=0,P141=0),$E$237/3,((MAX(O141:P141)-(MIN(O141:P141)))))</f>
        <v>0.39000099999999999</v>
      </c>
      <c r="R141" s="391"/>
      <c r="S141" s="377"/>
      <c r="T141" s="389">
        <v>-15</v>
      </c>
      <c r="U141" s="290">
        <f t="shared" si="294"/>
        <v>-1.1100000000000001</v>
      </c>
      <c r="V141" s="291"/>
      <c r="W141" s="390">
        <f t="shared" ref="W141:W151" si="315">IF(OR(U141=0,V141=0),$X$237/3,((MAX(U141:V141)-(MIN(U141:V141)))))</f>
        <v>8.666666666666667E-2</v>
      </c>
      <c r="X141" s="391"/>
      <c r="Y141" s="377"/>
      <c r="Z141" s="389">
        <v>-15</v>
      </c>
      <c r="AA141" s="290">
        <f t="shared" si="295"/>
        <v>0.25</v>
      </c>
      <c r="AB141" s="291"/>
      <c r="AC141" s="390">
        <f t="shared" ref="AC141:AC151" si="316">IF(OR(AA141=0,AB141=0),$Y$237/3,((MAX(AA141:AB141)-(MIN(AA141:AB141)))))</f>
        <v>8.666666666666667E-2</v>
      </c>
      <c r="AD141" s="391"/>
      <c r="AE141" s="377"/>
      <c r="AF141" s="389">
        <v>-15</v>
      </c>
      <c r="AG141" s="290">
        <f t="shared" ref="AG141:AG151" si="317">Z226</f>
        <v>0.26</v>
      </c>
      <c r="AH141" s="291"/>
      <c r="AI141" s="390">
        <f t="shared" ref="AI141:AI151" si="318">IF(OR(AG141=0,AH141=0),$Z$237/3,((MAX(AG141:AH141)-(MIN(AG141:AH141)))))</f>
        <v>9.3333333333333338E-2</v>
      </c>
      <c r="AJ141" s="391"/>
      <c r="AK141" s="377"/>
      <c r="AL141" s="389">
        <v>-15</v>
      </c>
      <c r="AM141" s="290">
        <f t="shared" si="296"/>
        <v>0.45</v>
      </c>
      <c r="AN141" s="291"/>
      <c r="AO141" s="390">
        <f t="shared" si="297"/>
        <v>0.08</v>
      </c>
      <c r="AP141" s="391"/>
      <c r="AQ141" s="406"/>
      <c r="AR141" s="389">
        <v>-15</v>
      </c>
      <c r="AS141" s="290">
        <f t="shared" si="298"/>
        <v>0.35</v>
      </c>
      <c r="AT141" s="291"/>
      <c r="AU141" s="390">
        <f t="shared" si="299"/>
        <v>8.3333333333333329E-2</v>
      </c>
      <c r="AV141" s="391"/>
      <c r="AW141" s="377"/>
      <c r="AX141" s="389">
        <v>-15</v>
      </c>
      <c r="AY141" s="290">
        <f t="shared" si="300"/>
        <v>9.9999999999999995E-7</v>
      </c>
      <c r="AZ141" s="291"/>
      <c r="BA141" s="390">
        <f t="shared" si="301"/>
        <v>0.26333333333333336</v>
      </c>
      <c r="BB141" s="391"/>
      <c r="BC141" s="377"/>
      <c r="BD141" s="389">
        <v>-15</v>
      </c>
      <c r="BE141" s="290">
        <f t="shared" si="302"/>
        <v>-0.81</v>
      </c>
      <c r="BF141" s="291"/>
      <c r="BG141" s="390">
        <f t="shared" si="303"/>
        <v>9.0000000000000011E-2</v>
      </c>
      <c r="BH141" s="391"/>
      <c r="BI141" s="377"/>
      <c r="BJ141" s="389">
        <v>-15</v>
      </c>
      <c r="BK141" s="290">
        <f t="shared" si="304"/>
        <v>9.9999999999999995E-7</v>
      </c>
      <c r="BL141" s="291"/>
      <c r="BM141" s="390">
        <f t="shared" si="305"/>
        <v>0.26333333333333336</v>
      </c>
      <c r="BN141" s="391"/>
      <c r="BO141" s="377"/>
      <c r="BP141" s="389">
        <v>-15</v>
      </c>
      <c r="BQ141" s="290">
        <f t="shared" si="306"/>
        <v>-0.96</v>
      </c>
      <c r="BR141" s="291"/>
      <c r="BS141" s="390">
        <f t="shared" si="307"/>
        <v>8.3333333333333329E-2</v>
      </c>
      <c r="BT141" s="391"/>
      <c r="BU141" s="377"/>
      <c r="BV141" s="389">
        <v>-15</v>
      </c>
      <c r="BW141" s="290">
        <f t="shared" si="308"/>
        <v>-1.06</v>
      </c>
      <c r="BX141" s="291"/>
      <c r="BY141" s="390">
        <f t="shared" si="309"/>
        <v>9.0000000000000011E-2</v>
      </c>
      <c r="BZ141" s="391"/>
      <c r="CA141" s="377"/>
      <c r="CB141" s="389">
        <v>-15</v>
      </c>
      <c r="CC141" s="290">
        <f t="shared" si="291"/>
        <v>-1.2</v>
      </c>
      <c r="CD141" s="291">
        <f t="shared" si="291"/>
        <v>-0.7</v>
      </c>
      <c r="CE141" s="390">
        <f t="shared" si="310"/>
        <v>0.40000000000000013</v>
      </c>
      <c r="CF141" s="391"/>
      <c r="CG141" s="401"/>
      <c r="CH141" s="389">
        <v>-15</v>
      </c>
      <c r="CI141" s="290">
        <f t="shared" si="292"/>
        <v>-0.1</v>
      </c>
      <c r="CJ141" s="291">
        <f t="shared" si="292"/>
        <v>-0.24</v>
      </c>
      <c r="CK141" s="390">
        <f t="shared" si="311"/>
        <v>0.13999999999999999</v>
      </c>
      <c r="CL141" s="391"/>
      <c r="CN141" s="389">
        <v>-15</v>
      </c>
      <c r="CO141" s="290">
        <f t="shared" si="293"/>
        <v>-1.52</v>
      </c>
      <c r="CP141" s="291">
        <f t="shared" si="293"/>
        <v>-0.39</v>
      </c>
      <c r="CQ141" s="390">
        <f t="shared" si="312"/>
        <v>1.1299999999999999</v>
      </c>
      <c r="CR141" s="391"/>
    </row>
    <row r="142" spans="2:96" ht="13">
      <c r="B142" s="389">
        <v>-10</v>
      </c>
      <c r="C142" s="290">
        <v>9.9999999999999995E-7</v>
      </c>
      <c r="D142" s="290">
        <v>9.9999999999999995E-7</v>
      </c>
      <c r="E142" s="390">
        <v>9.9999999999999995E-7</v>
      </c>
      <c r="F142" s="932">
        <f ca="1">IF($L$4&lt;=$B$9,$B$9,IF($L$4&lt;=$B$10,$B$10,IF($L$4&lt;=$B$11,$B$11,IF($L$4&lt;=$B$12,$B$12,IF($L$4&lt;=$B$13,$B$13,IF($L$4&lt;=$B$14,$B$14))))))</f>
        <v>44</v>
      </c>
      <c r="G142" s="392"/>
      <c r="H142" s="389">
        <v>-10</v>
      </c>
      <c r="I142" s="290">
        <v>9.9999999999999995E-7</v>
      </c>
      <c r="J142" s="290">
        <v>9.9999999999999995E-7</v>
      </c>
      <c r="K142" s="390">
        <v>9.9999999999999995E-7</v>
      </c>
      <c r="L142" s="932">
        <f ca="1">IF($L$4&lt;=$B$9,$B$9,IF($L$4&lt;=$B$10,$B$10,IF($L$4&lt;=$B$11,$B$11,IF($L$4&lt;=$B$12,$B$12,IF($L$4&lt;=$B$13,$B$13,IF($L$4&lt;=$B$14,$B$14))))))</f>
        <v>44</v>
      </c>
      <c r="M142" s="392"/>
      <c r="N142" s="389">
        <v>-10</v>
      </c>
      <c r="O142" s="290">
        <v>9.9999999999999995E-7</v>
      </c>
      <c r="P142" s="290">
        <f t="shared" si="313"/>
        <v>-0.32</v>
      </c>
      <c r="Q142" s="390">
        <f t="shared" si="314"/>
        <v>0.32000099999999998</v>
      </c>
      <c r="R142" s="932">
        <f ca="1">IF($L$4&lt;=$B$9,$B$9,IF($L$4&lt;=$B$10,$B$10,IF($L$4&lt;=$B$11,$B$11,IF($L$4&lt;=$B$12,$B$12,IF($L$4&lt;=$B$13,$B$13,IF($L$4&lt;=$B$14,$B$14))))))</f>
        <v>44</v>
      </c>
      <c r="S142" s="377"/>
      <c r="T142" s="389">
        <v>-10</v>
      </c>
      <c r="U142" s="290">
        <f t="shared" si="294"/>
        <v>-0.87</v>
      </c>
      <c r="V142" s="291"/>
      <c r="W142" s="390">
        <f t="shared" si="315"/>
        <v>8.666666666666667E-2</v>
      </c>
      <c r="X142" s="932">
        <f ca="1">IF($L$4&lt;=$B$9,$B$9,IF($L$4&lt;=$B$10,$B$10,IF($L$4&lt;=$B$11,$B$11,IF($L$4&lt;=$B$12,$B$12,IF($L$4&lt;=$B$13,$B$13,IF($L$4&lt;=$B$14,$B$14))))))</f>
        <v>44</v>
      </c>
      <c r="Y142" s="377"/>
      <c r="Z142" s="389">
        <v>-10</v>
      </c>
      <c r="AA142" s="290">
        <f t="shared" si="295"/>
        <v>0.28000000000000003</v>
      </c>
      <c r="AB142" s="291"/>
      <c r="AC142" s="390">
        <f t="shared" si="316"/>
        <v>8.666666666666667E-2</v>
      </c>
      <c r="AD142" s="932">
        <f ca="1">IF($L$4&lt;=$B$9,$B$9,IF($L$4&lt;=$B$10,$B$10,IF($L$4&lt;=$B$11,$B$11,IF($L$4&lt;=$B$12,$B$12,IF($L$4&lt;=$B$13,$B$13,IF($L$4&lt;=$B$14,$B$14))))))</f>
        <v>44</v>
      </c>
      <c r="AE142" s="377"/>
      <c r="AF142" s="389">
        <v>-10</v>
      </c>
      <c r="AG142" s="290">
        <f t="shared" si="317"/>
        <v>0.28000000000000003</v>
      </c>
      <c r="AH142" s="291"/>
      <c r="AI142" s="390">
        <f t="shared" si="318"/>
        <v>9.3333333333333338E-2</v>
      </c>
      <c r="AJ142" s="932">
        <f ca="1">IF($L$4&lt;=$B$9,$B$9,IF($L$4&lt;=$B$10,$B$10,IF($L$4&lt;=$B$11,$B$11,IF($L$4&lt;=$B$12,$B$12,IF($L$4&lt;=$B$13,$B$13,IF($L$4&lt;=$B$14,$B$14))))))</f>
        <v>44</v>
      </c>
      <c r="AK142" s="377"/>
      <c r="AL142" s="389">
        <v>-10</v>
      </c>
      <c r="AM142" s="290">
        <f t="shared" si="296"/>
        <v>0.46</v>
      </c>
      <c r="AN142" s="291"/>
      <c r="AO142" s="390">
        <f t="shared" si="297"/>
        <v>0.08</v>
      </c>
      <c r="AP142" s="932">
        <f ca="1">IF($L$4&lt;=$B$9,$B$9,IF($L$4&lt;=$B$10,$B$10,IF($L$4&lt;=$B$11,$B$11,IF($L$4&lt;=$B$12,$B$12,IF($L$4&lt;=$B$13,$B$13,IF($L$4&lt;=$B$14,$B$14))))))</f>
        <v>44</v>
      </c>
      <c r="AQ142" s="406"/>
      <c r="AR142" s="389">
        <v>-10</v>
      </c>
      <c r="AS142" s="290">
        <f t="shared" si="298"/>
        <v>0.36</v>
      </c>
      <c r="AT142" s="291"/>
      <c r="AU142" s="390">
        <f t="shared" si="299"/>
        <v>8.3333333333333329E-2</v>
      </c>
      <c r="AV142" s="932">
        <f ca="1">IF($L$4&lt;=$B$9,$B$9,IF($L$4&lt;=$B$10,$B$10,IF($L$4&lt;=$B$11,$B$11,IF($L$4&lt;=$B$12,$B$12,IF($L$4&lt;=$B$13,$B$13,IF($L$4&lt;=$B$14,$B$14))))))</f>
        <v>44</v>
      </c>
      <c r="AW142" s="377"/>
      <c r="AX142" s="389">
        <v>-10</v>
      </c>
      <c r="AY142" s="290">
        <f t="shared" si="300"/>
        <v>0.46</v>
      </c>
      <c r="AZ142" s="291"/>
      <c r="BA142" s="390">
        <f t="shared" si="301"/>
        <v>0.26333333333333336</v>
      </c>
      <c r="BB142" s="932">
        <f ca="1">IF($L$4&lt;=$B$9,$B$9,IF($L$4&lt;=$B$10,$B$10,IF($L$4&lt;=$B$11,$B$11,IF($L$4&lt;=$B$12,$B$12,IF($L$4&lt;=$B$13,$B$13,IF($L$4&lt;=$B$14,$B$14))))))</f>
        <v>44</v>
      </c>
      <c r="BC142" s="377"/>
      <c r="BD142" s="389">
        <v>-10</v>
      </c>
      <c r="BE142" s="290">
        <f t="shared" si="302"/>
        <v>-0.59</v>
      </c>
      <c r="BF142" s="291"/>
      <c r="BG142" s="390">
        <f t="shared" si="303"/>
        <v>9.0000000000000011E-2</v>
      </c>
      <c r="BH142" s="932">
        <f ca="1">IF($L$4&lt;=$B$9,$B$9,IF($L$4&lt;=$B$10,$B$10,IF($L$4&lt;=$B$11,$B$11,IF($L$4&lt;=$B$12,$B$12,IF($L$4&lt;=$B$13,$B$13,IF($L$4&lt;=$B$14,$B$14))))))</f>
        <v>44</v>
      </c>
      <c r="BI142" s="377"/>
      <c r="BJ142" s="389">
        <v>-10</v>
      </c>
      <c r="BK142" s="290">
        <f t="shared" si="304"/>
        <v>0.46</v>
      </c>
      <c r="BL142" s="291"/>
      <c r="BM142" s="390">
        <f t="shared" si="305"/>
        <v>0.26333333333333336</v>
      </c>
      <c r="BN142" s="932">
        <f ca="1">IF($L$4&lt;=$B$9,$B$9,IF($L$4&lt;=$B$10,$B$10,IF($L$4&lt;=$B$11,$B$11,IF($L$4&lt;=$B$12,$B$12,IF($L$4&lt;=$B$13,$B$13,IF($L$4&lt;=$B$14,$B$14))))))</f>
        <v>44</v>
      </c>
      <c r="BO142" s="377"/>
      <c r="BP142" s="389">
        <v>-10</v>
      </c>
      <c r="BQ142" s="290">
        <f t="shared" si="306"/>
        <v>-0.75</v>
      </c>
      <c r="BR142" s="291"/>
      <c r="BS142" s="390">
        <f t="shared" si="307"/>
        <v>8.3333333333333329E-2</v>
      </c>
      <c r="BT142" s="932">
        <f ca="1">IF($L$4&lt;=$B$9,$B$9,IF($L$4&lt;=$B$10,$B$10,IF($L$4&lt;=$B$11,$B$11,IF($L$4&lt;=$B$12,$B$12,IF($L$4&lt;=$B$13,$B$13,IF($L$4&lt;=$B$14,$B$14))))))</f>
        <v>44</v>
      </c>
      <c r="BU142" s="377"/>
      <c r="BV142" s="389">
        <v>-10</v>
      </c>
      <c r="BW142" s="290">
        <f t="shared" si="308"/>
        <v>-0.81</v>
      </c>
      <c r="BX142" s="291"/>
      <c r="BY142" s="390">
        <f t="shared" si="309"/>
        <v>9.0000000000000011E-2</v>
      </c>
      <c r="BZ142" s="932">
        <f ca="1">IF($L$4&lt;=$B$9,$B$9,IF($L$4&lt;=$B$10,$B$10,IF($L$4&lt;=$B$11,$B$11,IF($L$4&lt;=$B$12,$B$12,IF($L$4&lt;=$B$13,$B$13,IF($L$4&lt;=$B$14,$B$14))))))</f>
        <v>44</v>
      </c>
      <c r="CA142" s="377"/>
      <c r="CB142" s="389">
        <v>-10</v>
      </c>
      <c r="CC142" s="290">
        <f t="shared" si="291"/>
        <v>-1.4</v>
      </c>
      <c r="CD142" s="291">
        <f t="shared" si="291"/>
        <v>-0.7</v>
      </c>
      <c r="CE142" s="390">
        <f t="shared" si="310"/>
        <v>0.5</v>
      </c>
      <c r="CF142" s="932">
        <f ca="1">IF($L$4&lt;=$B$9,$B$9,IF($L$4&lt;=$B$10,$B$10,IF($L$4&lt;=$B$11,$B$11,IF($L$4&lt;=$B$12,$B$12,IF($L$4&lt;=$B$13,$B$13,IF($L$4&lt;=$B$14,$B$14))))))</f>
        <v>44</v>
      </c>
      <c r="CG142" s="402"/>
      <c r="CH142" s="389">
        <v>-10</v>
      </c>
      <c r="CI142" s="290">
        <f t="shared" si="292"/>
        <v>-0.05</v>
      </c>
      <c r="CJ142" s="291">
        <f t="shared" si="292"/>
        <v>-0.18</v>
      </c>
      <c r="CK142" s="390">
        <f t="shared" si="311"/>
        <v>0.13</v>
      </c>
      <c r="CL142" s="932">
        <f ca="1">IF($L$4&lt;=$B$9,$B$9,IF($L$4&lt;=$B$10,$B$10,IF($L$4&lt;=$B$11,$B$11,IF($L$4&lt;=$B$12,$B$12,IF($L$4&lt;=$B$13,$B$13,IF($L$4&lt;=$B$14,$B$14))))))</f>
        <v>44</v>
      </c>
      <c r="CN142" s="389">
        <v>-10</v>
      </c>
      <c r="CO142" s="290">
        <f t="shared" si="293"/>
        <v>-1.26</v>
      </c>
      <c r="CP142" s="291">
        <f t="shared" si="293"/>
        <v>-0.28000000000000003</v>
      </c>
      <c r="CQ142" s="390">
        <f t="shared" si="312"/>
        <v>0.98</v>
      </c>
      <c r="CR142" s="932">
        <f ca="1">IF($L$4&lt;=$B$9,$B$9,IF($L$4&lt;=$B$10,$B$10,IF($L$4&lt;=$B$11,$B$11,IF($L$4&lt;=$B$12,$B$12,IF($L$4&lt;=$B$13,$B$13,IF($L$4&lt;=$B$14,$B$14))))))</f>
        <v>44</v>
      </c>
    </row>
    <row r="143" spans="2:96" ht="13">
      <c r="B143" s="389">
        <v>9.9999999999999995E-7</v>
      </c>
      <c r="C143" s="290">
        <v>9.9999999999999995E-7</v>
      </c>
      <c r="D143" s="290">
        <v>9.9999999999999995E-7</v>
      </c>
      <c r="E143" s="390">
        <v>9.9999999999999995E-7</v>
      </c>
      <c r="F143" s="391"/>
      <c r="G143" s="392"/>
      <c r="H143" s="389">
        <v>9.9999999999999995E-7</v>
      </c>
      <c r="I143" s="290">
        <v>9.9999999999999995E-7</v>
      </c>
      <c r="J143" s="290">
        <v>9.9999999999999995E-7</v>
      </c>
      <c r="K143" s="390">
        <v>9.9999999999999995E-7</v>
      </c>
      <c r="L143" s="391"/>
      <c r="M143" s="392"/>
      <c r="N143" s="389">
        <v>9.9999999999999995E-7</v>
      </c>
      <c r="O143" s="290">
        <v>9.9999999999999995E-7</v>
      </c>
      <c r="P143" s="290">
        <f t="shared" si="313"/>
        <v>-0.22</v>
      </c>
      <c r="Q143" s="390">
        <f t="shared" si="314"/>
        <v>0.220001</v>
      </c>
      <c r="R143" s="391"/>
      <c r="S143" s="377"/>
      <c r="T143" s="389">
        <v>9.9999999999999995E-7</v>
      </c>
      <c r="U143" s="290">
        <f t="shared" si="294"/>
        <v>-0.36</v>
      </c>
      <c r="V143" s="291"/>
      <c r="W143" s="390">
        <f t="shared" si="315"/>
        <v>8.666666666666667E-2</v>
      </c>
      <c r="X143" s="391"/>
      <c r="Y143" s="377"/>
      <c r="Z143" s="389">
        <v>9.9999999999999995E-7</v>
      </c>
      <c r="AA143" s="290">
        <f t="shared" si="295"/>
        <v>0.26</v>
      </c>
      <c r="AB143" s="291"/>
      <c r="AC143" s="390">
        <f t="shared" si="316"/>
        <v>8.666666666666667E-2</v>
      </c>
      <c r="AD143" s="391"/>
      <c r="AE143" s="377"/>
      <c r="AF143" s="389">
        <v>9.9999999999999995E-7</v>
      </c>
      <c r="AG143" s="290">
        <f t="shared" si="317"/>
        <v>0.24</v>
      </c>
      <c r="AH143" s="291"/>
      <c r="AI143" s="390">
        <f t="shared" si="318"/>
        <v>9.3333333333333338E-2</v>
      </c>
      <c r="AJ143" s="391"/>
      <c r="AK143" s="377"/>
      <c r="AL143" s="389">
        <v>9.9999999999999995E-7</v>
      </c>
      <c r="AM143" s="290">
        <f t="shared" si="296"/>
        <v>0.46</v>
      </c>
      <c r="AN143" s="291"/>
      <c r="AO143" s="390">
        <f t="shared" si="297"/>
        <v>0.08</v>
      </c>
      <c r="AP143" s="391"/>
      <c r="AQ143" s="406"/>
      <c r="AR143" s="389">
        <v>9.9999999999999995E-7</v>
      </c>
      <c r="AS143" s="290">
        <f t="shared" si="298"/>
        <v>0.36</v>
      </c>
      <c r="AT143" s="291"/>
      <c r="AU143" s="390">
        <f t="shared" si="299"/>
        <v>8.3333333333333329E-2</v>
      </c>
      <c r="AV143" s="391"/>
      <c r="AW143" s="377"/>
      <c r="AX143" s="389">
        <v>9.9999999999999995E-7</v>
      </c>
      <c r="AY143" s="290">
        <f t="shared" si="300"/>
        <v>0.45</v>
      </c>
      <c r="AZ143" s="291"/>
      <c r="BA143" s="390">
        <f t="shared" si="301"/>
        <v>0.26333333333333336</v>
      </c>
      <c r="BB143" s="391"/>
      <c r="BC143" s="377"/>
      <c r="BD143" s="389">
        <v>9.9999999999999995E-7</v>
      </c>
      <c r="BE143" s="290">
        <f t="shared" si="302"/>
        <v>-0.34</v>
      </c>
      <c r="BF143" s="291"/>
      <c r="BG143" s="390">
        <f t="shared" si="303"/>
        <v>9.0000000000000011E-2</v>
      </c>
      <c r="BH143" s="391"/>
      <c r="BI143" s="377"/>
      <c r="BJ143" s="389">
        <v>9.9999999999999995E-7</v>
      </c>
      <c r="BK143" s="290">
        <f t="shared" si="304"/>
        <v>0.45</v>
      </c>
      <c r="BL143" s="291"/>
      <c r="BM143" s="390">
        <f t="shared" si="305"/>
        <v>0.26333333333333336</v>
      </c>
      <c r="BN143" s="391"/>
      <c r="BO143" s="377"/>
      <c r="BP143" s="389">
        <v>9.9999999999999995E-7</v>
      </c>
      <c r="BQ143" s="290">
        <f t="shared" si="306"/>
        <v>-0.53</v>
      </c>
      <c r="BR143" s="291"/>
      <c r="BS143" s="390">
        <f t="shared" si="307"/>
        <v>8.3333333333333329E-2</v>
      </c>
      <c r="BT143" s="391"/>
      <c r="BU143" s="377"/>
      <c r="BV143" s="389">
        <v>9.9999999999999995E-7</v>
      </c>
      <c r="BW143" s="290">
        <f t="shared" si="308"/>
        <v>-0.52</v>
      </c>
      <c r="BX143" s="291"/>
      <c r="BY143" s="390">
        <f t="shared" si="309"/>
        <v>9.0000000000000011E-2</v>
      </c>
      <c r="BZ143" s="391"/>
      <c r="CA143" s="377"/>
      <c r="CB143" s="389">
        <v>9.9999999999999995E-7</v>
      </c>
      <c r="CC143" s="290">
        <f t="shared" si="291"/>
        <v>0</v>
      </c>
      <c r="CD143" s="291">
        <f t="shared" si="291"/>
        <v>-0.7</v>
      </c>
      <c r="CE143" s="390">
        <f t="shared" si="310"/>
        <v>0.7</v>
      </c>
      <c r="CF143" s="391"/>
      <c r="CG143" s="403"/>
      <c r="CH143" s="389">
        <v>9.9999999999999995E-7</v>
      </c>
      <c r="CI143" s="290">
        <f t="shared" si="292"/>
        <v>0.03</v>
      </c>
      <c r="CJ143" s="291">
        <f t="shared" si="292"/>
        <v>-0.06</v>
      </c>
      <c r="CK143" s="390">
        <f t="shared" si="311"/>
        <v>0.09</v>
      </c>
      <c r="CL143" s="391"/>
      <c r="CN143" s="389">
        <v>9.9999999999999995E-7</v>
      </c>
      <c r="CO143" s="290">
        <f t="shared" si="293"/>
        <v>-0.79</v>
      </c>
      <c r="CP143" s="291">
        <f t="shared" si="293"/>
        <v>-0.08</v>
      </c>
      <c r="CQ143" s="390">
        <f t="shared" si="312"/>
        <v>0.71000000000000008</v>
      </c>
      <c r="CR143" s="391"/>
    </row>
    <row r="144" spans="2:96" ht="13">
      <c r="B144" s="389">
        <v>2</v>
      </c>
      <c r="C144" s="290">
        <v>9.9999999999999995E-7</v>
      </c>
      <c r="D144" s="290">
        <v>9.9999999999999995E-7</v>
      </c>
      <c r="E144" s="390">
        <v>9.9999999999999995E-7</v>
      </c>
      <c r="F144" s="933">
        <f ca="1">VLOOKUP(F140,B144:E149,4)</f>
        <v>9.9999999999999995E-7</v>
      </c>
      <c r="G144" s="392"/>
      <c r="H144" s="389">
        <v>2</v>
      </c>
      <c r="I144" s="290">
        <v>9.9999999999999995E-7</v>
      </c>
      <c r="J144" s="290">
        <v>9.9999999999999995E-7</v>
      </c>
      <c r="K144" s="390">
        <v>9.9999999999999995E-7</v>
      </c>
      <c r="L144" s="933">
        <f ca="1">VLOOKUP(L140,H144:K149,4)</f>
        <v>9.9999999999999995E-7</v>
      </c>
      <c r="M144" s="392"/>
      <c r="N144" s="389">
        <v>2</v>
      </c>
      <c r="O144" s="290">
        <v>9.9999999999999995E-7</v>
      </c>
      <c r="P144" s="290">
        <f t="shared" si="313"/>
        <v>-0.2</v>
      </c>
      <c r="Q144" s="390">
        <f t="shared" si="314"/>
        <v>0.20000100000000001</v>
      </c>
      <c r="R144" s="933">
        <f ca="1">VLOOKUP(R140,N144:Q149,4)</f>
        <v>3.0001E-2</v>
      </c>
      <c r="S144" s="377"/>
      <c r="T144" s="389">
        <v>2</v>
      </c>
      <c r="U144" s="290">
        <f t="shared" si="294"/>
        <v>-0.51</v>
      </c>
      <c r="V144" s="291"/>
      <c r="W144" s="390">
        <f t="shared" si="315"/>
        <v>8.666666666666667E-2</v>
      </c>
      <c r="X144" s="933">
        <f ca="1">VLOOKUP(X140,T144:W149,4)</f>
        <v>8.666666666666667E-2</v>
      </c>
      <c r="Y144" s="377"/>
      <c r="Z144" s="389">
        <v>2</v>
      </c>
      <c r="AA144" s="290">
        <f t="shared" si="295"/>
        <v>0.31</v>
      </c>
      <c r="AB144" s="291"/>
      <c r="AC144" s="390">
        <f t="shared" si="316"/>
        <v>8.666666666666667E-2</v>
      </c>
      <c r="AD144" s="933">
        <f ca="1">VLOOKUP(AD140,Z144:AC149,4)</f>
        <v>8.666666666666667E-2</v>
      </c>
      <c r="AE144" s="377"/>
      <c r="AF144" s="389">
        <v>2</v>
      </c>
      <c r="AG144" s="290">
        <f t="shared" si="317"/>
        <v>0.28000000000000003</v>
      </c>
      <c r="AH144" s="291"/>
      <c r="AI144" s="390">
        <f t="shared" si="318"/>
        <v>9.3333333333333338E-2</v>
      </c>
      <c r="AJ144" s="933">
        <f ca="1">VLOOKUP(AJ140,AF144:AI149,4)</f>
        <v>9.3333333333333338E-2</v>
      </c>
      <c r="AK144" s="377"/>
      <c r="AL144" s="389">
        <v>2</v>
      </c>
      <c r="AM144" s="290">
        <f t="shared" si="296"/>
        <v>0.48</v>
      </c>
      <c r="AN144" s="291"/>
      <c r="AO144" s="390">
        <f t="shared" si="297"/>
        <v>0.08</v>
      </c>
      <c r="AP144" s="933">
        <f ca="1">VLOOKUP(AP140,AL144:AO149,4)</f>
        <v>0.08</v>
      </c>
      <c r="AQ144" s="406"/>
      <c r="AR144" s="389">
        <v>2</v>
      </c>
      <c r="AS144" s="290">
        <f t="shared" si="298"/>
        <v>0.38</v>
      </c>
      <c r="AT144" s="291"/>
      <c r="AU144" s="390">
        <f t="shared" si="299"/>
        <v>8.3333333333333329E-2</v>
      </c>
      <c r="AV144" s="933">
        <f ca="1">VLOOKUP(AV140,AR144:AU149,4)</f>
        <v>8.3333333333333329E-2</v>
      </c>
      <c r="AW144" s="377"/>
      <c r="AX144" s="389">
        <v>2</v>
      </c>
      <c r="AY144" s="290">
        <f t="shared" si="300"/>
        <v>0.44</v>
      </c>
      <c r="AZ144" s="291"/>
      <c r="BA144" s="390">
        <f t="shared" si="301"/>
        <v>0.26333333333333336</v>
      </c>
      <c r="BB144" s="933">
        <f ca="1">VLOOKUP(BB140,AX144:BA149,4)</f>
        <v>0.26333333333333336</v>
      </c>
      <c r="BC144" s="377"/>
      <c r="BD144" s="389">
        <v>2</v>
      </c>
      <c r="BE144" s="290">
        <f t="shared" si="302"/>
        <v>-0.37</v>
      </c>
      <c r="BF144" s="291"/>
      <c r="BG144" s="390">
        <f t="shared" si="303"/>
        <v>9.0000000000000011E-2</v>
      </c>
      <c r="BH144" s="933">
        <f ca="1">VLOOKUP(BH140,BD144:BG149,4)</f>
        <v>9.0000000000000011E-2</v>
      </c>
      <c r="BI144" s="377"/>
      <c r="BJ144" s="389">
        <v>2</v>
      </c>
      <c r="BK144" s="290">
        <f t="shared" si="304"/>
        <v>0.44</v>
      </c>
      <c r="BL144" s="291"/>
      <c r="BM144" s="390">
        <f t="shared" si="305"/>
        <v>0.26333333333333336</v>
      </c>
      <c r="BN144" s="933">
        <f ca="1">VLOOKUP(BN140,BJ144:BM149,4)</f>
        <v>0.26333333333333336</v>
      </c>
      <c r="BO144" s="377"/>
      <c r="BP144" s="389">
        <v>2</v>
      </c>
      <c r="BQ144" s="290">
        <f t="shared" si="306"/>
        <v>-0.47</v>
      </c>
      <c r="BR144" s="291"/>
      <c r="BS144" s="390">
        <f t="shared" si="307"/>
        <v>8.3333333333333329E-2</v>
      </c>
      <c r="BT144" s="933">
        <f ca="1">VLOOKUP(BT140,BP144:BS149,4)</f>
        <v>8.3333333333333329E-2</v>
      </c>
      <c r="BU144" s="377"/>
      <c r="BV144" s="389">
        <v>2</v>
      </c>
      <c r="BW144" s="290">
        <f t="shared" si="308"/>
        <v>-0.57999999999999996</v>
      </c>
      <c r="BX144" s="291"/>
      <c r="BY144" s="390">
        <f t="shared" si="309"/>
        <v>9.0000000000000011E-2</v>
      </c>
      <c r="BZ144" s="933">
        <f ca="1">VLOOKUP(BZ140,BV144:BY149,4)</f>
        <v>9.0000000000000011E-2</v>
      </c>
      <c r="CA144" s="377"/>
      <c r="CB144" s="389">
        <v>2</v>
      </c>
      <c r="CC144" s="290">
        <f t="shared" si="291"/>
        <v>0</v>
      </c>
      <c r="CD144" s="291">
        <f t="shared" si="291"/>
        <v>-0.7</v>
      </c>
      <c r="CE144" s="390">
        <f t="shared" si="310"/>
        <v>0.19999999999999998</v>
      </c>
      <c r="CF144" s="933">
        <f ca="1">VLOOKUP(CF140,CB144:CE149,4)</f>
        <v>0.19999999999999998</v>
      </c>
      <c r="CG144" s="404"/>
      <c r="CH144" s="389">
        <v>2</v>
      </c>
      <c r="CI144" s="290">
        <f t="shared" si="292"/>
        <v>0.04</v>
      </c>
      <c r="CJ144" s="291">
        <f t="shared" si="292"/>
        <v>-0.04</v>
      </c>
      <c r="CK144" s="390">
        <f t="shared" si="311"/>
        <v>0.08</v>
      </c>
      <c r="CL144" s="933">
        <f ca="1">VLOOKUP(CL140,CH144:CK149,4)</f>
        <v>4.0000000000000008E-2</v>
      </c>
      <c r="CN144" s="389">
        <v>2</v>
      </c>
      <c r="CO144" s="290">
        <f t="shared" si="293"/>
        <v>-0.7</v>
      </c>
      <c r="CP144" s="291">
        <f t="shared" si="293"/>
        <v>-0.05</v>
      </c>
      <c r="CQ144" s="390">
        <f t="shared" si="312"/>
        <v>0.64999999999999991</v>
      </c>
      <c r="CR144" s="933">
        <f ca="1">VLOOKUP(CR140,CN144:CQ149,4)</f>
        <v>3.0000000000000027E-2</v>
      </c>
    </row>
    <row r="145" spans="2:96" ht="13">
      <c r="B145" s="389">
        <v>8</v>
      </c>
      <c r="C145" s="290">
        <v>9.9999999999999995E-7</v>
      </c>
      <c r="D145" s="290">
        <v>9.9999999999999995E-7</v>
      </c>
      <c r="E145" s="390">
        <v>9.9999999999999995E-7</v>
      </c>
      <c r="F145" s="391"/>
      <c r="G145" s="392"/>
      <c r="H145" s="389">
        <v>8</v>
      </c>
      <c r="I145" s="290">
        <v>9.9999999999999995E-7</v>
      </c>
      <c r="J145" s="290">
        <v>9.9999999999999995E-7</v>
      </c>
      <c r="K145" s="390">
        <v>9.9999999999999995E-7</v>
      </c>
      <c r="L145" s="391"/>
      <c r="M145" s="392"/>
      <c r="N145" s="389">
        <v>8</v>
      </c>
      <c r="O145" s="290">
        <v>9.9999999999999995E-7</v>
      </c>
      <c r="P145" s="290">
        <f t="shared" si="313"/>
        <v>-0.15</v>
      </c>
      <c r="Q145" s="390">
        <f t="shared" si="314"/>
        <v>0.150001</v>
      </c>
      <c r="R145" s="391"/>
      <c r="S145" s="377"/>
      <c r="T145" s="389">
        <v>8</v>
      </c>
      <c r="U145" s="290">
        <f t="shared" si="294"/>
        <v>-0.26</v>
      </c>
      <c r="V145" s="291"/>
      <c r="W145" s="390">
        <f t="shared" si="315"/>
        <v>8.666666666666667E-2</v>
      </c>
      <c r="X145" s="391"/>
      <c r="Y145" s="377"/>
      <c r="Z145" s="389">
        <v>8</v>
      </c>
      <c r="AA145" s="290">
        <f t="shared" si="295"/>
        <v>0.28999999999999998</v>
      </c>
      <c r="AB145" s="291"/>
      <c r="AC145" s="390">
        <f t="shared" si="316"/>
        <v>8.666666666666667E-2</v>
      </c>
      <c r="AD145" s="391"/>
      <c r="AE145" s="377"/>
      <c r="AF145" s="389">
        <v>8</v>
      </c>
      <c r="AG145" s="290">
        <f t="shared" si="317"/>
        <v>0.28000000000000003</v>
      </c>
      <c r="AH145" s="291"/>
      <c r="AI145" s="390">
        <f t="shared" si="318"/>
        <v>9.3333333333333338E-2</v>
      </c>
      <c r="AJ145" s="391"/>
      <c r="AK145" s="377"/>
      <c r="AL145" s="389">
        <v>8</v>
      </c>
      <c r="AM145" s="290">
        <f t="shared" si="296"/>
        <v>0.49</v>
      </c>
      <c r="AN145" s="291"/>
      <c r="AO145" s="390">
        <f t="shared" si="297"/>
        <v>0.08</v>
      </c>
      <c r="AP145" s="391"/>
      <c r="AQ145" s="406"/>
      <c r="AR145" s="389">
        <v>8</v>
      </c>
      <c r="AS145" s="290">
        <f t="shared" si="298"/>
        <v>0.37</v>
      </c>
      <c r="AT145" s="291"/>
      <c r="AU145" s="390">
        <f t="shared" si="299"/>
        <v>8.3333333333333329E-2</v>
      </c>
      <c r="AV145" s="391"/>
      <c r="AW145" s="377"/>
      <c r="AX145" s="389">
        <v>8</v>
      </c>
      <c r="AY145" s="290">
        <f t="shared" si="300"/>
        <v>0.43</v>
      </c>
      <c r="AZ145" s="291"/>
      <c r="BA145" s="390">
        <f t="shared" si="301"/>
        <v>0.26333333333333336</v>
      </c>
      <c r="BB145" s="391"/>
      <c r="BC145" s="377"/>
      <c r="BD145" s="389">
        <v>8</v>
      </c>
      <c r="BE145" s="290">
        <f t="shared" si="302"/>
        <v>-0.09</v>
      </c>
      <c r="BF145" s="291"/>
      <c r="BG145" s="390">
        <f t="shared" si="303"/>
        <v>9.0000000000000011E-2</v>
      </c>
      <c r="BH145" s="391"/>
      <c r="BI145" s="377"/>
      <c r="BJ145" s="389">
        <v>8</v>
      </c>
      <c r="BK145" s="290">
        <f t="shared" si="304"/>
        <v>0.43</v>
      </c>
      <c r="BL145" s="291"/>
      <c r="BM145" s="390">
        <f t="shared" si="305"/>
        <v>0.26333333333333336</v>
      </c>
      <c r="BN145" s="391"/>
      <c r="BO145" s="377"/>
      <c r="BP145" s="389">
        <v>8</v>
      </c>
      <c r="BQ145" s="290">
        <f t="shared" si="306"/>
        <v>-0.24</v>
      </c>
      <c r="BR145" s="291"/>
      <c r="BS145" s="390">
        <f t="shared" si="307"/>
        <v>8.3333333333333329E-2</v>
      </c>
      <c r="BT145" s="391"/>
      <c r="BU145" s="377"/>
      <c r="BV145" s="389">
        <v>8</v>
      </c>
      <c r="BW145" s="290">
        <f t="shared" si="308"/>
        <v>-0.31</v>
      </c>
      <c r="BX145" s="291"/>
      <c r="BY145" s="390">
        <f t="shared" si="309"/>
        <v>9.0000000000000011E-2</v>
      </c>
      <c r="BZ145" s="391"/>
      <c r="CA145" s="377"/>
      <c r="CB145" s="389">
        <v>8</v>
      </c>
      <c r="CC145" s="290">
        <f t="shared" si="291"/>
        <v>0</v>
      </c>
      <c r="CD145" s="291">
        <f t="shared" si="291"/>
        <v>-0.7</v>
      </c>
      <c r="CE145" s="390">
        <f t="shared" si="310"/>
        <v>0.19999999999999998</v>
      </c>
      <c r="CF145" s="391"/>
      <c r="CG145" s="404"/>
      <c r="CH145" s="389">
        <v>8</v>
      </c>
      <c r="CI145" s="290">
        <f t="shared" si="292"/>
        <v>0.08</v>
      </c>
      <c r="CJ145" s="291">
        <f t="shared" si="292"/>
        <v>0.01</v>
      </c>
      <c r="CK145" s="390">
        <f t="shared" si="311"/>
        <v>7.0000000000000007E-2</v>
      </c>
      <c r="CL145" s="391"/>
      <c r="CN145" s="389">
        <v>8</v>
      </c>
      <c r="CO145" s="290">
        <f t="shared" si="293"/>
        <v>-0.46</v>
      </c>
      <c r="CP145" s="291">
        <f t="shared" si="293"/>
        <v>0.06</v>
      </c>
      <c r="CQ145" s="390">
        <f t="shared" si="312"/>
        <v>0.52</v>
      </c>
      <c r="CR145" s="391"/>
    </row>
    <row r="146" spans="2:96" ht="13">
      <c r="B146" s="389">
        <v>37</v>
      </c>
      <c r="C146" s="290">
        <v>9.9999999999999995E-7</v>
      </c>
      <c r="D146" s="290">
        <v>9.9999999999999995E-7</v>
      </c>
      <c r="E146" s="390">
        <v>9.9999999999999995E-7</v>
      </c>
      <c r="F146" s="933">
        <f ca="1">VLOOKUP(F142,B144:E149,4)</f>
        <v>9.9999999999999995E-7</v>
      </c>
      <c r="G146" s="392"/>
      <c r="H146" s="389">
        <v>37</v>
      </c>
      <c r="I146" s="290">
        <v>9.9999999999999995E-7</v>
      </c>
      <c r="J146" s="290">
        <v>9.9999999999999995E-7</v>
      </c>
      <c r="K146" s="390">
        <v>9.9999999999999995E-7</v>
      </c>
      <c r="L146" s="933">
        <f ca="1">VLOOKUP(L142,H144:K149,4)</f>
        <v>9.9999999999999995E-7</v>
      </c>
      <c r="M146" s="392"/>
      <c r="N146" s="389">
        <v>37</v>
      </c>
      <c r="O146" s="290">
        <v>9.9999999999999995E-7</v>
      </c>
      <c r="P146" s="290">
        <f t="shared" si="313"/>
        <v>-0.03</v>
      </c>
      <c r="Q146" s="390">
        <f t="shared" si="314"/>
        <v>3.0001E-2</v>
      </c>
      <c r="R146" s="933">
        <f ca="1">VLOOKUP(R142,N144:Q149,4)</f>
        <v>3.0001E-2</v>
      </c>
      <c r="S146" s="377"/>
      <c r="T146" s="389">
        <v>37</v>
      </c>
      <c r="U146" s="290">
        <f t="shared" si="294"/>
        <v>0.63</v>
      </c>
      <c r="V146" s="291"/>
      <c r="W146" s="390">
        <f t="shared" si="315"/>
        <v>8.666666666666667E-2</v>
      </c>
      <c r="X146" s="933">
        <f ca="1">VLOOKUP(X142,T144:W149,4)</f>
        <v>8.666666666666667E-2</v>
      </c>
      <c r="Y146" s="377"/>
      <c r="Z146" s="389">
        <v>37</v>
      </c>
      <c r="AA146" s="290">
        <f t="shared" si="295"/>
        <v>0.27</v>
      </c>
      <c r="AB146" s="291"/>
      <c r="AC146" s="390">
        <f t="shared" si="316"/>
        <v>8.666666666666667E-2</v>
      </c>
      <c r="AD146" s="933">
        <f ca="1">VLOOKUP(AD142,Z144:AC149,4)</f>
        <v>8.666666666666667E-2</v>
      </c>
      <c r="AE146" s="377"/>
      <c r="AF146" s="389">
        <v>37</v>
      </c>
      <c r="AG146" s="290">
        <f t="shared" si="317"/>
        <v>0.28999999999999998</v>
      </c>
      <c r="AH146" s="291"/>
      <c r="AI146" s="390">
        <f t="shared" si="318"/>
        <v>9.3333333333333338E-2</v>
      </c>
      <c r="AJ146" s="933">
        <f ca="1">VLOOKUP(AJ142,AF144:AI149,4)</f>
        <v>9.3333333333333338E-2</v>
      </c>
      <c r="AK146" s="377"/>
      <c r="AL146" s="389">
        <v>37</v>
      </c>
      <c r="AM146" s="290">
        <f t="shared" si="296"/>
        <v>0.52</v>
      </c>
      <c r="AN146" s="291"/>
      <c r="AO146" s="390">
        <f t="shared" si="297"/>
        <v>0.08</v>
      </c>
      <c r="AP146" s="933">
        <f ca="1">VLOOKUP(AP142,AL144:AO149,4)</f>
        <v>0.08</v>
      </c>
      <c r="AQ146" s="406"/>
      <c r="AR146" s="389">
        <v>37</v>
      </c>
      <c r="AS146" s="290">
        <f t="shared" si="298"/>
        <v>0.35</v>
      </c>
      <c r="AT146" s="291"/>
      <c r="AU146" s="390">
        <f t="shared" si="299"/>
        <v>8.3333333333333329E-2</v>
      </c>
      <c r="AV146" s="933">
        <f ca="1">VLOOKUP(AV142,AR144:AU149,4)</f>
        <v>8.3333333333333329E-2</v>
      </c>
      <c r="AW146" s="377"/>
      <c r="AX146" s="389">
        <v>37</v>
      </c>
      <c r="AY146" s="290">
        <f t="shared" si="300"/>
        <v>0.37</v>
      </c>
      <c r="AZ146" s="291"/>
      <c r="BA146" s="390">
        <f t="shared" si="301"/>
        <v>0.26333333333333336</v>
      </c>
      <c r="BB146" s="933">
        <f ca="1">VLOOKUP(BB142,AX144:BA149,4)</f>
        <v>0.26333333333333336</v>
      </c>
      <c r="BC146" s="377"/>
      <c r="BD146" s="389">
        <v>37</v>
      </c>
      <c r="BE146" s="290">
        <f t="shared" si="302"/>
        <v>0.81</v>
      </c>
      <c r="BF146" s="291"/>
      <c r="BG146" s="390">
        <f t="shared" si="303"/>
        <v>9.0000000000000011E-2</v>
      </c>
      <c r="BH146" s="933">
        <f ca="1">VLOOKUP(BH142,BD144:BG149,4)</f>
        <v>9.0000000000000011E-2</v>
      </c>
      <c r="BI146" s="377"/>
      <c r="BJ146" s="389">
        <v>37</v>
      </c>
      <c r="BK146" s="290">
        <f t="shared" si="304"/>
        <v>0.37</v>
      </c>
      <c r="BL146" s="291"/>
      <c r="BM146" s="390">
        <f t="shared" si="305"/>
        <v>0.26333333333333336</v>
      </c>
      <c r="BN146" s="933">
        <f ca="1">VLOOKUP(BN142,BJ144:BM149,4)</f>
        <v>0.26333333333333336</v>
      </c>
      <c r="BO146" s="377"/>
      <c r="BP146" s="389">
        <v>37</v>
      </c>
      <c r="BQ146" s="290">
        <f t="shared" si="306"/>
        <v>0.5</v>
      </c>
      <c r="BR146" s="291"/>
      <c r="BS146" s="390">
        <f t="shared" si="307"/>
        <v>8.3333333333333329E-2</v>
      </c>
      <c r="BT146" s="933">
        <f ca="1">VLOOKUP(BT142,BP144:BS149,4)</f>
        <v>8.3333333333333329E-2</v>
      </c>
      <c r="BU146" s="377"/>
      <c r="BV146" s="389">
        <v>37</v>
      </c>
      <c r="BW146" s="290">
        <f t="shared" si="308"/>
        <v>0.56999999999999995</v>
      </c>
      <c r="BX146" s="291"/>
      <c r="BY146" s="390">
        <f t="shared" si="309"/>
        <v>9.0000000000000011E-2</v>
      </c>
      <c r="BZ146" s="933">
        <f ca="1">VLOOKUP(BZ142,BV144:BY149,4)</f>
        <v>9.0000000000000011E-2</v>
      </c>
      <c r="CA146" s="377"/>
      <c r="CB146" s="389">
        <v>37</v>
      </c>
      <c r="CC146" s="290">
        <f t="shared" si="291"/>
        <v>0</v>
      </c>
      <c r="CD146" s="291">
        <f t="shared" si="291"/>
        <v>-0.6</v>
      </c>
      <c r="CE146" s="390">
        <f t="shared" si="310"/>
        <v>0.19999999999999998</v>
      </c>
      <c r="CF146" s="933">
        <f ca="1">VLOOKUP(CF142,CB144:CE149,4)</f>
        <v>0.19999999999999998</v>
      </c>
      <c r="CG146" s="404"/>
      <c r="CH146" s="389">
        <v>37</v>
      </c>
      <c r="CI146" s="290">
        <f t="shared" si="292"/>
        <v>0.23</v>
      </c>
      <c r="CJ146" s="291">
        <f t="shared" si="292"/>
        <v>0.19</v>
      </c>
      <c r="CK146" s="390">
        <f t="shared" si="311"/>
        <v>4.0000000000000008E-2</v>
      </c>
      <c r="CL146" s="933">
        <f ca="1">VLOOKUP(CL142,CH144:CK149,4)</f>
        <v>4.0000000000000008E-2</v>
      </c>
      <c r="CN146" s="389">
        <v>37</v>
      </c>
      <c r="CO146" s="290">
        <f t="shared" si="293"/>
        <v>0.42</v>
      </c>
      <c r="CP146" s="291">
        <f t="shared" si="293"/>
        <v>0.45</v>
      </c>
      <c r="CQ146" s="390">
        <f t="shared" si="312"/>
        <v>3.0000000000000027E-2</v>
      </c>
      <c r="CR146" s="933">
        <f ca="1">VLOOKUP(CR142,CN144:CQ149,4)</f>
        <v>4.9999999999999933E-2</v>
      </c>
    </row>
    <row r="147" spans="2:96" ht="13">
      <c r="B147" s="389">
        <v>44</v>
      </c>
      <c r="C147" s="290">
        <v>9.9999999999999995E-7</v>
      </c>
      <c r="D147" s="290">
        <v>9.9999999999999995E-7</v>
      </c>
      <c r="E147" s="390">
        <v>9.9999999999999995E-7</v>
      </c>
      <c r="F147" s="934"/>
      <c r="G147" s="392"/>
      <c r="H147" s="389">
        <v>44</v>
      </c>
      <c r="I147" s="290">
        <v>9.9999999999999995E-7</v>
      </c>
      <c r="J147" s="290">
        <v>9.9999999999999995E-7</v>
      </c>
      <c r="K147" s="390">
        <v>9.9999999999999995E-7</v>
      </c>
      <c r="L147" s="934"/>
      <c r="M147" s="392"/>
      <c r="N147" s="389">
        <v>44</v>
      </c>
      <c r="O147" s="290">
        <v>9.9999999999999995E-7</v>
      </c>
      <c r="P147" s="290">
        <f t="shared" si="313"/>
        <v>-0.03</v>
      </c>
      <c r="Q147" s="390">
        <f t="shared" si="314"/>
        <v>3.0001E-2</v>
      </c>
      <c r="R147" s="934"/>
      <c r="S147" s="377"/>
      <c r="T147" s="389">
        <v>44</v>
      </c>
      <c r="U147" s="290">
        <f t="shared" si="294"/>
        <v>0.77</v>
      </c>
      <c r="V147" s="291"/>
      <c r="W147" s="390">
        <f t="shared" si="315"/>
        <v>8.666666666666667E-2</v>
      </c>
      <c r="X147" s="934"/>
      <c r="Y147" s="377"/>
      <c r="Z147" s="389">
        <v>44</v>
      </c>
      <c r="AA147" s="290">
        <f t="shared" si="295"/>
        <v>0.27</v>
      </c>
      <c r="AB147" s="291"/>
      <c r="AC147" s="390">
        <f t="shared" si="316"/>
        <v>8.666666666666667E-2</v>
      </c>
      <c r="AD147" s="934"/>
      <c r="AE147" s="377"/>
      <c r="AF147" s="389">
        <v>44</v>
      </c>
      <c r="AG147" s="290">
        <f t="shared" si="317"/>
        <v>0.28999999999999998</v>
      </c>
      <c r="AH147" s="291"/>
      <c r="AI147" s="390">
        <f t="shared" si="318"/>
        <v>9.3333333333333338E-2</v>
      </c>
      <c r="AJ147" s="934"/>
      <c r="AK147" s="377"/>
      <c r="AL147" s="389">
        <v>44</v>
      </c>
      <c r="AM147" s="290">
        <f t="shared" si="296"/>
        <v>0.53</v>
      </c>
      <c r="AN147" s="291"/>
      <c r="AO147" s="390">
        <f t="shared" si="297"/>
        <v>0.08</v>
      </c>
      <c r="AP147" s="934"/>
      <c r="AQ147" s="377"/>
      <c r="AR147" s="389">
        <v>44</v>
      </c>
      <c r="AS147" s="290">
        <f t="shared" si="298"/>
        <v>0.35</v>
      </c>
      <c r="AT147" s="291"/>
      <c r="AU147" s="390">
        <f t="shared" si="299"/>
        <v>8.3333333333333329E-2</v>
      </c>
      <c r="AV147" s="934"/>
      <c r="AW147" s="377"/>
      <c r="AX147" s="389">
        <v>44</v>
      </c>
      <c r="AY147" s="290">
        <f t="shared" si="300"/>
        <v>0.36</v>
      </c>
      <c r="AZ147" s="291"/>
      <c r="BA147" s="390">
        <f t="shared" si="301"/>
        <v>0.26333333333333336</v>
      </c>
      <c r="BB147" s="934"/>
      <c r="BC147" s="377"/>
      <c r="BD147" s="389">
        <v>44</v>
      </c>
      <c r="BE147" s="290">
        <f t="shared" si="302"/>
        <v>0.93</v>
      </c>
      <c r="BF147" s="291"/>
      <c r="BG147" s="390">
        <f t="shared" si="303"/>
        <v>9.0000000000000011E-2</v>
      </c>
      <c r="BH147" s="934"/>
      <c r="BI147" s="377"/>
      <c r="BJ147" s="389">
        <v>44</v>
      </c>
      <c r="BK147" s="290">
        <f t="shared" si="304"/>
        <v>0.36</v>
      </c>
      <c r="BL147" s="291"/>
      <c r="BM147" s="390">
        <f t="shared" si="305"/>
        <v>0.26333333333333336</v>
      </c>
      <c r="BN147" s="934"/>
      <c r="BO147" s="377"/>
      <c r="BP147" s="389">
        <v>44</v>
      </c>
      <c r="BQ147" s="290">
        <f t="shared" si="306"/>
        <v>0.6</v>
      </c>
      <c r="BR147" s="291"/>
      <c r="BS147" s="390">
        <f t="shared" si="307"/>
        <v>8.3333333333333329E-2</v>
      </c>
      <c r="BT147" s="934"/>
      <c r="BU147" s="377"/>
      <c r="BV147" s="389">
        <v>44</v>
      </c>
      <c r="BW147" s="290">
        <f t="shared" si="308"/>
        <v>0.68</v>
      </c>
      <c r="BX147" s="291"/>
      <c r="BY147" s="390">
        <f t="shared" si="309"/>
        <v>9.0000000000000011E-2</v>
      </c>
      <c r="BZ147" s="934"/>
      <c r="CA147" s="377"/>
      <c r="CB147" s="389">
        <v>44</v>
      </c>
      <c r="CC147" s="290">
        <f t="shared" si="291"/>
        <v>-1</v>
      </c>
      <c r="CD147" s="291">
        <f t="shared" si="291"/>
        <v>-0.7</v>
      </c>
      <c r="CE147" s="390">
        <f t="shared" si="310"/>
        <v>0.19999999999999998</v>
      </c>
      <c r="CF147" s="934"/>
      <c r="CG147" s="405"/>
      <c r="CH147" s="389">
        <v>44</v>
      </c>
      <c r="CI147" s="290">
        <f t="shared" si="292"/>
        <v>0.25</v>
      </c>
      <c r="CJ147" s="291">
        <f t="shared" si="292"/>
        <v>0.21</v>
      </c>
      <c r="CK147" s="390">
        <f t="shared" si="311"/>
        <v>4.0000000000000008E-2</v>
      </c>
      <c r="CL147" s="934"/>
      <c r="CN147" s="389">
        <v>44</v>
      </c>
      <c r="CO147" s="290">
        <f t="shared" si="293"/>
        <v>0.56999999999999995</v>
      </c>
      <c r="CP147" s="291">
        <f t="shared" si="293"/>
        <v>0.52</v>
      </c>
      <c r="CQ147" s="390">
        <f t="shared" si="312"/>
        <v>4.9999999999999933E-2</v>
      </c>
      <c r="CR147" s="934"/>
    </row>
    <row r="148" spans="2:96" ht="13">
      <c r="B148" s="389">
        <v>50</v>
      </c>
      <c r="C148" s="290">
        <v>9.9999999999999995E-7</v>
      </c>
      <c r="D148" s="290">
        <v>9.9999999999999995E-7</v>
      </c>
      <c r="E148" s="390">
        <v>9.9999999999999995E-7</v>
      </c>
      <c r="F148" s="935">
        <f ca="1">(((F146-F144)/(F142-F140))*(F139-F140))+F144</f>
        <v>9.9999999999999995E-7</v>
      </c>
      <c r="G148" s="392"/>
      <c r="H148" s="389">
        <v>50</v>
      </c>
      <c r="I148" s="290">
        <v>9.9999999999999995E-7</v>
      </c>
      <c r="J148" s="290">
        <v>9.9999999999999995E-7</v>
      </c>
      <c r="K148" s="390">
        <v>9.9999999999999995E-7</v>
      </c>
      <c r="L148" s="935">
        <f ca="1">(((L146-L144)/(L142-L140))*(L139-L140))+L144</f>
        <v>9.9999999999999995E-7</v>
      </c>
      <c r="M148" s="392"/>
      <c r="N148" s="389">
        <v>50</v>
      </c>
      <c r="O148" s="290">
        <v>9.9999999999999995E-7</v>
      </c>
      <c r="P148" s="290">
        <f t="shared" si="313"/>
        <v>-0.03</v>
      </c>
      <c r="Q148" s="390">
        <f t="shared" si="314"/>
        <v>3.0001E-2</v>
      </c>
      <c r="R148" s="935">
        <f ca="1">(((R146-R144)/(R142-R140))*(R139-R140))+R144</f>
        <v>3.0001E-2</v>
      </c>
      <c r="S148" s="377"/>
      <c r="T148" s="389">
        <v>50</v>
      </c>
      <c r="U148" s="290">
        <f t="shared" si="294"/>
        <v>0.86</v>
      </c>
      <c r="V148" s="291"/>
      <c r="W148" s="390">
        <f t="shared" si="315"/>
        <v>8.666666666666667E-2</v>
      </c>
      <c r="X148" s="935">
        <f ca="1">(((X146-X144)/(X142-X140))*(X139-X140))+X144</f>
        <v>8.666666666666667E-2</v>
      </c>
      <c r="Y148" s="377"/>
      <c r="Z148" s="389">
        <v>50</v>
      </c>
      <c r="AA148" s="290">
        <f t="shared" si="295"/>
        <v>0.27</v>
      </c>
      <c r="AB148" s="291"/>
      <c r="AC148" s="390">
        <f t="shared" si="316"/>
        <v>8.666666666666667E-2</v>
      </c>
      <c r="AD148" s="935">
        <f ca="1">(((AD146-AD144)/(AD142-AD140))*(AD139-AD140))+AD144</f>
        <v>8.666666666666667E-2</v>
      </c>
      <c r="AE148" s="377"/>
      <c r="AF148" s="389">
        <v>50</v>
      </c>
      <c r="AG148" s="290">
        <f t="shared" si="317"/>
        <v>0.3</v>
      </c>
      <c r="AH148" s="291"/>
      <c r="AI148" s="390">
        <f t="shared" si="318"/>
        <v>9.3333333333333338E-2</v>
      </c>
      <c r="AJ148" s="935">
        <f ca="1">(((AJ146-AJ144)/(AJ142-AJ140))*(AJ139-AJ140))+AJ144</f>
        <v>9.3333333333333338E-2</v>
      </c>
      <c r="AK148" s="377"/>
      <c r="AL148" s="389">
        <v>50</v>
      </c>
      <c r="AM148" s="290">
        <f t="shared" si="296"/>
        <v>0.53</v>
      </c>
      <c r="AN148" s="291"/>
      <c r="AO148" s="390">
        <f t="shared" si="297"/>
        <v>0.08</v>
      </c>
      <c r="AP148" s="935">
        <f ca="1">(((AP146-AP144)/(AP142-AP140))*(AP139-AP140))+AP144</f>
        <v>0.08</v>
      </c>
      <c r="AQ148" s="377"/>
      <c r="AR148" s="389">
        <v>50</v>
      </c>
      <c r="AS148" s="290">
        <f t="shared" si="298"/>
        <v>0.35</v>
      </c>
      <c r="AT148" s="291"/>
      <c r="AU148" s="390">
        <f t="shared" si="299"/>
        <v>8.3333333333333329E-2</v>
      </c>
      <c r="AV148" s="935">
        <f ca="1">(((AV146-AV144)/(AV142-AV140))*(AV139-AV140))+AV144</f>
        <v>8.3333333333333329E-2</v>
      </c>
      <c r="AW148" s="377"/>
      <c r="AX148" s="389">
        <v>50</v>
      </c>
      <c r="AY148" s="290">
        <f t="shared" si="300"/>
        <v>0.34</v>
      </c>
      <c r="AZ148" s="291"/>
      <c r="BA148" s="390">
        <f t="shared" si="301"/>
        <v>0.26333333333333336</v>
      </c>
      <c r="BB148" s="935">
        <f ca="1">(((BB146-BB144)/(BB142-BB140))*(BB139-BB140))+BB144</f>
        <v>0.26333333333333336</v>
      </c>
      <c r="BC148" s="377"/>
      <c r="BD148" s="389">
        <v>50</v>
      </c>
      <c r="BE148" s="290">
        <f t="shared" si="302"/>
        <v>1.01</v>
      </c>
      <c r="BF148" s="291"/>
      <c r="BG148" s="390">
        <f t="shared" si="303"/>
        <v>9.0000000000000011E-2</v>
      </c>
      <c r="BH148" s="935">
        <f ca="1">(((BH146-BH144)/(BH142-BH140))*(BH139-BH140))+BH144</f>
        <v>9.0000000000000011E-2</v>
      </c>
      <c r="BI148" s="377"/>
      <c r="BJ148" s="389">
        <v>50</v>
      </c>
      <c r="BK148" s="290">
        <f t="shared" si="304"/>
        <v>0.34</v>
      </c>
      <c r="BL148" s="291"/>
      <c r="BM148" s="390">
        <f t="shared" si="305"/>
        <v>0.26333333333333336</v>
      </c>
      <c r="BN148" s="935">
        <f ca="1">(((BN146-BN144)/(BN142-BN140))*(BN139-BN140))+BN144</f>
        <v>0.26333333333333336</v>
      </c>
      <c r="BO148" s="377"/>
      <c r="BP148" s="389">
        <v>50</v>
      </c>
      <c r="BQ148" s="290">
        <f t="shared" si="306"/>
        <v>0.66</v>
      </c>
      <c r="BR148" s="291"/>
      <c r="BS148" s="390">
        <f t="shared" si="307"/>
        <v>8.3333333333333329E-2</v>
      </c>
      <c r="BT148" s="935">
        <f ca="1">(((BT146-BT144)/(BT142-BT140))*(BT139-BT140))+BT144</f>
        <v>8.3333333333333329E-2</v>
      </c>
      <c r="BU148" s="377"/>
      <c r="BV148" s="389">
        <v>50</v>
      </c>
      <c r="BW148" s="290">
        <f t="shared" si="308"/>
        <v>0.75</v>
      </c>
      <c r="BX148" s="291"/>
      <c r="BY148" s="390">
        <f t="shared" si="309"/>
        <v>9.0000000000000011E-2</v>
      </c>
      <c r="BZ148" s="935">
        <f ca="1">(((BZ146-BZ144)/(BZ142-BZ140))*(BZ139-BZ140))+BZ144</f>
        <v>9.0000000000000011E-2</v>
      </c>
      <c r="CA148" s="377"/>
      <c r="CB148" s="389">
        <v>50</v>
      </c>
      <c r="CC148" s="290">
        <f t="shared" si="291"/>
        <v>-1.6</v>
      </c>
      <c r="CD148" s="291">
        <f t="shared" si="291"/>
        <v>-0.7</v>
      </c>
      <c r="CE148" s="390">
        <f t="shared" si="310"/>
        <v>0.30000000000000004</v>
      </c>
      <c r="CF148" s="935">
        <f ca="1">(((CF146-CF144)/(CF142-CF140))*(CF139-CF140))+CF144</f>
        <v>0.19999999999999998</v>
      </c>
      <c r="CH148" s="389">
        <v>50</v>
      </c>
      <c r="CI148" s="290">
        <f t="shared" si="292"/>
        <v>0.27</v>
      </c>
      <c r="CJ148" s="291">
        <f t="shared" si="292"/>
        <v>0.22</v>
      </c>
      <c r="CK148" s="390">
        <f t="shared" si="311"/>
        <v>5.0000000000000017E-2</v>
      </c>
      <c r="CL148" s="935">
        <f ca="1">(((CL146-CL144)/(CL142-CL140))*(CL139-CL140))+CL144</f>
        <v>4.0000000000000008E-2</v>
      </c>
      <c r="CN148" s="389">
        <v>50</v>
      </c>
      <c r="CO148" s="290">
        <f t="shared" si="293"/>
        <v>0.67</v>
      </c>
      <c r="CP148" s="291">
        <f t="shared" si="293"/>
        <v>0.56999999999999995</v>
      </c>
      <c r="CQ148" s="390">
        <f t="shared" si="312"/>
        <v>0.10000000000000009</v>
      </c>
      <c r="CR148" s="935">
        <f ca="1">(((CR146-CR144)/(CR142-CR140))*(CR139-CR140))+CR144</f>
        <v>3.054285714285716E-2</v>
      </c>
    </row>
    <row r="149" spans="2:96" ht="13">
      <c r="B149" s="389">
        <v>100</v>
      </c>
      <c r="C149" s="290">
        <v>9.9999999999999995E-7</v>
      </c>
      <c r="D149" s="290">
        <v>9.9999999999999995E-7</v>
      </c>
      <c r="E149" s="390">
        <v>9.9999999999999995E-7</v>
      </c>
      <c r="F149" s="391"/>
      <c r="G149" s="392"/>
      <c r="H149" s="389">
        <v>100</v>
      </c>
      <c r="I149" s="290">
        <v>9.9999999999999995E-7</v>
      </c>
      <c r="J149" s="290">
        <v>9.9999999999999995E-7</v>
      </c>
      <c r="K149" s="390">
        <v>9.9999999999999995E-7</v>
      </c>
      <c r="L149" s="391"/>
      <c r="M149" s="392"/>
      <c r="N149" s="389">
        <v>100</v>
      </c>
      <c r="O149" s="290">
        <v>9.9999999999999995E-7</v>
      </c>
      <c r="P149" s="290">
        <f t="shared" si="313"/>
        <v>-0.16</v>
      </c>
      <c r="Q149" s="390">
        <f t="shared" si="314"/>
        <v>0.160001</v>
      </c>
      <c r="R149" s="391"/>
      <c r="S149" s="377"/>
      <c r="T149" s="389">
        <v>100</v>
      </c>
      <c r="U149" s="290">
        <f t="shared" si="294"/>
        <v>0.99</v>
      </c>
      <c r="V149" s="291"/>
      <c r="W149" s="390">
        <f t="shared" si="315"/>
        <v>8.666666666666667E-2</v>
      </c>
      <c r="X149" s="391"/>
      <c r="Y149" s="377"/>
      <c r="Z149" s="389">
        <v>100</v>
      </c>
      <c r="AA149" s="290">
        <f t="shared" si="295"/>
        <v>0.34</v>
      </c>
      <c r="AB149" s="291"/>
      <c r="AC149" s="390">
        <f t="shared" si="316"/>
        <v>8.666666666666667E-2</v>
      </c>
      <c r="AD149" s="391"/>
      <c r="AE149" s="377"/>
      <c r="AF149" s="389">
        <v>100</v>
      </c>
      <c r="AG149" s="290">
        <f t="shared" si="317"/>
        <v>0.38</v>
      </c>
      <c r="AH149" s="291"/>
      <c r="AI149" s="390">
        <f t="shared" si="318"/>
        <v>9.3333333333333338E-2</v>
      </c>
      <c r="AJ149" s="391"/>
      <c r="AK149" s="377"/>
      <c r="AL149" s="389">
        <v>100</v>
      </c>
      <c r="AM149" s="290">
        <f t="shared" si="296"/>
        <v>0.6</v>
      </c>
      <c r="AN149" s="291"/>
      <c r="AO149" s="390">
        <f t="shared" si="297"/>
        <v>0.08</v>
      </c>
      <c r="AP149" s="391"/>
      <c r="AQ149" s="377"/>
      <c r="AR149" s="389">
        <v>100</v>
      </c>
      <c r="AS149" s="290">
        <f t="shared" si="298"/>
        <v>0.44</v>
      </c>
      <c r="AT149" s="291"/>
      <c r="AU149" s="390">
        <f t="shared" si="299"/>
        <v>8.3333333333333329E-2</v>
      </c>
      <c r="AV149" s="391"/>
      <c r="AW149" s="377"/>
      <c r="AX149" s="389">
        <v>100</v>
      </c>
      <c r="AY149" s="290">
        <f t="shared" si="300"/>
        <v>0.18</v>
      </c>
      <c r="AZ149" s="291"/>
      <c r="BA149" s="390">
        <f t="shared" si="301"/>
        <v>0.26333333333333336</v>
      </c>
      <c r="BB149" s="391"/>
      <c r="BC149" s="377"/>
      <c r="BD149" s="389">
        <v>100</v>
      </c>
      <c r="BE149" s="290">
        <f t="shared" si="302"/>
        <v>1.06</v>
      </c>
      <c r="BF149" s="291"/>
      <c r="BG149" s="390">
        <f t="shared" si="303"/>
        <v>9.0000000000000011E-2</v>
      </c>
      <c r="BH149" s="391"/>
      <c r="BI149" s="377"/>
      <c r="BJ149" s="389">
        <v>100</v>
      </c>
      <c r="BK149" s="290">
        <f t="shared" si="304"/>
        <v>0.18</v>
      </c>
      <c r="BL149" s="291"/>
      <c r="BM149" s="390">
        <f t="shared" si="305"/>
        <v>0.26333333333333336</v>
      </c>
      <c r="BN149" s="391"/>
      <c r="BO149" s="377"/>
      <c r="BP149" s="389">
        <v>100</v>
      </c>
      <c r="BQ149" s="290">
        <f t="shared" si="306"/>
        <v>0.54</v>
      </c>
      <c r="BR149" s="291"/>
      <c r="BS149" s="390">
        <f t="shared" si="307"/>
        <v>8.3333333333333329E-2</v>
      </c>
      <c r="BT149" s="391"/>
      <c r="BU149" s="377"/>
      <c r="BV149" s="389">
        <v>100</v>
      </c>
      <c r="BW149" s="290">
        <f t="shared" si="308"/>
        <v>0.56000000000000005</v>
      </c>
      <c r="BX149" s="291"/>
      <c r="BY149" s="390">
        <f t="shared" si="309"/>
        <v>9.0000000000000011E-2</v>
      </c>
      <c r="BZ149" s="391"/>
      <c r="CA149" s="377"/>
      <c r="CB149" s="389">
        <v>100</v>
      </c>
      <c r="CC149" s="290">
        <f t="shared" si="291"/>
        <v>-1.7</v>
      </c>
      <c r="CD149" s="291">
        <f t="shared" si="291"/>
        <v>-0.7</v>
      </c>
      <c r="CE149" s="390">
        <f t="shared" si="310"/>
        <v>0.90000000000000013</v>
      </c>
      <c r="CF149" s="391"/>
      <c r="CH149" s="389">
        <v>100</v>
      </c>
      <c r="CI149" s="290">
        <f t="shared" si="292"/>
        <v>0.31</v>
      </c>
      <c r="CJ149" s="291">
        <f t="shared" si="292"/>
        <v>0.23</v>
      </c>
      <c r="CK149" s="390">
        <f t="shared" si="311"/>
        <v>7.9999999999999988E-2</v>
      </c>
      <c r="CL149" s="391"/>
      <c r="CN149" s="389">
        <v>100</v>
      </c>
      <c r="CO149" s="290">
        <f t="shared" si="293"/>
        <v>0.95</v>
      </c>
      <c r="CP149" s="291">
        <f t="shared" si="293"/>
        <v>0.81</v>
      </c>
      <c r="CQ149" s="390">
        <f t="shared" si="312"/>
        <v>0.1399999999999999</v>
      </c>
      <c r="CR149" s="391"/>
    </row>
    <row r="150" spans="2:96" ht="13">
      <c r="B150" s="389">
        <v>150</v>
      </c>
      <c r="C150" s="290">
        <v>9.9999999999999995E-7</v>
      </c>
      <c r="D150" s="290">
        <v>9.9999999999999995E-7</v>
      </c>
      <c r="E150" s="390">
        <v>9.9999999999999995E-7</v>
      </c>
      <c r="F150" s="391"/>
      <c r="G150" s="392"/>
      <c r="H150" s="389">
        <v>150</v>
      </c>
      <c r="I150" s="290">
        <v>9.9999999999999995E-7</v>
      </c>
      <c r="J150" s="290">
        <v>9.9999999999999995E-7</v>
      </c>
      <c r="K150" s="390">
        <v>9.9999999999999995E-7</v>
      </c>
      <c r="L150" s="391"/>
      <c r="M150" s="392"/>
      <c r="N150" s="389">
        <v>150</v>
      </c>
      <c r="O150" s="290">
        <v>9.9999999999999995E-7</v>
      </c>
      <c r="P150" s="290">
        <f t="shared" si="313"/>
        <v>-0.28000000000000003</v>
      </c>
      <c r="Q150" s="390">
        <f t="shared" si="314"/>
        <v>0.280001</v>
      </c>
      <c r="R150" s="391"/>
      <c r="S150" s="377"/>
      <c r="T150" s="389">
        <v>150</v>
      </c>
      <c r="U150" s="290">
        <f t="shared" si="294"/>
        <v>0.28000000000000003</v>
      </c>
      <c r="V150" s="291"/>
      <c r="W150" s="390">
        <f t="shared" si="315"/>
        <v>8.666666666666667E-2</v>
      </c>
      <c r="X150" s="391"/>
      <c r="Y150" s="377"/>
      <c r="Z150" s="389">
        <v>150</v>
      </c>
      <c r="AA150" s="290">
        <f t="shared" si="295"/>
        <v>0.51</v>
      </c>
      <c r="AB150" s="291"/>
      <c r="AC150" s="390">
        <f t="shared" si="316"/>
        <v>8.666666666666667E-2</v>
      </c>
      <c r="AD150" s="391"/>
      <c r="AE150" s="377"/>
      <c r="AF150" s="389">
        <v>150</v>
      </c>
      <c r="AG150" s="290">
        <f t="shared" si="317"/>
        <v>0.54</v>
      </c>
      <c r="AH150" s="291"/>
      <c r="AI150" s="390">
        <f t="shared" si="318"/>
        <v>9.3333333333333338E-2</v>
      </c>
      <c r="AJ150" s="391"/>
      <c r="AK150" s="377"/>
      <c r="AL150" s="389">
        <v>150</v>
      </c>
      <c r="AM150" s="290">
        <f t="shared" si="296"/>
        <v>0.72</v>
      </c>
      <c r="AN150" s="291"/>
      <c r="AO150" s="390">
        <f t="shared" si="297"/>
        <v>0.08</v>
      </c>
      <c r="AP150" s="391"/>
      <c r="AQ150" s="377"/>
      <c r="AR150" s="389">
        <v>150</v>
      </c>
      <c r="AS150" s="290">
        <f t="shared" si="298"/>
        <v>0.61</v>
      </c>
      <c r="AT150" s="291"/>
      <c r="AU150" s="390">
        <f t="shared" si="299"/>
        <v>8.3333333333333329E-2</v>
      </c>
      <c r="AV150" s="391"/>
      <c r="AW150" s="377"/>
      <c r="AX150" s="389">
        <v>150</v>
      </c>
      <c r="AY150" s="290">
        <f t="shared" si="300"/>
        <v>-0.02</v>
      </c>
      <c r="AZ150" s="291"/>
      <c r="BA150" s="390">
        <f t="shared" si="301"/>
        <v>0.26333333333333336</v>
      </c>
      <c r="BB150" s="391"/>
      <c r="BC150" s="377"/>
      <c r="BD150" s="389">
        <v>150</v>
      </c>
      <c r="BE150" s="290">
        <f t="shared" si="302"/>
        <v>0.62</v>
      </c>
      <c r="BF150" s="291"/>
      <c r="BG150" s="390">
        <f t="shared" si="303"/>
        <v>9.0000000000000011E-2</v>
      </c>
      <c r="BH150" s="391"/>
      <c r="BI150" s="377"/>
      <c r="BJ150" s="389">
        <v>150</v>
      </c>
      <c r="BK150" s="290">
        <f t="shared" si="304"/>
        <v>-0.02</v>
      </c>
      <c r="BL150" s="291"/>
      <c r="BM150" s="390">
        <f t="shared" si="305"/>
        <v>0.26333333333333336</v>
      </c>
      <c r="BN150" s="391"/>
      <c r="BO150" s="377"/>
      <c r="BP150" s="389">
        <v>150</v>
      </c>
      <c r="BQ150" s="290">
        <f t="shared" si="306"/>
        <v>-0.15</v>
      </c>
      <c r="BR150" s="291"/>
      <c r="BS150" s="390">
        <f t="shared" si="307"/>
        <v>8.3333333333333329E-2</v>
      </c>
      <c r="BT150" s="391"/>
      <c r="BU150" s="377"/>
      <c r="BV150" s="389">
        <v>150</v>
      </c>
      <c r="BW150" s="290">
        <f t="shared" si="308"/>
        <v>-0.39</v>
      </c>
      <c r="BX150" s="291"/>
      <c r="BY150" s="390">
        <f t="shared" si="309"/>
        <v>9.0000000000000011E-2</v>
      </c>
      <c r="BZ150" s="391"/>
      <c r="CA150" s="377"/>
      <c r="CB150" s="389">
        <v>150</v>
      </c>
      <c r="CC150" s="290">
        <f t="shared" si="291"/>
        <v>-0.9</v>
      </c>
      <c r="CD150" s="291">
        <f t="shared" si="291"/>
        <v>-0.7</v>
      </c>
      <c r="CE150" s="390">
        <f t="shared" si="310"/>
        <v>1</v>
      </c>
      <c r="CF150" s="391"/>
      <c r="CH150" s="389">
        <v>150</v>
      </c>
      <c r="CI150" s="290">
        <f t="shared" si="292"/>
        <v>0.3</v>
      </c>
      <c r="CJ150" s="291">
        <f t="shared" si="292"/>
        <v>0.22</v>
      </c>
      <c r="CK150" s="390">
        <f t="shared" si="311"/>
        <v>7.9999999999999988E-2</v>
      </c>
      <c r="CL150" s="391"/>
      <c r="CN150" s="389">
        <v>150</v>
      </c>
      <c r="CO150" s="290">
        <f t="shared" si="293"/>
        <v>0.49</v>
      </c>
      <c r="CP150" s="291">
        <f t="shared" si="293"/>
        <v>0.87</v>
      </c>
      <c r="CQ150" s="390">
        <f t="shared" si="312"/>
        <v>0.38</v>
      </c>
      <c r="CR150" s="391"/>
    </row>
    <row r="151" spans="2:96" ht="13">
      <c r="B151" s="407">
        <v>200</v>
      </c>
      <c r="C151" s="290">
        <v>9.9999999999999995E-7</v>
      </c>
      <c r="D151" s="290">
        <v>9.9999999999999995E-7</v>
      </c>
      <c r="E151" s="390">
        <v>9.9999999999999995E-7</v>
      </c>
      <c r="F151" s="391"/>
      <c r="G151" s="392"/>
      <c r="H151" s="407">
        <v>200</v>
      </c>
      <c r="I151" s="290">
        <v>9.9999999999999995E-7</v>
      </c>
      <c r="J151" s="290">
        <v>9.9999999999999995E-7</v>
      </c>
      <c r="K151" s="390">
        <v>9.9999999999999995E-7</v>
      </c>
      <c r="L151" s="391"/>
      <c r="M151" s="392"/>
      <c r="N151" s="407">
        <v>200</v>
      </c>
      <c r="O151" s="290">
        <v>9.9999999999999995E-7</v>
      </c>
      <c r="P151" s="290">
        <f t="shared" si="313"/>
        <v>0</v>
      </c>
      <c r="Q151" s="390">
        <f t="shared" si="314"/>
        <v>9.3333333333333338E-2</v>
      </c>
      <c r="R151" s="391"/>
      <c r="S151" s="377"/>
      <c r="T151" s="407">
        <v>200</v>
      </c>
      <c r="U151" s="290">
        <f t="shared" si="294"/>
        <v>-0.8</v>
      </c>
      <c r="V151" s="408"/>
      <c r="W151" s="390">
        <f t="shared" si="315"/>
        <v>8.666666666666667E-2</v>
      </c>
      <c r="X151" s="391"/>
      <c r="Y151" s="377"/>
      <c r="Z151" s="407">
        <v>200</v>
      </c>
      <c r="AA151" s="290">
        <f t="shared" si="295"/>
        <v>0.73</v>
      </c>
      <c r="AB151" s="408"/>
      <c r="AC151" s="390">
        <f t="shared" si="316"/>
        <v>8.666666666666667E-2</v>
      </c>
      <c r="AD151" s="391"/>
      <c r="AE151" s="377"/>
      <c r="AF151" s="407">
        <v>200</v>
      </c>
      <c r="AG151" s="290">
        <f t="shared" si="317"/>
        <v>0.81</v>
      </c>
      <c r="AH151" s="408"/>
      <c r="AI151" s="410">
        <f t="shared" si="318"/>
        <v>9.3333333333333338E-2</v>
      </c>
      <c r="AJ151" s="391"/>
      <c r="AK151" s="377"/>
      <c r="AL151" s="407">
        <v>200</v>
      </c>
      <c r="AM151" s="409">
        <f t="shared" si="296"/>
        <v>0.95</v>
      </c>
      <c r="AN151" s="408"/>
      <c r="AO151" s="410">
        <f t="shared" si="297"/>
        <v>0.08</v>
      </c>
      <c r="AP151" s="391"/>
      <c r="AQ151" s="377"/>
      <c r="AR151" s="407">
        <v>200</v>
      </c>
      <c r="AS151" s="409">
        <f t="shared" si="298"/>
        <v>0.84</v>
      </c>
      <c r="AT151" s="408"/>
      <c r="AU151" s="410">
        <f t="shared" si="299"/>
        <v>8.3333333333333329E-2</v>
      </c>
      <c r="AV151" s="391"/>
      <c r="AW151" s="377"/>
      <c r="AX151" s="407">
        <v>200</v>
      </c>
      <c r="AY151" s="290">
        <f t="shared" si="300"/>
        <v>-0.28000000000000003</v>
      </c>
      <c r="AZ151" s="408"/>
      <c r="BA151" s="390">
        <f t="shared" si="301"/>
        <v>0.26333333333333336</v>
      </c>
      <c r="BB151" s="391"/>
      <c r="BC151" s="377"/>
      <c r="BD151" s="407">
        <v>200</v>
      </c>
      <c r="BE151" s="394">
        <f t="shared" si="302"/>
        <v>0.66</v>
      </c>
      <c r="BF151" s="408"/>
      <c r="BG151" s="390">
        <f t="shared" si="303"/>
        <v>9.0000000000000011E-2</v>
      </c>
      <c r="BH151" s="391"/>
      <c r="BI151" s="377"/>
      <c r="BJ151" s="407">
        <v>200</v>
      </c>
      <c r="BK151" s="290">
        <f t="shared" si="304"/>
        <v>-0.28000000000000003</v>
      </c>
      <c r="BL151" s="408"/>
      <c r="BM151" s="390">
        <f t="shared" si="305"/>
        <v>0.26333333333333336</v>
      </c>
      <c r="BN151" s="391"/>
      <c r="BO151" s="377"/>
      <c r="BP151" s="407">
        <v>200</v>
      </c>
      <c r="BQ151" s="290">
        <f t="shared" si="306"/>
        <v>-0.66</v>
      </c>
      <c r="BR151" s="408"/>
      <c r="BS151" s="390">
        <f t="shared" si="307"/>
        <v>8.3333333333333329E-2</v>
      </c>
      <c r="BT151" s="391"/>
      <c r="BU151" s="377"/>
      <c r="BV151" s="407">
        <v>200</v>
      </c>
      <c r="BW151" s="290">
        <f t="shared" si="308"/>
        <v>-1.22</v>
      </c>
      <c r="BX151" s="408"/>
      <c r="BY151" s="390">
        <f t="shared" si="309"/>
        <v>9.0000000000000011E-2</v>
      </c>
      <c r="BZ151" s="391"/>
      <c r="CA151" s="377"/>
      <c r="CB151" s="407">
        <v>200</v>
      </c>
      <c r="CC151" s="290">
        <f t="shared" si="291"/>
        <v>0</v>
      </c>
      <c r="CD151" s="291">
        <f t="shared" si="291"/>
        <v>-0.6</v>
      </c>
      <c r="CE151" s="390">
        <f t="shared" si="310"/>
        <v>0.30000000000000004</v>
      </c>
      <c r="CF151" s="391"/>
      <c r="CH151" s="407">
        <v>200</v>
      </c>
      <c r="CI151" s="290">
        <f t="shared" si="292"/>
        <v>0.34</v>
      </c>
      <c r="CJ151" s="291">
        <f t="shared" si="292"/>
        <v>0.47</v>
      </c>
      <c r="CK151" s="390">
        <f t="shared" si="311"/>
        <v>0.12999999999999995</v>
      </c>
      <c r="CL151" s="391"/>
      <c r="CN151" s="407">
        <v>200</v>
      </c>
      <c r="CO151" s="290">
        <f t="shared" si="293"/>
        <v>-0.26</v>
      </c>
      <c r="CP151" s="291">
        <f t="shared" si="293"/>
        <v>0.99</v>
      </c>
      <c r="CQ151" s="390">
        <f t="shared" si="312"/>
        <v>1.25</v>
      </c>
      <c r="CR151" s="391"/>
    </row>
    <row r="152" spans="2:96" s="377" customFormat="1" ht="13">
      <c r="B152" s="397"/>
      <c r="C152" s="378"/>
      <c r="D152" s="378"/>
      <c r="E152" s="395"/>
      <c r="F152" s="392"/>
      <c r="G152" s="392"/>
      <c r="H152" s="397"/>
      <c r="I152" s="378"/>
      <c r="J152" s="378"/>
      <c r="K152" s="395"/>
      <c r="L152" s="392"/>
      <c r="M152" s="392"/>
      <c r="N152" s="397"/>
      <c r="O152" s="378"/>
      <c r="P152" s="378"/>
      <c r="Q152" s="395"/>
      <c r="R152" s="379"/>
      <c r="T152" s="397"/>
      <c r="U152" s="378"/>
      <c r="V152" s="378"/>
      <c r="W152" s="395"/>
      <c r="X152" s="379"/>
      <c r="Z152" s="397"/>
      <c r="AA152" s="378"/>
      <c r="AB152" s="378"/>
      <c r="AC152" s="395"/>
      <c r="AD152" s="379"/>
      <c r="AF152" s="397"/>
      <c r="AG152" s="378"/>
      <c r="AH152" s="378"/>
      <c r="AI152" s="395"/>
      <c r="AJ152" s="379"/>
      <c r="AL152" s="397"/>
      <c r="AM152" s="378"/>
      <c r="AN152" s="378"/>
      <c r="AO152" s="395"/>
      <c r="AP152" s="379"/>
      <c r="AR152" s="397"/>
      <c r="AS152" s="378"/>
      <c r="AT152" s="378"/>
      <c r="AU152" s="395"/>
      <c r="AV152" s="379"/>
      <c r="AX152" s="397"/>
      <c r="AY152" s="411"/>
      <c r="AZ152" s="378"/>
      <c r="BA152" s="395"/>
      <c r="BB152" s="379"/>
      <c r="BD152" s="397"/>
      <c r="BE152" s="411"/>
      <c r="BF152" s="378"/>
      <c r="BG152" s="395"/>
      <c r="BH152" s="379"/>
      <c r="BJ152" s="397"/>
      <c r="BK152" s="411"/>
      <c r="BL152" s="378"/>
      <c r="BM152" s="395"/>
      <c r="BN152" s="379"/>
      <c r="BP152" s="397"/>
      <c r="BQ152" s="411"/>
      <c r="BR152" s="378"/>
      <c r="BS152" s="395"/>
      <c r="BT152" s="379"/>
      <c r="BV152" s="397"/>
      <c r="BW152" s="411"/>
      <c r="BX152" s="378"/>
      <c r="BY152" s="395"/>
      <c r="BZ152" s="379"/>
    </row>
    <row r="153" spans="2:96" s="377" customFormat="1" ht="13">
      <c r="B153" s="397"/>
      <c r="C153" s="378"/>
      <c r="D153" s="378"/>
      <c r="E153" s="395"/>
      <c r="F153" s="392"/>
      <c r="G153" s="392"/>
      <c r="H153" s="397"/>
      <c r="I153" s="378"/>
      <c r="J153" s="378"/>
      <c r="K153" s="395"/>
      <c r="L153" s="392"/>
      <c r="M153" s="392"/>
      <c r="N153" s="397"/>
      <c r="O153" s="378"/>
      <c r="P153" s="378"/>
      <c r="Q153" s="395"/>
      <c r="R153" s="379"/>
      <c r="T153" s="397"/>
      <c r="U153" s="378"/>
      <c r="V153" s="378"/>
      <c r="W153" s="395"/>
      <c r="X153" s="379"/>
      <c r="Z153" s="397"/>
      <c r="AA153" s="378"/>
      <c r="AB153" s="378"/>
      <c r="AC153" s="395"/>
      <c r="AD153" s="379"/>
      <c r="AF153" s="397"/>
      <c r="AG153" s="378"/>
      <c r="AH153" s="378"/>
      <c r="AI153" s="395"/>
      <c r="AJ153" s="379"/>
      <c r="AL153" s="397"/>
      <c r="AM153" s="378"/>
      <c r="AN153" s="378"/>
      <c r="AO153" s="395"/>
      <c r="AP153" s="379"/>
      <c r="AR153" s="397"/>
      <c r="AS153" s="378"/>
      <c r="AT153" s="378"/>
      <c r="AU153" s="395"/>
      <c r="AV153" s="379"/>
      <c r="AX153" s="397"/>
      <c r="AY153" s="378"/>
      <c r="AZ153" s="378"/>
      <c r="BA153" s="395"/>
      <c r="BB153" s="379"/>
      <c r="BD153" s="397"/>
      <c r="BE153" s="378"/>
      <c r="BF153" s="378"/>
      <c r="BG153" s="395"/>
      <c r="BH153" s="379"/>
      <c r="BJ153" s="397"/>
      <c r="BK153" s="378"/>
      <c r="BL153" s="378"/>
      <c r="BM153" s="395"/>
      <c r="BN153" s="379"/>
      <c r="BP153" s="397"/>
      <c r="BQ153" s="378"/>
      <c r="BR153" s="378"/>
      <c r="BS153" s="395"/>
      <c r="BT153" s="379"/>
      <c r="BV153" s="397"/>
      <c r="BW153" s="378"/>
      <c r="BX153" s="378"/>
      <c r="BY153" s="395"/>
      <c r="BZ153" s="379"/>
    </row>
    <row r="154" spans="2:96" s="377" customFormat="1" ht="21.65" customHeight="1">
      <c r="B154" s="1204" t="s">
        <v>396</v>
      </c>
      <c r="C154" s="1204"/>
      <c r="D154" s="1204"/>
      <c r="E154" s="1204"/>
      <c r="F154" s="1204"/>
      <c r="G154" s="1204"/>
      <c r="H154" s="1204"/>
      <c r="I154" s="1204"/>
      <c r="J154" s="1204"/>
      <c r="K154" s="1204"/>
      <c r="L154" s="1204"/>
      <c r="M154" s="1204"/>
      <c r="N154" s="1204"/>
      <c r="O154" s="1204"/>
      <c r="P154" s="1204"/>
      <c r="Q154" s="1204"/>
      <c r="R154" s="1204"/>
      <c r="S154" s="412"/>
      <c r="T154" s="1204" t="s">
        <v>396</v>
      </c>
      <c r="U154" s="1204"/>
      <c r="V154" s="1204"/>
      <c r="W154" s="1204"/>
      <c r="X154" s="1204"/>
      <c r="Y154" s="1204"/>
      <c r="Z154" s="1204"/>
      <c r="AA154" s="1204"/>
      <c r="AB154" s="1204"/>
      <c r="AC154" s="1204"/>
      <c r="AD154" s="1204"/>
      <c r="AE154" s="1204"/>
      <c r="AF154" s="1204"/>
      <c r="AG154" s="1204"/>
      <c r="AH154" s="1204"/>
      <c r="AI154" s="1204"/>
      <c r="AJ154" s="1204"/>
      <c r="AL154" s="397"/>
      <c r="AM154" s="378"/>
      <c r="AN154" s="378"/>
      <c r="AO154" s="395"/>
      <c r="AP154" s="379"/>
      <c r="AR154" s="397"/>
      <c r="AS154" s="378"/>
      <c r="AT154" s="378"/>
      <c r="AU154" s="395"/>
      <c r="AV154" s="379"/>
      <c r="AX154" s="397"/>
      <c r="AY154" s="378"/>
      <c r="AZ154" s="378"/>
      <c r="BA154" s="395"/>
      <c r="BB154" s="379"/>
      <c r="BD154" s="397"/>
      <c r="BE154" s="378"/>
      <c r="BF154" s="378"/>
      <c r="BG154" s="395"/>
      <c r="BH154" s="379"/>
      <c r="BJ154" s="397"/>
      <c r="BK154" s="378"/>
      <c r="BL154" s="378"/>
      <c r="BM154" s="395"/>
      <c r="BN154" s="379"/>
      <c r="BP154" s="397"/>
      <c r="BQ154" s="378"/>
      <c r="BR154" s="378"/>
      <c r="BS154" s="395"/>
      <c r="BT154" s="379"/>
      <c r="BV154" s="397"/>
      <c r="BW154" s="378"/>
      <c r="BX154" s="378"/>
      <c r="BY154" s="395"/>
      <c r="BZ154" s="379"/>
    </row>
    <row r="155" spans="2:96" s="377" customFormat="1" ht="13">
      <c r="B155" s="397"/>
      <c r="C155" s="717">
        <v>2022</v>
      </c>
      <c r="D155" s="717">
        <v>2022</v>
      </c>
      <c r="E155" s="718">
        <v>2023</v>
      </c>
      <c r="F155" s="718">
        <v>2022</v>
      </c>
      <c r="G155" s="718">
        <v>2023</v>
      </c>
      <c r="H155" s="717">
        <v>2023</v>
      </c>
      <c r="I155" s="717">
        <v>2023</v>
      </c>
      <c r="J155" s="717">
        <v>2023</v>
      </c>
      <c r="K155" s="718">
        <v>2021</v>
      </c>
      <c r="L155" s="718">
        <v>2022</v>
      </c>
      <c r="M155" s="718">
        <v>2021</v>
      </c>
      <c r="N155" s="717">
        <v>2022</v>
      </c>
      <c r="O155" s="717">
        <v>2022</v>
      </c>
      <c r="P155" s="717">
        <v>2022</v>
      </c>
      <c r="Q155" s="718">
        <v>2021</v>
      </c>
      <c r="R155" s="717">
        <v>2021</v>
      </c>
      <c r="T155" s="397"/>
      <c r="U155" s="378"/>
      <c r="V155" s="378"/>
      <c r="W155" s="395"/>
      <c r="X155" s="379"/>
      <c r="Z155" s="397"/>
      <c r="AA155" s="378"/>
      <c r="AB155" s="378"/>
      <c r="AC155" s="395"/>
      <c r="AD155" s="379"/>
      <c r="AF155" s="397"/>
      <c r="AG155" s="378"/>
      <c r="AH155" s="378"/>
      <c r="AI155" s="395"/>
      <c r="AJ155" s="379"/>
      <c r="AL155" s="397"/>
      <c r="AM155" s="378"/>
      <c r="AN155" s="378"/>
      <c r="AO155" s="395"/>
      <c r="AP155" s="379"/>
      <c r="AR155" s="397"/>
      <c r="AS155" s="378"/>
      <c r="AT155" s="378"/>
      <c r="AU155" s="395"/>
      <c r="AV155" s="379"/>
      <c r="AX155" s="397"/>
      <c r="AY155" s="378"/>
      <c r="AZ155" s="378"/>
      <c r="BA155" s="395"/>
      <c r="BB155" s="379"/>
      <c r="BD155" s="397"/>
      <c r="BE155" s="378"/>
      <c r="BF155" s="378"/>
      <c r="BG155" s="395"/>
      <c r="BH155" s="379"/>
      <c r="BJ155" s="397"/>
      <c r="BK155" s="378"/>
      <c r="BL155" s="378"/>
      <c r="BM155" s="395"/>
      <c r="BN155" s="379"/>
      <c r="BP155" s="397"/>
      <c r="BQ155" s="378"/>
      <c r="BR155" s="378"/>
      <c r="BS155" s="395"/>
      <c r="BT155" s="379"/>
      <c r="BV155" s="397"/>
      <c r="BW155" s="378"/>
      <c r="BX155" s="378"/>
      <c r="BY155" s="395"/>
      <c r="BZ155" s="379"/>
    </row>
    <row r="156" spans="2:96" ht="90" customHeight="1">
      <c r="B156" s="413" t="s">
        <v>383</v>
      </c>
      <c r="C156" s="414" t="str">
        <f>'Data Alat'!$A$59</f>
        <v>Thermocouple Data Logger, Merek : MADGETECH, Model : OctTemp 2000, SN : P40270</v>
      </c>
      <c r="D156" s="414" t="str">
        <f>'Data Alat'!$A$60</f>
        <v>Thermocouple Data Logger, Merek : MADGETECH, Model : OctTemp 2000, SN : P41878</v>
      </c>
      <c r="E156" s="414" t="str">
        <f>'Data Alat'!$A$61</f>
        <v>Mobile Corder, Merek : Yokogawa, Model : GP 10, SN : S5T810599</v>
      </c>
      <c r="F156" s="414" t="str">
        <f>'Data Alat'!$A$49</f>
        <v>Wireless Temperature Recorder, Merek : HIOKI, Model : LR 8510, SN : 200936000</v>
      </c>
      <c r="G156" s="414" t="str">
        <f>'Data Alat'!$A$50</f>
        <v>Wireless Temperature Recorder, Merek : HIOKI, Model : LR 8510, SN : 200936001</v>
      </c>
      <c r="H156" s="414" t="str">
        <f>'Data Alat'!$A$51</f>
        <v>Wireless Temperature Recorder, Merek : HIOKI, Model : LR 8510, SN : 200821397</v>
      </c>
      <c r="I156" s="414" t="str">
        <f>'Data Alat'!$A$52</f>
        <v>Wireless Temperature Recorder, Merek : HIOKI, Model : LR 8510, SN : 210411983</v>
      </c>
      <c r="J156" s="414" t="str">
        <f>'Data Alat'!$A$53</f>
        <v>Wireless Temperature Recorder, Merek : HIOKI, Model : LR 8510, SN : 210411984</v>
      </c>
      <c r="K156" s="414" t="str">
        <f>'Data Alat'!$A$54</f>
        <v>Wireless Temperature Recorder, Merek : HIOKI, Model : LR 8510, SN : 210411985</v>
      </c>
      <c r="L156" s="414" t="str">
        <f>'Data Alat'!$A$55</f>
        <v>Wireless Temperature Recorder, Merek : HIOKI, Model : LR 8510, SN : 210746054</v>
      </c>
      <c r="M156" s="414" t="str">
        <f>'Data Alat'!$A$56</f>
        <v>Wireless Temperature Recorder, Merek : HIOKI, Model : LR 8510, SN : 210746055</v>
      </c>
      <c r="N156" s="414" t="str">
        <f>'Data Alat'!$A$57</f>
        <v>Wireless Temperature Recorder, Merek : HIOKI, Model : LR 8510, SN : 210746056</v>
      </c>
      <c r="O156" s="414" t="str">
        <f>'Data Alat'!$A$58</f>
        <v>Wireless Temperature Recorder, Merek : HIOKI, Model : LR 8510, SN : 200821396</v>
      </c>
      <c r="P156" s="432" t="str">
        <f>'Data Alat'!$A$62</f>
        <v>Reference Thermometer, Merek : APPA, Model : APPA51, SN : 03002948</v>
      </c>
      <c r="Q156" s="432" t="str">
        <f>'Data Alat'!$A$63</f>
        <v>Reference Thermometer, Merek : FLUKE, Model : 1524, SN : 1803038</v>
      </c>
      <c r="R156" s="432" t="str">
        <f>'Data Alat'!$A$64</f>
        <v>Reference Thermometer, Merek : FLUKE, Model : 1524, SN : 1803037</v>
      </c>
      <c r="S156" s="377"/>
      <c r="T156" s="413" t="s">
        <v>387</v>
      </c>
      <c r="U156" s="415" t="str">
        <f t="shared" ref="U156:AG156" si="319">C156</f>
        <v>Thermocouple Data Logger, Merek : MADGETECH, Model : OctTemp 2000, SN : P40270</v>
      </c>
      <c r="V156" s="415" t="str">
        <f t="shared" si="319"/>
        <v>Thermocouple Data Logger, Merek : MADGETECH, Model : OctTemp 2000, SN : P41878</v>
      </c>
      <c r="W156" s="415" t="str">
        <f t="shared" si="319"/>
        <v>Mobile Corder, Merek : Yokogawa, Model : GP 10, SN : S5T810599</v>
      </c>
      <c r="X156" s="415" t="str">
        <f t="shared" si="319"/>
        <v>Wireless Temperature Recorder, Merek : HIOKI, Model : LR 8510, SN : 200936000</v>
      </c>
      <c r="Y156" s="415" t="str">
        <f t="shared" si="319"/>
        <v>Wireless Temperature Recorder, Merek : HIOKI, Model : LR 8510, SN : 200936001</v>
      </c>
      <c r="Z156" s="415" t="str">
        <f t="shared" si="319"/>
        <v>Wireless Temperature Recorder, Merek : HIOKI, Model : LR 8510, SN : 200821397</v>
      </c>
      <c r="AA156" s="415" t="str">
        <f t="shared" si="319"/>
        <v>Wireless Temperature Recorder, Merek : HIOKI, Model : LR 8510, SN : 210411983</v>
      </c>
      <c r="AB156" s="415" t="str">
        <f t="shared" si="319"/>
        <v>Wireless Temperature Recorder, Merek : HIOKI, Model : LR 8510, SN : 210411984</v>
      </c>
      <c r="AC156" s="415" t="str">
        <f t="shared" si="319"/>
        <v>Wireless Temperature Recorder, Merek : HIOKI, Model : LR 8510, SN : 210411985</v>
      </c>
      <c r="AD156" s="415" t="str">
        <f t="shared" si="319"/>
        <v>Wireless Temperature Recorder, Merek : HIOKI, Model : LR 8510, SN : 210746054</v>
      </c>
      <c r="AE156" s="415" t="str">
        <f t="shared" si="319"/>
        <v>Wireless Temperature Recorder, Merek : HIOKI, Model : LR 8510, SN : 210746055</v>
      </c>
      <c r="AF156" s="415" t="str">
        <f t="shared" si="319"/>
        <v>Wireless Temperature Recorder, Merek : HIOKI, Model : LR 8510, SN : 210746056</v>
      </c>
      <c r="AG156" s="416" t="str">
        <f t="shared" si="319"/>
        <v>Wireless Temperature Recorder, Merek : HIOKI, Model : LR 8510, SN : 200821396</v>
      </c>
      <c r="AH156" s="416" t="str">
        <f t="shared" ref="AH156" si="320">P156</f>
        <v>Reference Thermometer, Merek : APPA, Model : APPA51, SN : 03002948</v>
      </c>
      <c r="AI156" s="416" t="str">
        <f t="shared" ref="AI156" si="321">Q156</f>
        <v>Reference Thermometer, Merek : FLUKE, Model : 1524, SN : 1803038</v>
      </c>
      <c r="AJ156" s="416" t="str">
        <f t="shared" ref="AJ156" si="322">R156</f>
        <v>Reference Thermometer, Merek : FLUKE, Model : 1524, SN : 1803037</v>
      </c>
      <c r="AK156" s="377"/>
      <c r="AX156" s="419"/>
      <c r="AY156" s="420"/>
      <c r="AZ156" s="421"/>
      <c r="BD156" s="419"/>
      <c r="BE156" s="420"/>
      <c r="BF156" s="421"/>
      <c r="BJ156" s="419"/>
      <c r="BK156" s="420"/>
      <c r="BL156" s="421"/>
      <c r="BP156" s="419"/>
      <c r="BQ156" s="420"/>
      <c r="BR156" s="421"/>
      <c r="BV156" s="419"/>
      <c r="BW156" s="420"/>
      <c r="BX156" s="421"/>
    </row>
    <row r="157" spans="2:96" s="676" customFormat="1" ht="4.1500000000000004" customHeight="1">
      <c r="B157" s="677"/>
      <c r="C157" s="678"/>
      <c r="D157" s="678"/>
      <c r="E157" s="679"/>
      <c r="F157" s="678"/>
      <c r="G157" s="678"/>
      <c r="H157" s="678"/>
      <c r="I157" s="678"/>
      <c r="J157" s="678"/>
      <c r="K157" s="678"/>
      <c r="L157" s="678"/>
      <c r="M157" s="678"/>
      <c r="N157" s="678"/>
      <c r="O157" s="678"/>
      <c r="P157" s="680"/>
      <c r="Q157" s="680"/>
      <c r="R157" s="680"/>
      <c r="T157" s="677"/>
      <c r="U157" s="681"/>
      <c r="V157" s="681"/>
      <c r="W157" s="681"/>
      <c r="X157" s="681"/>
      <c r="Y157" s="681"/>
      <c r="Z157" s="681"/>
      <c r="AA157" s="681"/>
      <c r="AB157" s="681"/>
      <c r="AC157" s="681"/>
      <c r="AD157" s="681"/>
      <c r="AE157" s="681"/>
      <c r="AF157" s="681"/>
      <c r="AG157" s="682"/>
      <c r="AH157" s="680"/>
      <c r="AI157" s="680"/>
      <c r="AJ157" s="680"/>
      <c r="AN157" s="683"/>
      <c r="AP157" s="684"/>
      <c r="AT157" s="683"/>
      <c r="AV157" s="684"/>
      <c r="AX157" s="685"/>
      <c r="AY157" s="686"/>
      <c r="AZ157" s="687"/>
      <c r="BB157" s="684"/>
      <c r="BD157" s="685"/>
      <c r="BE157" s="686"/>
      <c r="BF157" s="687"/>
      <c r="BH157" s="684"/>
      <c r="BJ157" s="685"/>
      <c r="BK157" s="686"/>
      <c r="BL157" s="687"/>
      <c r="BN157" s="684"/>
      <c r="BP157" s="685"/>
      <c r="BQ157" s="686"/>
      <c r="BR157" s="687"/>
      <c r="BT157" s="684"/>
      <c r="BV157" s="685"/>
      <c r="BW157" s="686"/>
      <c r="BX157" s="687"/>
      <c r="BZ157" s="684"/>
    </row>
    <row r="158" spans="2:96" ht="13">
      <c r="B158" s="422">
        <v>-20</v>
      </c>
      <c r="C158" s="370">
        <v>-0.77</v>
      </c>
      <c r="D158" s="370">
        <v>-0.62</v>
      </c>
      <c r="E158" s="423">
        <v>-0.57999999999999996</v>
      </c>
      <c r="F158" s="370">
        <v>-1.46</v>
      </c>
      <c r="G158" s="370">
        <v>-0.03</v>
      </c>
      <c r="H158" s="370">
        <v>-0.02</v>
      </c>
      <c r="I158" s="370">
        <v>0.4</v>
      </c>
      <c r="J158" s="370">
        <v>0.33</v>
      </c>
      <c r="K158" s="370">
        <v>0.53</v>
      </c>
      <c r="L158" s="370">
        <v>-1.02</v>
      </c>
      <c r="M158" s="370">
        <v>0.53</v>
      </c>
      <c r="N158" s="370">
        <v>-1.4</v>
      </c>
      <c r="O158" s="370">
        <v>-1.5</v>
      </c>
      <c r="P158" s="370">
        <v>-1.1000000000000001</v>
      </c>
      <c r="Q158" s="370">
        <v>-0.15</v>
      </c>
      <c r="R158" s="370">
        <v>-1.8</v>
      </c>
      <c r="S158" s="377"/>
      <c r="T158" s="422">
        <v>-20</v>
      </c>
      <c r="U158" s="370">
        <v>-0.67</v>
      </c>
      <c r="V158" s="370">
        <v>-0.59</v>
      </c>
      <c r="W158" s="370">
        <v>-0.5</v>
      </c>
      <c r="X158" s="370">
        <v>-1.45</v>
      </c>
      <c r="Y158" s="370">
        <v>0.01</v>
      </c>
      <c r="Z158" s="370">
        <v>0.02</v>
      </c>
      <c r="AA158" s="370">
        <v>0.42</v>
      </c>
      <c r="AB158" s="370">
        <v>0.3</v>
      </c>
      <c r="AC158" s="370">
        <v>0.62</v>
      </c>
      <c r="AD158" s="370">
        <v>-0.97</v>
      </c>
      <c r="AE158" s="370">
        <v>0.62</v>
      </c>
      <c r="AF158" s="370">
        <v>-1.29</v>
      </c>
      <c r="AG158" s="371">
        <v>-1.45</v>
      </c>
      <c r="AH158" s="370">
        <f>P158</f>
        <v>-1.1000000000000001</v>
      </c>
      <c r="AI158" s="370">
        <v>-0.15</v>
      </c>
      <c r="AJ158" s="370">
        <v>-1.8</v>
      </c>
      <c r="AK158" s="377"/>
      <c r="AX158" s="417"/>
      <c r="AY158" s="417"/>
      <c r="BC158" s="375"/>
      <c r="BD158" s="417"/>
      <c r="BE158" s="417"/>
      <c r="BI158" s="375"/>
      <c r="BJ158" s="417"/>
      <c r="BK158" s="417"/>
      <c r="BO158" s="375"/>
      <c r="BP158" s="417"/>
      <c r="BQ158" s="417"/>
      <c r="BU158" s="375"/>
      <c r="BV158" s="417"/>
      <c r="BW158" s="417"/>
      <c r="CA158" s="375"/>
      <c r="CB158" s="375"/>
      <c r="CC158" s="375"/>
    </row>
    <row r="159" spans="2:96" ht="13">
      <c r="B159" s="422">
        <v>-15</v>
      </c>
      <c r="C159" s="370">
        <v>-0.67</v>
      </c>
      <c r="D159" s="370">
        <v>0.52</v>
      </c>
      <c r="E159" s="423">
        <v>-0.48</v>
      </c>
      <c r="F159" s="370">
        <v>-1.26</v>
      </c>
      <c r="G159" s="370">
        <v>0.02</v>
      </c>
      <c r="H159" s="370">
        <v>0.01</v>
      </c>
      <c r="I159" s="370">
        <v>0.42</v>
      </c>
      <c r="J159" s="370">
        <v>0.35</v>
      </c>
      <c r="K159" s="370">
        <v>9.9999999999999995E-7</v>
      </c>
      <c r="L159" s="370">
        <v>-0.76</v>
      </c>
      <c r="M159" s="370">
        <v>9.9999999999999995E-7</v>
      </c>
      <c r="N159" s="370">
        <v>-1.1399999999999999</v>
      </c>
      <c r="O159" s="370">
        <v>-1.24</v>
      </c>
      <c r="P159" s="370">
        <v>-1.1000000000000001</v>
      </c>
      <c r="Q159" s="370">
        <v>-0.1</v>
      </c>
      <c r="R159" s="370">
        <v>-1.52</v>
      </c>
      <c r="S159" s="377"/>
      <c r="T159" s="422">
        <v>-15</v>
      </c>
      <c r="U159" s="370">
        <v>-0.57999999999999996</v>
      </c>
      <c r="V159" s="370">
        <v>-0.51</v>
      </c>
      <c r="W159" s="370">
        <v>-0.41</v>
      </c>
      <c r="X159" s="370">
        <v>-1.23</v>
      </c>
      <c r="Y159" s="370">
        <v>0.05</v>
      </c>
      <c r="Z159" s="370">
        <v>0.05</v>
      </c>
      <c r="AA159" s="370">
        <v>0.44</v>
      </c>
      <c r="AB159" s="370">
        <v>0.33</v>
      </c>
      <c r="AC159" s="370">
        <v>9.9999999999999995E-7</v>
      </c>
      <c r="AD159" s="370">
        <v>-0.72</v>
      </c>
      <c r="AE159" s="370">
        <v>9.9999999999999995E-7</v>
      </c>
      <c r="AF159" s="370">
        <v>-1.04</v>
      </c>
      <c r="AG159" s="371">
        <v>-1.18</v>
      </c>
      <c r="AH159" s="370">
        <f t="shared" ref="AH159:AH170" si="323">P159</f>
        <v>-1.1000000000000001</v>
      </c>
      <c r="AI159" s="370">
        <v>-0.1</v>
      </c>
      <c r="AJ159" s="370">
        <v>-1.52</v>
      </c>
      <c r="AK159" s="377"/>
      <c r="AX159" s="417"/>
      <c r="AY159" s="417"/>
      <c r="BC159" s="375"/>
      <c r="BD159" s="417"/>
      <c r="BE159" s="417"/>
      <c r="BI159" s="375"/>
      <c r="BJ159" s="417"/>
      <c r="BK159" s="417"/>
      <c r="BO159" s="375"/>
      <c r="BP159" s="417"/>
      <c r="BQ159" s="417"/>
      <c r="BU159" s="375"/>
      <c r="BV159" s="417"/>
      <c r="BW159" s="417"/>
      <c r="CA159" s="375"/>
      <c r="CB159" s="375"/>
      <c r="CC159" s="375"/>
    </row>
    <row r="160" spans="2:96" ht="13">
      <c r="B160" s="422">
        <v>-10</v>
      </c>
      <c r="C160" s="370">
        <v>-0.57999999999999996</v>
      </c>
      <c r="D160" s="370">
        <v>-0.43</v>
      </c>
      <c r="E160" s="423">
        <v>-0.4</v>
      </c>
      <c r="F160" s="370">
        <v>-1.04</v>
      </c>
      <c r="G160" s="370">
        <v>0.05</v>
      </c>
      <c r="H160" s="370">
        <v>0.04</v>
      </c>
      <c r="I160" s="370">
        <v>0.43</v>
      </c>
      <c r="J160" s="370">
        <v>0.36</v>
      </c>
      <c r="K160" s="370">
        <v>0.5</v>
      </c>
      <c r="L160" s="370">
        <v>-0.56999999999999995</v>
      </c>
      <c r="M160" s="370">
        <v>0.5</v>
      </c>
      <c r="N160" s="370">
        <v>-0.91</v>
      </c>
      <c r="O160" s="370">
        <v>-1.01</v>
      </c>
      <c r="P160" s="370">
        <v>-1.2</v>
      </c>
      <c r="Q160" s="370">
        <v>-0.05</v>
      </c>
      <c r="R160" s="370">
        <v>-1.26</v>
      </c>
      <c r="S160" s="377"/>
      <c r="T160" s="422">
        <v>-10</v>
      </c>
      <c r="U160" s="370">
        <v>-0.5</v>
      </c>
      <c r="V160" s="370">
        <v>-0.42</v>
      </c>
      <c r="W160" s="370">
        <v>-0.34</v>
      </c>
      <c r="X160" s="370">
        <v>-0.99</v>
      </c>
      <c r="Y160" s="370">
        <v>0.08</v>
      </c>
      <c r="Z160" s="370">
        <v>0.08</v>
      </c>
      <c r="AA160" s="370">
        <v>0.44</v>
      </c>
      <c r="AB160" s="370">
        <v>0.35</v>
      </c>
      <c r="AC160" s="370">
        <v>0.59</v>
      </c>
      <c r="AD160" s="370">
        <v>-0.52</v>
      </c>
      <c r="AE160" s="370">
        <v>0.59</v>
      </c>
      <c r="AF160" s="370">
        <v>-0.83</v>
      </c>
      <c r="AG160" s="371">
        <v>-0.94</v>
      </c>
      <c r="AH160" s="370">
        <f t="shared" si="323"/>
        <v>-1.2</v>
      </c>
      <c r="AI160" s="370">
        <v>-0.05</v>
      </c>
      <c r="AJ160" s="370">
        <v>-1.26</v>
      </c>
      <c r="AK160" s="377"/>
      <c r="AX160" s="417"/>
      <c r="AY160" s="417"/>
      <c r="BD160" s="417"/>
      <c r="BE160" s="417"/>
      <c r="BJ160" s="417"/>
      <c r="BK160" s="417"/>
      <c r="BP160" s="417"/>
      <c r="BQ160" s="417"/>
      <c r="BV160" s="417"/>
      <c r="BW160" s="417"/>
    </row>
    <row r="161" spans="1:97" ht="13">
      <c r="B161" s="422">
        <v>9.9999999999999995E-7</v>
      </c>
      <c r="C161" s="370">
        <v>-0.39</v>
      </c>
      <c r="D161" s="370">
        <v>-0.26</v>
      </c>
      <c r="E161" s="423">
        <v>-0.26</v>
      </c>
      <c r="F161" s="370">
        <v>-0.38</v>
      </c>
      <c r="G161" s="370">
        <v>0.02</v>
      </c>
      <c r="H161" s="370">
        <v>0.02</v>
      </c>
      <c r="I161" s="370">
        <v>0.38</v>
      </c>
      <c r="J161" s="370">
        <v>0.34</v>
      </c>
      <c r="K161" s="370">
        <v>0.48</v>
      </c>
      <c r="L161" s="370">
        <v>-0.31</v>
      </c>
      <c r="M161" s="370">
        <v>0.48</v>
      </c>
      <c r="N161" s="370">
        <v>-0.63</v>
      </c>
      <c r="O161" s="370">
        <v>-0.6</v>
      </c>
      <c r="P161" s="370">
        <v>-1.4</v>
      </c>
      <c r="Q161" s="370">
        <v>0.03</v>
      </c>
      <c r="R161" s="370">
        <v>-0.79</v>
      </c>
      <c r="S161" s="377"/>
      <c r="T161" s="422">
        <v>9.9999999999999995E-7</v>
      </c>
      <c r="U161" s="370">
        <v>-0.34</v>
      </c>
      <c r="V161" s="370">
        <v>-0.26</v>
      </c>
      <c r="W161" s="370">
        <v>-0.21</v>
      </c>
      <c r="X161" s="370">
        <v>-0.34</v>
      </c>
      <c r="Y161" s="370">
        <v>0.05</v>
      </c>
      <c r="Z161" s="370">
        <v>0.06</v>
      </c>
      <c r="AA161" s="370">
        <v>0.38</v>
      </c>
      <c r="AB161" s="370">
        <v>0.35</v>
      </c>
      <c r="AC161" s="370">
        <v>0.56000000000000005</v>
      </c>
      <c r="AD161" s="370">
        <v>-0.28000000000000003</v>
      </c>
      <c r="AE161" s="370">
        <v>0.56000000000000005</v>
      </c>
      <c r="AF161" s="370">
        <v>-0.56999999999999995</v>
      </c>
      <c r="AG161" s="371">
        <v>-0.56000000000000005</v>
      </c>
      <c r="AH161" s="370">
        <f t="shared" si="323"/>
        <v>-1.4</v>
      </c>
      <c r="AI161" s="370">
        <v>0.03</v>
      </c>
      <c r="AJ161" s="370">
        <v>-0.79</v>
      </c>
      <c r="AK161" s="377"/>
      <c r="AX161" s="417"/>
      <c r="AY161" s="417"/>
      <c r="BD161" s="417"/>
      <c r="BE161" s="417"/>
      <c r="BJ161" s="417"/>
      <c r="BK161" s="417"/>
      <c r="BP161" s="417"/>
      <c r="BQ161" s="417"/>
      <c r="BV161" s="417"/>
      <c r="BW161" s="417"/>
    </row>
    <row r="162" spans="1:97" ht="13">
      <c r="B162" s="422">
        <v>2</v>
      </c>
      <c r="C162" s="370">
        <v>-0.35</v>
      </c>
      <c r="D162" s="370">
        <v>-0.23</v>
      </c>
      <c r="E162" s="423">
        <v>-0.24</v>
      </c>
      <c r="F162" s="370">
        <v>-0.59</v>
      </c>
      <c r="G162" s="370">
        <v>0.05</v>
      </c>
      <c r="H162" s="370">
        <v>0.05</v>
      </c>
      <c r="I162" s="370">
        <v>0.41</v>
      </c>
      <c r="J162" s="370">
        <v>0.37</v>
      </c>
      <c r="K162" s="370">
        <v>0.48</v>
      </c>
      <c r="L162" s="370">
        <v>-0.43</v>
      </c>
      <c r="M162" s="370">
        <v>0.48</v>
      </c>
      <c r="N162" s="370">
        <v>-0.67</v>
      </c>
      <c r="O162" s="370">
        <v>-0.65</v>
      </c>
      <c r="P162" s="370">
        <v>0</v>
      </c>
      <c r="Q162" s="370">
        <v>0.04</v>
      </c>
      <c r="R162" s="370">
        <v>-0.7</v>
      </c>
      <c r="S162" s="377"/>
      <c r="T162" s="422">
        <v>2</v>
      </c>
      <c r="U162" s="370">
        <v>-0.31</v>
      </c>
      <c r="V162" s="370">
        <v>-0.23</v>
      </c>
      <c r="W162" s="370">
        <v>-0.19</v>
      </c>
      <c r="X162" s="370">
        <v>-0.62</v>
      </c>
      <c r="Y162" s="370">
        <v>7.0000000000000007E-2</v>
      </c>
      <c r="Z162" s="370">
        <v>0.08</v>
      </c>
      <c r="AA162" s="370">
        <v>0.41</v>
      </c>
      <c r="AB162" s="370">
        <v>0.36</v>
      </c>
      <c r="AC162" s="370">
        <v>0.55000000000000004</v>
      </c>
      <c r="AD162" s="370">
        <v>-0.41</v>
      </c>
      <c r="AE162" s="370">
        <v>0.55000000000000004</v>
      </c>
      <c r="AF162" s="370">
        <v>-0.57999999999999996</v>
      </c>
      <c r="AG162" s="371">
        <v>-0.64</v>
      </c>
      <c r="AH162" s="370">
        <f t="shared" si="323"/>
        <v>0</v>
      </c>
      <c r="AI162" s="370">
        <v>0.04</v>
      </c>
      <c r="AJ162" s="370">
        <v>-0.7</v>
      </c>
      <c r="AK162" s="377"/>
      <c r="AX162" s="417"/>
      <c r="AY162" s="417"/>
      <c r="BD162" s="417"/>
      <c r="BE162" s="417"/>
      <c r="BJ162" s="417"/>
      <c r="BK162" s="417"/>
      <c r="BP162" s="417"/>
      <c r="BQ162" s="417"/>
      <c r="BV162" s="417"/>
      <c r="BW162" s="417"/>
    </row>
    <row r="163" spans="1:97" ht="13">
      <c r="B163" s="422">
        <v>8</v>
      </c>
      <c r="C163" s="370">
        <v>-0.25</v>
      </c>
      <c r="D163" s="370">
        <v>-0.13</v>
      </c>
      <c r="E163" s="423">
        <v>-0.17</v>
      </c>
      <c r="F163" s="370">
        <v>-0.33</v>
      </c>
      <c r="G163" s="370">
        <v>0.05</v>
      </c>
      <c r="H163" s="370">
        <v>0.04</v>
      </c>
      <c r="I163" s="370">
        <v>0.41</v>
      </c>
      <c r="J163" s="370">
        <v>0.36</v>
      </c>
      <c r="K163" s="370">
        <v>0.46</v>
      </c>
      <c r="L163" s="370">
        <v>-0.16</v>
      </c>
      <c r="M163" s="370">
        <v>0.46</v>
      </c>
      <c r="N163" s="370">
        <v>-0.4</v>
      </c>
      <c r="O163" s="370">
        <v>-0.38</v>
      </c>
      <c r="P163" s="370">
        <v>0</v>
      </c>
      <c r="Q163" s="370">
        <v>0.08</v>
      </c>
      <c r="R163" s="370">
        <v>-0.46</v>
      </c>
      <c r="S163" s="377"/>
      <c r="T163" s="422">
        <v>8</v>
      </c>
      <c r="U163" s="370">
        <v>-0.22</v>
      </c>
      <c r="V163" s="370">
        <v>-0.14000000000000001</v>
      </c>
      <c r="W163" s="370">
        <v>-0.13</v>
      </c>
      <c r="X163" s="370">
        <v>-0.37</v>
      </c>
      <c r="Y163" s="370">
        <v>7.0000000000000007E-2</v>
      </c>
      <c r="Z163" s="370">
        <v>0.08</v>
      </c>
      <c r="AA163" s="370">
        <v>0.41</v>
      </c>
      <c r="AB163" s="370">
        <v>0.35</v>
      </c>
      <c r="AC163" s="370">
        <v>0.53</v>
      </c>
      <c r="AD163" s="370">
        <v>-0.13</v>
      </c>
      <c r="AE163" s="370">
        <v>0.53</v>
      </c>
      <c r="AF163" s="370">
        <v>-0.34</v>
      </c>
      <c r="AG163" s="371">
        <v>-0.37</v>
      </c>
      <c r="AH163" s="370">
        <f t="shared" si="323"/>
        <v>0</v>
      </c>
      <c r="AI163" s="370">
        <v>0.08</v>
      </c>
      <c r="AJ163" s="370">
        <v>-0.46</v>
      </c>
      <c r="AK163" s="377"/>
      <c r="AX163" s="417"/>
      <c r="AY163" s="417"/>
      <c r="BD163" s="417"/>
      <c r="BE163" s="417"/>
      <c r="BJ163" s="417"/>
      <c r="BK163" s="417"/>
      <c r="BP163" s="417"/>
      <c r="BQ163" s="417"/>
      <c r="BV163" s="417"/>
      <c r="BW163" s="417"/>
    </row>
    <row r="164" spans="1:97" ht="13">
      <c r="B164" s="422">
        <v>37</v>
      </c>
      <c r="C164" s="370">
        <v>0.2</v>
      </c>
      <c r="D164" s="370">
        <v>0.21</v>
      </c>
      <c r="E164" s="423">
        <v>0</v>
      </c>
      <c r="F164" s="370">
        <v>0.5</v>
      </c>
      <c r="G164" s="370">
        <v>0.05</v>
      </c>
      <c r="H164" s="370">
        <v>0.05</v>
      </c>
      <c r="I164" s="370">
        <v>0.41</v>
      </c>
      <c r="J164" s="370">
        <v>0.33</v>
      </c>
      <c r="K164" s="370">
        <v>0.38</v>
      </c>
      <c r="L164" s="370">
        <v>0.65</v>
      </c>
      <c r="M164" s="371">
        <v>0.38</v>
      </c>
      <c r="N164" s="370">
        <v>0.45</v>
      </c>
      <c r="O164" s="370">
        <v>0.52</v>
      </c>
      <c r="P164" s="370">
        <v>0</v>
      </c>
      <c r="Q164" s="370">
        <v>0.23</v>
      </c>
      <c r="R164" s="370">
        <v>0.42</v>
      </c>
      <c r="S164" s="377"/>
      <c r="T164" s="422">
        <v>37</v>
      </c>
      <c r="U164" s="370">
        <v>0.19</v>
      </c>
      <c r="V164" s="370">
        <v>0.21</v>
      </c>
      <c r="W164" s="370">
        <v>0.01</v>
      </c>
      <c r="X164" s="370">
        <v>0.49</v>
      </c>
      <c r="Y164" s="370">
        <v>0.08</v>
      </c>
      <c r="Z164" s="370">
        <v>0.09</v>
      </c>
      <c r="AA164" s="370">
        <v>0.42</v>
      </c>
      <c r="AB164" s="370">
        <v>0.33</v>
      </c>
      <c r="AC164" s="370">
        <v>0.43</v>
      </c>
      <c r="AD164" s="370">
        <v>0.65</v>
      </c>
      <c r="AE164" s="370">
        <v>0.43</v>
      </c>
      <c r="AF164" s="370">
        <v>0.41</v>
      </c>
      <c r="AG164" s="371">
        <v>0.51</v>
      </c>
      <c r="AH164" s="370">
        <f t="shared" si="323"/>
        <v>0</v>
      </c>
      <c r="AI164" s="370">
        <v>0.23</v>
      </c>
      <c r="AJ164" s="370">
        <v>0.42</v>
      </c>
      <c r="AK164" s="377"/>
      <c r="AX164" s="417"/>
      <c r="AY164" s="417"/>
      <c r="BD164" s="417"/>
      <c r="BE164" s="417"/>
      <c r="BJ164" s="417"/>
      <c r="BK164" s="417"/>
      <c r="BP164" s="417"/>
      <c r="BQ164" s="417"/>
      <c r="BV164" s="417"/>
      <c r="BW164" s="417"/>
    </row>
    <row r="165" spans="1:97" ht="13">
      <c r="B165" s="422">
        <v>44</v>
      </c>
      <c r="C165" s="370">
        <v>0.28999999999999998</v>
      </c>
      <c r="D165" s="370">
        <v>0.28000000000000003</v>
      </c>
      <c r="E165" s="423">
        <v>0.02</v>
      </c>
      <c r="F165" s="370">
        <v>0.62</v>
      </c>
      <c r="G165" s="370">
        <v>0.06</v>
      </c>
      <c r="H165" s="370">
        <v>0.06</v>
      </c>
      <c r="I165" s="370">
        <v>0.41</v>
      </c>
      <c r="J165" s="370">
        <v>0.33</v>
      </c>
      <c r="K165" s="370">
        <v>0.36</v>
      </c>
      <c r="L165" s="370">
        <v>0.75</v>
      </c>
      <c r="M165" s="370">
        <v>0.36</v>
      </c>
      <c r="N165" s="370">
        <v>0.56000000000000005</v>
      </c>
      <c r="O165" s="370">
        <v>0.65</v>
      </c>
      <c r="P165" s="370">
        <v>0</v>
      </c>
      <c r="Q165" s="370">
        <v>0.25</v>
      </c>
      <c r="R165" s="370">
        <v>0.56999999999999995</v>
      </c>
      <c r="S165" s="377"/>
      <c r="T165" s="422">
        <v>44</v>
      </c>
      <c r="U165" s="370">
        <v>0.28000000000000003</v>
      </c>
      <c r="V165" s="370">
        <v>0.27</v>
      </c>
      <c r="W165" s="370">
        <v>0.02</v>
      </c>
      <c r="X165" s="370">
        <v>0.61</v>
      </c>
      <c r="Y165" s="370">
        <v>0.08</v>
      </c>
      <c r="Z165" s="370">
        <v>0.1</v>
      </c>
      <c r="AA165" s="370">
        <v>0.42</v>
      </c>
      <c r="AB165" s="370">
        <v>0.33</v>
      </c>
      <c r="AC165" s="370">
        <v>0.41</v>
      </c>
      <c r="AD165" s="370">
        <v>0.72</v>
      </c>
      <c r="AE165" s="370">
        <v>0.41</v>
      </c>
      <c r="AF165" s="370">
        <v>0.51</v>
      </c>
      <c r="AG165" s="371">
        <v>0.63</v>
      </c>
      <c r="AH165" s="370">
        <f t="shared" si="323"/>
        <v>0</v>
      </c>
      <c r="AI165" s="370">
        <v>0.25</v>
      </c>
      <c r="AJ165" s="370">
        <v>0.56999999999999995</v>
      </c>
      <c r="AK165" s="377"/>
      <c r="AX165" s="417"/>
      <c r="AY165" s="417"/>
      <c r="BD165" s="417"/>
      <c r="BE165" s="417"/>
      <c r="BJ165" s="417"/>
      <c r="BK165" s="417"/>
      <c r="BP165" s="417"/>
      <c r="BQ165" s="417"/>
      <c r="BV165" s="417"/>
      <c r="BW165" s="417"/>
    </row>
    <row r="166" spans="1:97" ht="13">
      <c r="B166" s="422">
        <v>50</v>
      </c>
      <c r="C166" s="370">
        <v>0.37</v>
      </c>
      <c r="D166" s="370">
        <v>0.33</v>
      </c>
      <c r="E166" s="423">
        <v>0.02</v>
      </c>
      <c r="F166" s="370">
        <v>0.65</v>
      </c>
      <c r="G166" s="370">
        <v>7.0000000000000007E-2</v>
      </c>
      <c r="H166" s="370">
        <v>7.0000000000000007E-2</v>
      </c>
      <c r="I166" s="370">
        <v>0.41</v>
      </c>
      <c r="J166" s="370">
        <v>0.33</v>
      </c>
      <c r="K166" s="370">
        <v>0.34</v>
      </c>
      <c r="L166" s="370">
        <v>0.8</v>
      </c>
      <c r="M166" s="370">
        <v>0.34</v>
      </c>
      <c r="N166" s="370">
        <v>0.64</v>
      </c>
      <c r="O166" s="370">
        <v>0.74</v>
      </c>
      <c r="P166" s="370">
        <v>-1</v>
      </c>
      <c r="Q166" s="370">
        <v>0.27</v>
      </c>
      <c r="R166" s="370">
        <v>0.67</v>
      </c>
      <c r="S166" s="377"/>
      <c r="T166" s="422">
        <v>50</v>
      </c>
      <c r="U166" s="370">
        <v>0.35</v>
      </c>
      <c r="V166" s="370">
        <v>0.33</v>
      </c>
      <c r="W166" s="370">
        <v>0.01</v>
      </c>
      <c r="X166" s="370">
        <v>0.69</v>
      </c>
      <c r="Y166" s="370">
        <v>0.09</v>
      </c>
      <c r="Z166" s="370">
        <v>0.11</v>
      </c>
      <c r="AA166" s="370">
        <v>0.43</v>
      </c>
      <c r="AB166" s="370">
        <v>0.34</v>
      </c>
      <c r="AC166" s="370">
        <v>0.39</v>
      </c>
      <c r="AD166" s="370">
        <v>0.76</v>
      </c>
      <c r="AE166" s="370">
        <v>0.39</v>
      </c>
      <c r="AF166" s="370">
        <v>0.56999999999999995</v>
      </c>
      <c r="AG166" s="371">
        <v>0.71</v>
      </c>
      <c r="AH166" s="370">
        <f t="shared" si="323"/>
        <v>-1</v>
      </c>
      <c r="AI166" s="370">
        <v>0.27</v>
      </c>
      <c r="AJ166" s="370">
        <v>0.67</v>
      </c>
      <c r="AK166" s="377"/>
      <c r="AX166" s="417"/>
      <c r="AY166" s="417"/>
      <c r="BD166" s="417"/>
      <c r="BE166" s="417"/>
      <c r="BJ166" s="417"/>
      <c r="BK166" s="417"/>
      <c r="BP166" s="417"/>
      <c r="BQ166" s="417"/>
      <c r="BV166" s="417"/>
      <c r="BW166" s="417"/>
    </row>
    <row r="167" spans="1:97" ht="13">
      <c r="B167" s="422">
        <v>100</v>
      </c>
      <c r="C167" s="370">
        <v>0.76</v>
      </c>
      <c r="D167" s="370">
        <v>0.55000000000000004</v>
      </c>
      <c r="E167" s="423">
        <v>-0.1</v>
      </c>
      <c r="F167" s="370">
        <v>0.65</v>
      </c>
      <c r="G167" s="370">
        <v>0.18</v>
      </c>
      <c r="H167" s="370">
        <v>0.19</v>
      </c>
      <c r="I167" s="370">
        <v>0.49</v>
      </c>
      <c r="J167" s="370">
        <v>0.41</v>
      </c>
      <c r="K167" s="370">
        <v>0.17</v>
      </c>
      <c r="L167" s="370">
        <v>0.53</v>
      </c>
      <c r="M167" s="370">
        <v>0.17</v>
      </c>
      <c r="N167" s="370">
        <v>0.56999999999999995</v>
      </c>
      <c r="O167" s="370">
        <v>0.71</v>
      </c>
      <c r="P167" s="370">
        <v>-1.6</v>
      </c>
      <c r="Q167" s="370">
        <v>0.31</v>
      </c>
      <c r="R167" s="370">
        <v>0.95</v>
      </c>
      <c r="S167" s="377"/>
      <c r="T167" s="422">
        <v>100</v>
      </c>
      <c r="U167" s="370">
        <v>0.74</v>
      </c>
      <c r="V167" s="370">
        <v>0.59</v>
      </c>
      <c r="W167" s="370">
        <v>-0.14000000000000001</v>
      </c>
      <c r="X167" s="370">
        <v>0.67</v>
      </c>
      <c r="Y167" s="370">
        <v>0.21</v>
      </c>
      <c r="Z167" s="370">
        <v>0.22</v>
      </c>
      <c r="AA167" s="370">
        <v>0.54</v>
      </c>
      <c r="AB167" s="370">
        <v>0.45</v>
      </c>
      <c r="AC167" s="370">
        <v>0.19</v>
      </c>
      <c r="AD167" s="370">
        <v>0.26</v>
      </c>
      <c r="AE167" s="370">
        <v>0.19</v>
      </c>
      <c r="AF167" s="370">
        <v>0.39</v>
      </c>
      <c r="AG167" s="371">
        <v>0.64</v>
      </c>
      <c r="AH167" s="370">
        <f t="shared" si="323"/>
        <v>-1.6</v>
      </c>
      <c r="AI167" s="370">
        <v>0.31</v>
      </c>
      <c r="AJ167" s="370">
        <v>0.95</v>
      </c>
      <c r="AK167" s="377"/>
      <c r="AX167" s="417"/>
      <c r="AY167" s="417"/>
      <c r="BD167" s="417"/>
      <c r="BE167" s="417"/>
      <c r="BJ167" s="417"/>
      <c r="BK167" s="417"/>
      <c r="BP167" s="417"/>
      <c r="BQ167" s="417"/>
      <c r="BV167" s="417"/>
      <c r="BW167" s="417"/>
      <c r="CC167" s="424"/>
    </row>
    <row r="168" spans="1:97" ht="13">
      <c r="B168" s="422">
        <v>150</v>
      </c>
      <c r="C168" s="370">
        <v>0.73</v>
      </c>
      <c r="D168" s="370">
        <v>0.53</v>
      </c>
      <c r="E168" s="423">
        <v>-0.22</v>
      </c>
      <c r="F168" s="370">
        <v>-7.0000000000000007E-2</v>
      </c>
      <c r="G168" s="370">
        <v>0.37</v>
      </c>
      <c r="H168" s="370">
        <v>0.39</v>
      </c>
      <c r="I168" s="370">
        <v>0.65</v>
      </c>
      <c r="J168" s="370">
        <v>0.57999999999999996</v>
      </c>
      <c r="K168" s="370">
        <v>-0.04</v>
      </c>
      <c r="L168" s="370">
        <v>-0.15</v>
      </c>
      <c r="M168" s="370">
        <v>-0.04</v>
      </c>
      <c r="N168" s="370">
        <v>-0.12</v>
      </c>
      <c r="O168" s="370">
        <v>-0.17</v>
      </c>
      <c r="P168" s="370">
        <v>-1.7</v>
      </c>
      <c r="Q168" s="370">
        <v>0.3</v>
      </c>
      <c r="R168" s="370">
        <v>0.49</v>
      </c>
      <c r="S168" s="377"/>
      <c r="T168" s="422">
        <v>150</v>
      </c>
      <c r="U168" s="370">
        <v>0.71</v>
      </c>
      <c r="V168" s="370">
        <v>0.56000000000000005</v>
      </c>
      <c r="W168" s="370">
        <v>-0.27</v>
      </c>
      <c r="X168" s="370">
        <v>-0.12</v>
      </c>
      <c r="Y168" s="370">
        <v>0.4</v>
      </c>
      <c r="Z168" s="370">
        <v>0.42</v>
      </c>
      <c r="AA168" s="370">
        <v>0.72</v>
      </c>
      <c r="AB168" s="370">
        <v>0.66</v>
      </c>
      <c r="AC168" s="370">
        <v>-0.03</v>
      </c>
      <c r="AD168" s="370">
        <v>-0.57999999999999996</v>
      </c>
      <c r="AE168" s="370">
        <v>-0.03</v>
      </c>
      <c r="AF168" s="370">
        <v>-0.36</v>
      </c>
      <c r="AG168" s="371">
        <v>-0.28000000000000003</v>
      </c>
      <c r="AH168" s="370">
        <f t="shared" si="323"/>
        <v>-1.7</v>
      </c>
      <c r="AI168" s="370">
        <v>0.3</v>
      </c>
      <c r="AJ168" s="370">
        <v>0.49</v>
      </c>
      <c r="AK168" s="377"/>
      <c r="AX168" s="417"/>
      <c r="AY168" s="417"/>
      <c r="BD168" s="417"/>
      <c r="BE168" s="417"/>
      <c r="BJ168" s="417"/>
      <c r="BK168" s="417"/>
      <c r="BP168" s="417"/>
      <c r="BQ168" s="417"/>
      <c r="BV168" s="417"/>
      <c r="BW168" s="417"/>
      <c r="CC168" s="424"/>
    </row>
    <row r="169" spans="1:97" ht="13">
      <c r="B169" s="422">
        <v>200</v>
      </c>
      <c r="C169" s="370">
        <v>0.2</v>
      </c>
      <c r="D169" s="370">
        <v>0.39</v>
      </c>
      <c r="E169" s="423">
        <v>0.06</v>
      </c>
      <c r="F169" s="370">
        <v>-0.7</v>
      </c>
      <c r="G169" s="370">
        <v>0.61</v>
      </c>
      <c r="H169" s="370">
        <v>0.66</v>
      </c>
      <c r="I169" s="370">
        <v>0.9</v>
      </c>
      <c r="J169" s="370">
        <v>0.81</v>
      </c>
      <c r="K169" s="370">
        <v>-0.28000000000000003</v>
      </c>
      <c r="L169" s="370">
        <v>-0.01</v>
      </c>
      <c r="M169" s="370">
        <v>-0.28000000000000003</v>
      </c>
      <c r="N169" s="370">
        <v>-0.59</v>
      </c>
      <c r="O169" s="370">
        <v>-1.27</v>
      </c>
      <c r="P169" s="370">
        <v>-0.9</v>
      </c>
      <c r="Q169" s="370">
        <v>0.34</v>
      </c>
      <c r="R169" s="370">
        <v>-0.26</v>
      </c>
      <c r="S169" s="377"/>
      <c r="T169" s="422">
        <v>200</v>
      </c>
      <c r="U169" s="370">
        <v>0.13</v>
      </c>
      <c r="V169" s="370">
        <v>0.28000000000000003</v>
      </c>
      <c r="W169" s="370">
        <v>0.05</v>
      </c>
      <c r="X169" s="370">
        <v>-1.01</v>
      </c>
      <c r="Y169" s="370">
        <v>0.64</v>
      </c>
      <c r="Z169" s="370">
        <v>0.66</v>
      </c>
      <c r="AA169" s="370">
        <v>0.96</v>
      </c>
      <c r="AB169" s="370">
        <v>0.9</v>
      </c>
      <c r="AC169" s="370">
        <v>-0.28000000000000003</v>
      </c>
      <c r="AD169" s="370">
        <v>-0.38</v>
      </c>
      <c r="AE169" s="370">
        <v>-0.28000000000000003</v>
      </c>
      <c r="AF169" s="370">
        <v>-0.85</v>
      </c>
      <c r="AG169" s="371">
        <v>-1.34</v>
      </c>
      <c r="AH169" s="370">
        <f t="shared" si="323"/>
        <v>-0.9</v>
      </c>
      <c r="AI169" s="370">
        <v>0.34</v>
      </c>
      <c r="AJ169" s="370">
        <v>-0.26</v>
      </c>
      <c r="AK169" s="377"/>
      <c r="AX169" s="417"/>
      <c r="AY169" s="417"/>
      <c r="BD169" s="417"/>
      <c r="BE169" s="417"/>
      <c r="BJ169" s="417"/>
      <c r="BK169" s="417"/>
      <c r="BP169" s="417"/>
      <c r="BQ169" s="417"/>
      <c r="BV169" s="417"/>
      <c r="BW169" s="417"/>
      <c r="CC169" s="418"/>
    </row>
    <row r="170" spans="1:97" s="773" customFormat="1" ht="13">
      <c r="A170" s="428"/>
      <c r="B170" s="422" t="s">
        <v>397</v>
      </c>
      <c r="C170" s="716">
        <v>0.34</v>
      </c>
      <c r="D170" s="716">
        <v>0.56000000000000005</v>
      </c>
      <c r="E170" s="716">
        <v>0.28000000000000003</v>
      </c>
      <c r="F170" s="716">
        <v>0.25</v>
      </c>
      <c r="G170" s="716">
        <v>0.27</v>
      </c>
      <c r="H170" s="716">
        <v>0.27</v>
      </c>
      <c r="I170" s="716">
        <v>0.25</v>
      </c>
      <c r="J170" s="716">
        <v>0.24</v>
      </c>
      <c r="K170" s="716">
        <v>0.79</v>
      </c>
      <c r="L170" s="716">
        <v>0.27</v>
      </c>
      <c r="M170" s="716">
        <v>0.79</v>
      </c>
      <c r="N170" s="716">
        <v>0.26</v>
      </c>
      <c r="O170" s="716">
        <v>0.27</v>
      </c>
      <c r="P170" s="716">
        <v>0.6</v>
      </c>
      <c r="Q170" s="716">
        <v>0.22</v>
      </c>
      <c r="R170" s="716">
        <v>0.77</v>
      </c>
      <c r="S170" s="428"/>
      <c r="T170" s="422" t="s">
        <v>397</v>
      </c>
      <c r="U170" s="716">
        <v>0.34</v>
      </c>
      <c r="V170" s="716">
        <v>0.56000000000000005</v>
      </c>
      <c r="W170" s="716">
        <v>0.28000000000000003</v>
      </c>
      <c r="X170" s="716">
        <v>0.27</v>
      </c>
      <c r="Y170" s="716">
        <v>0.26</v>
      </c>
      <c r="Z170" s="716">
        <v>0.26</v>
      </c>
      <c r="AA170" s="716">
        <v>0.25</v>
      </c>
      <c r="AB170" s="716">
        <v>0.24</v>
      </c>
      <c r="AC170" s="716">
        <v>0.79</v>
      </c>
      <c r="AD170" s="716">
        <v>0.28000000000000003</v>
      </c>
      <c r="AE170" s="716">
        <v>0.79</v>
      </c>
      <c r="AF170" s="716">
        <v>0.25</v>
      </c>
      <c r="AG170" s="716">
        <v>0.27</v>
      </c>
      <c r="AH170" s="716">
        <f t="shared" si="323"/>
        <v>0.6</v>
      </c>
      <c r="AI170" s="716">
        <v>0.22</v>
      </c>
      <c r="AJ170" s="716">
        <v>0.77</v>
      </c>
      <c r="AK170" s="428"/>
      <c r="AN170" s="426"/>
      <c r="AP170" s="774"/>
      <c r="AT170" s="426"/>
      <c r="AV170" s="774"/>
      <c r="AX170" s="426"/>
      <c r="AY170" s="426"/>
      <c r="AZ170" s="426"/>
      <c r="BB170" s="774"/>
      <c r="BD170" s="426"/>
      <c r="BE170" s="426"/>
      <c r="BF170" s="426"/>
      <c r="BH170" s="774"/>
      <c r="BJ170" s="426"/>
      <c r="BK170" s="426"/>
      <c r="BL170" s="426"/>
      <c r="BN170" s="774"/>
      <c r="BP170" s="426"/>
      <c r="BQ170" s="426"/>
      <c r="BR170" s="426"/>
      <c r="BT170" s="774"/>
      <c r="BV170" s="426"/>
      <c r="BW170" s="426"/>
      <c r="BX170" s="426"/>
      <c r="BZ170" s="774"/>
      <c r="CG170" s="428"/>
      <c r="CM170" s="428"/>
      <c r="CS170" s="428"/>
    </row>
    <row r="171" spans="1:97" s="377" customFormat="1" ht="13">
      <c r="F171" s="427"/>
      <c r="V171" s="395"/>
      <c r="W171" s="395"/>
      <c r="X171" s="395"/>
      <c r="Y171" s="395"/>
      <c r="Z171" s="395"/>
      <c r="AA171" s="395"/>
      <c r="AB171" s="395"/>
      <c r="AC171" s="395"/>
      <c r="AD171" s="395"/>
      <c r="AF171" s="428"/>
      <c r="AG171" s="428"/>
      <c r="AI171" s="379"/>
      <c r="AZ171" s="378"/>
      <c r="BB171" s="379"/>
      <c r="BF171" s="378"/>
      <c r="BH171" s="379"/>
      <c r="BL171" s="378"/>
      <c r="BN171" s="379"/>
      <c r="BR171" s="378"/>
      <c r="BT171" s="379"/>
      <c r="BX171" s="378"/>
      <c r="BZ171" s="379"/>
    </row>
    <row r="172" spans="1:97" s="377" customFormat="1">
      <c r="V172" s="378"/>
      <c r="W172" s="378"/>
      <c r="X172" s="378"/>
      <c r="Y172" s="378"/>
      <c r="Z172" s="378"/>
      <c r="AA172" s="378"/>
      <c r="AB172" s="378"/>
      <c r="AC172" s="378"/>
      <c r="AD172" s="378"/>
      <c r="AI172" s="379"/>
      <c r="AZ172" s="378"/>
      <c r="BB172" s="379"/>
      <c r="BF172" s="378"/>
      <c r="BH172" s="379"/>
      <c r="BL172" s="378"/>
      <c r="BN172" s="379"/>
      <c r="BR172" s="378"/>
      <c r="BT172" s="379"/>
      <c r="BX172" s="378"/>
      <c r="BZ172" s="379"/>
    </row>
    <row r="173" spans="1:97" ht="98.25" customHeight="1">
      <c r="B173" s="429" t="s">
        <v>388</v>
      </c>
      <c r="C173" s="431" t="str">
        <f>U156</f>
        <v>Thermocouple Data Logger, Merek : MADGETECH, Model : OctTemp 2000, SN : P40270</v>
      </c>
      <c r="D173" s="437" t="str">
        <f>V156</f>
        <v>Thermocouple Data Logger, Merek : MADGETECH, Model : OctTemp 2000, SN : P41878</v>
      </c>
      <c r="E173" s="431" t="str">
        <f>W156</f>
        <v>Mobile Corder, Merek : Yokogawa, Model : GP 10, SN : S5T810599</v>
      </c>
      <c r="F173" s="432" t="str">
        <f t="shared" ref="F173:R173" si="324">F156</f>
        <v>Wireless Temperature Recorder, Merek : HIOKI, Model : LR 8510, SN : 200936000</v>
      </c>
      <c r="G173" s="432" t="str">
        <f t="shared" si="324"/>
        <v>Wireless Temperature Recorder, Merek : HIOKI, Model : LR 8510, SN : 200936001</v>
      </c>
      <c r="H173" s="432" t="str">
        <f t="shared" si="324"/>
        <v>Wireless Temperature Recorder, Merek : HIOKI, Model : LR 8510, SN : 200821397</v>
      </c>
      <c r="I173" s="432" t="str">
        <f t="shared" si="324"/>
        <v>Wireless Temperature Recorder, Merek : HIOKI, Model : LR 8510, SN : 210411983</v>
      </c>
      <c r="J173" s="432" t="str">
        <f t="shared" si="324"/>
        <v>Wireless Temperature Recorder, Merek : HIOKI, Model : LR 8510, SN : 210411984</v>
      </c>
      <c r="K173" s="432" t="str">
        <f t="shared" si="324"/>
        <v>Wireless Temperature Recorder, Merek : HIOKI, Model : LR 8510, SN : 210411985</v>
      </c>
      <c r="L173" s="432" t="str">
        <f t="shared" si="324"/>
        <v>Wireless Temperature Recorder, Merek : HIOKI, Model : LR 8510, SN : 210746054</v>
      </c>
      <c r="M173" s="432" t="str">
        <f t="shared" si="324"/>
        <v>Wireless Temperature Recorder, Merek : HIOKI, Model : LR 8510, SN : 210746055</v>
      </c>
      <c r="N173" s="432" t="str">
        <f t="shared" si="324"/>
        <v>Wireless Temperature Recorder, Merek : HIOKI, Model : LR 8510, SN : 210746056</v>
      </c>
      <c r="O173" s="432" t="str">
        <f t="shared" si="324"/>
        <v>Wireless Temperature Recorder, Merek : HIOKI, Model : LR 8510, SN : 200821396</v>
      </c>
      <c r="P173" s="432" t="str">
        <f t="shared" si="324"/>
        <v>Reference Thermometer, Merek : APPA, Model : APPA51, SN : 03002948</v>
      </c>
      <c r="Q173" s="432" t="str">
        <f t="shared" si="324"/>
        <v>Reference Thermometer, Merek : FLUKE, Model : 1524, SN : 1803038</v>
      </c>
      <c r="R173" s="432" t="str">
        <f t="shared" si="324"/>
        <v>Reference Thermometer, Merek : FLUKE, Model : 1524, SN : 1803037</v>
      </c>
      <c r="S173" s="377"/>
      <c r="T173" s="429" t="s">
        <v>389</v>
      </c>
      <c r="U173" s="430" t="str">
        <f>C173</f>
        <v>Thermocouple Data Logger, Merek : MADGETECH, Model : OctTemp 2000, SN : P40270</v>
      </c>
      <c r="V173" s="416" t="str">
        <f>D173</f>
        <v>Thermocouple Data Logger, Merek : MADGETECH, Model : OctTemp 2000, SN : P41878</v>
      </c>
      <c r="W173" s="433" t="str">
        <f>E173</f>
        <v>Mobile Corder, Merek : Yokogawa, Model : GP 10, SN : S5T810599</v>
      </c>
      <c r="X173" s="416" t="str">
        <f t="shared" ref="X173:AJ173" si="325">X156</f>
        <v>Wireless Temperature Recorder, Merek : HIOKI, Model : LR 8510, SN : 200936000</v>
      </c>
      <c r="Y173" s="416" t="str">
        <f t="shared" si="325"/>
        <v>Wireless Temperature Recorder, Merek : HIOKI, Model : LR 8510, SN : 200936001</v>
      </c>
      <c r="Z173" s="416" t="str">
        <f t="shared" si="325"/>
        <v>Wireless Temperature Recorder, Merek : HIOKI, Model : LR 8510, SN : 200821397</v>
      </c>
      <c r="AA173" s="416" t="str">
        <f t="shared" si="325"/>
        <v>Wireless Temperature Recorder, Merek : HIOKI, Model : LR 8510, SN : 210411983</v>
      </c>
      <c r="AB173" s="416" t="str">
        <f t="shared" si="325"/>
        <v>Wireless Temperature Recorder, Merek : HIOKI, Model : LR 8510, SN : 210411984</v>
      </c>
      <c r="AC173" s="416" t="str">
        <f t="shared" si="325"/>
        <v>Wireless Temperature Recorder, Merek : HIOKI, Model : LR 8510, SN : 210411985</v>
      </c>
      <c r="AD173" s="416" t="str">
        <f t="shared" si="325"/>
        <v>Wireless Temperature Recorder, Merek : HIOKI, Model : LR 8510, SN : 210746054</v>
      </c>
      <c r="AE173" s="416" t="str">
        <f t="shared" si="325"/>
        <v>Wireless Temperature Recorder, Merek : HIOKI, Model : LR 8510, SN : 210746055</v>
      </c>
      <c r="AF173" s="416" t="str">
        <f t="shared" si="325"/>
        <v>Wireless Temperature Recorder, Merek : HIOKI, Model : LR 8510, SN : 210746056</v>
      </c>
      <c r="AG173" s="416" t="str">
        <f t="shared" si="325"/>
        <v>Wireless Temperature Recorder, Merek : HIOKI, Model : LR 8510, SN : 200821396</v>
      </c>
      <c r="AH173" s="416" t="str">
        <f t="shared" si="325"/>
        <v>Reference Thermometer, Merek : APPA, Model : APPA51, SN : 03002948</v>
      </c>
      <c r="AI173" s="416" t="str">
        <f t="shared" si="325"/>
        <v>Reference Thermometer, Merek : FLUKE, Model : 1524, SN : 1803038</v>
      </c>
      <c r="AJ173" s="416" t="str">
        <f t="shared" si="325"/>
        <v>Reference Thermometer, Merek : FLUKE, Model : 1524, SN : 1803037</v>
      </c>
      <c r="AK173" s="377"/>
      <c r="AX173" s="419"/>
      <c r="AY173" s="420"/>
      <c r="AZ173" s="421"/>
      <c r="BD173" s="419"/>
      <c r="BE173" s="420"/>
      <c r="BF173" s="421"/>
      <c r="BJ173" s="419"/>
      <c r="BK173" s="420"/>
      <c r="BL173" s="421"/>
      <c r="BP173" s="419"/>
      <c r="BQ173" s="420"/>
      <c r="BR173" s="421"/>
      <c r="BV173" s="419"/>
      <c r="BW173" s="420"/>
      <c r="BX173" s="421"/>
    </row>
    <row r="174" spans="1:97" s="676" customFormat="1" ht="5.5" customHeight="1">
      <c r="B174" s="688"/>
      <c r="C174" s="689"/>
      <c r="D174" s="682"/>
      <c r="E174" s="690"/>
      <c r="F174" s="691"/>
      <c r="G174" s="691"/>
      <c r="H174" s="691"/>
      <c r="I174" s="691"/>
      <c r="J174" s="691"/>
      <c r="K174" s="691"/>
      <c r="L174" s="691"/>
      <c r="M174" s="691"/>
      <c r="N174" s="691"/>
      <c r="O174" s="692"/>
      <c r="P174" s="680"/>
      <c r="Q174" s="680"/>
      <c r="R174" s="680"/>
      <c r="T174" s="688"/>
      <c r="U174" s="689"/>
      <c r="V174" s="682"/>
      <c r="W174" s="693"/>
      <c r="X174" s="682"/>
      <c r="Y174" s="682"/>
      <c r="Z174" s="682"/>
      <c r="AA174" s="682"/>
      <c r="AB174" s="682"/>
      <c r="AC174" s="682"/>
      <c r="AD174" s="682"/>
      <c r="AE174" s="682"/>
      <c r="AF174" s="682"/>
      <c r="AG174" s="682"/>
      <c r="AH174" s="680"/>
      <c r="AI174" s="680"/>
      <c r="AJ174" s="680"/>
      <c r="AN174" s="683"/>
      <c r="AP174" s="684"/>
      <c r="AT174" s="683"/>
      <c r="AV174" s="684"/>
      <c r="AX174" s="685"/>
      <c r="AY174" s="686"/>
      <c r="AZ174" s="687"/>
      <c r="BB174" s="684"/>
      <c r="BD174" s="685"/>
      <c r="BE174" s="686"/>
      <c r="BF174" s="687"/>
      <c r="BH174" s="684"/>
      <c r="BJ174" s="685"/>
      <c r="BK174" s="686"/>
      <c r="BL174" s="687"/>
      <c r="BN174" s="684"/>
      <c r="BP174" s="685"/>
      <c r="BQ174" s="686"/>
      <c r="BR174" s="687"/>
      <c r="BT174" s="684"/>
      <c r="BV174" s="685"/>
      <c r="BW174" s="686"/>
      <c r="BX174" s="687"/>
      <c r="BZ174" s="684"/>
    </row>
    <row r="175" spans="1:97" ht="13">
      <c r="B175" s="422">
        <v>-20</v>
      </c>
      <c r="C175" s="370">
        <v>-0.6</v>
      </c>
      <c r="D175" s="370">
        <v>-0.48</v>
      </c>
      <c r="E175" s="370">
        <v>-0.47</v>
      </c>
      <c r="F175" s="370">
        <v>-1.45</v>
      </c>
      <c r="G175" s="370">
        <v>0.05</v>
      </c>
      <c r="H175" s="370">
        <v>0.05</v>
      </c>
      <c r="I175" s="370">
        <v>0.43</v>
      </c>
      <c r="J175" s="370">
        <v>0.33</v>
      </c>
      <c r="K175" s="370">
        <v>0.57999999999999996</v>
      </c>
      <c r="L175" s="370">
        <v>-0.93</v>
      </c>
      <c r="M175" s="370">
        <v>0.57999999999999996</v>
      </c>
      <c r="N175" s="370">
        <v>-1.33</v>
      </c>
      <c r="O175" s="370">
        <v>-1.47</v>
      </c>
      <c r="P175" s="370">
        <f>P158</f>
        <v>-1.1000000000000001</v>
      </c>
      <c r="Q175" s="370">
        <v>-0.15</v>
      </c>
      <c r="R175" s="370">
        <v>-1.8</v>
      </c>
      <c r="S175" s="377"/>
      <c r="T175" s="422">
        <v>-20</v>
      </c>
      <c r="U175" s="370">
        <v>-0.59</v>
      </c>
      <c r="V175" s="370">
        <v>-0.42</v>
      </c>
      <c r="W175" s="370">
        <v>-0.5</v>
      </c>
      <c r="X175" s="370">
        <v>-1.47</v>
      </c>
      <c r="Y175" s="370">
        <v>7.0000000000000007E-2</v>
      </c>
      <c r="Z175" s="370">
        <v>7.0000000000000007E-2</v>
      </c>
      <c r="AA175" s="370">
        <v>0.46</v>
      </c>
      <c r="AB175" s="370">
        <v>0.33</v>
      </c>
      <c r="AC175" s="370">
        <v>0.64</v>
      </c>
      <c r="AD175" s="370">
        <v>-0.91</v>
      </c>
      <c r="AE175" s="370">
        <v>0.64</v>
      </c>
      <c r="AF175" s="370">
        <v>-1.31</v>
      </c>
      <c r="AG175" s="371">
        <v>-1.41</v>
      </c>
      <c r="AH175" s="370">
        <f>AH158</f>
        <v>-1.1000000000000001</v>
      </c>
      <c r="AI175" s="370">
        <v>-0.15</v>
      </c>
      <c r="AJ175" s="370">
        <v>-1.8</v>
      </c>
      <c r="AK175" s="377"/>
      <c r="AX175" s="417"/>
      <c r="AY175" s="417"/>
      <c r="BD175" s="417"/>
      <c r="BE175" s="417"/>
      <c r="BJ175" s="417"/>
      <c r="BK175" s="417"/>
      <c r="BP175" s="417"/>
      <c r="BQ175" s="417"/>
      <c r="BV175" s="417"/>
      <c r="BW175" s="417"/>
    </row>
    <row r="176" spans="1:97" ht="13">
      <c r="B176" s="422">
        <v>-15</v>
      </c>
      <c r="C176" s="370">
        <v>-0.53</v>
      </c>
      <c r="D176" s="370">
        <v>-0.41</v>
      </c>
      <c r="E176" s="370">
        <v>-0.39</v>
      </c>
      <c r="F176" s="370">
        <v>-1.23</v>
      </c>
      <c r="G176" s="370">
        <v>0.1</v>
      </c>
      <c r="H176" s="370">
        <v>0.09</v>
      </c>
      <c r="I176" s="370">
        <v>0.45</v>
      </c>
      <c r="J176" s="370">
        <v>0.36</v>
      </c>
      <c r="K176" s="370">
        <v>9.9999999999999995E-7</v>
      </c>
      <c r="L176" s="370">
        <v>-0.69</v>
      </c>
      <c r="M176" s="370">
        <v>9.9999999999999995E-7</v>
      </c>
      <c r="N176" s="370">
        <v>-1.08</v>
      </c>
      <c r="O176" s="370">
        <v>-1.22</v>
      </c>
      <c r="P176" s="370">
        <f t="shared" ref="P176:P187" si="326">P159</f>
        <v>-1.1000000000000001</v>
      </c>
      <c r="Q176" s="370">
        <v>-0.1</v>
      </c>
      <c r="R176" s="370">
        <v>-1.52</v>
      </c>
      <c r="S176" s="377"/>
      <c r="T176" s="422">
        <v>-15</v>
      </c>
      <c r="U176" s="370">
        <v>-0.53</v>
      </c>
      <c r="V176" s="370">
        <v>-0.37</v>
      </c>
      <c r="W176" s="370">
        <v>-0.41</v>
      </c>
      <c r="X176" s="370">
        <v>-1.25</v>
      </c>
      <c r="Y176" s="370">
        <v>0.11</v>
      </c>
      <c r="Z176" s="370">
        <v>0.11</v>
      </c>
      <c r="AA176" s="370">
        <v>0.48</v>
      </c>
      <c r="AB176" s="370">
        <v>0.35</v>
      </c>
      <c r="AC176" s="370">
        <v>9.9999999999999995E-7</v>
      </c>
      <c r="AD176" s="370">
        <v>-0.67</v>
      </c>
      <c r="AE176" s="370">
        <v>9.9999999999999995E-7</v>
      </c>
      <c r="AF176" s="370">
        <v>-1.06</v>
      </c>
      <c r="AG176" s="371">
        <v>-1.1399999999999999</v>
      </c>
      <c r="AH176" s="370">
        <f t="shared" ref="AH176:AH187" si="327">AH159</f>
        <v>-1.1000000000000001</v>
      </c>
      <c r="AI176" s="370">
        <v>-0.1</v>
      </c>
      <c r="AJ176" s="370">
        <v>-1.52</v>
      </c>
      <c r="AK176" s="377"/>
      <c r="AX176" s="417"/>
      <c r="AY176" s="417"/>
      <c r="BD176" s="417"/>
      <c r="BE176" s="417"/>
      <c r="BJ176" s="417"/>
      <c r="BK176" s="417"/>
      <c r="BP176" s="417"/>
      <c r="BQ176" s="417"/>
      <c r="BV176" s="417"/>
      <c r="BW176" s="417"/>
    </row>
    <row r="177" spans="1:97" ht="13">
      <c r="B177" s="422">
        <v>-10</v>
      </c>
      <c r="C177" s="370">
        <v>-0.46</v>
      </c>
      <c r="D177" s="370">
        <v>-0.35</v>
      </c>
      <c r="E177" s="370">
        <v>-0.32</v>
      </c>
      <c r="F177" s="370">
        <v>-0.98</v>
      </c>
      <c r="G177" s="370">
        <v>0.13</v>
      </c>
      <c r="H177" s="370">
        <v>0.12</v>
      </c>
      <c r="I177" s="370">
        <v>0.46</v>
      </c>
      <c r="J177" s="370">
        <v>0.37</v>
      </c>
      <c r="K177" s="370">
        <v>0.55000000000000004</v>
      </c>
      <c r="L177" s="370">
        <v>-0.52</v>
      </c>
      <c r="M177" s="370">
        <v>0.55000000000000004</v>
      </c>
      <c r="N177" s="370">
        <v>-0.86</v>
      </c>
      <c r="O177" s="370">
        <v>-0.99</v>
      </c>
      <c r="P177" s="370">
        <f t="shared" si="326"/>
        <v>-1.2</v>
      </c>
      <c r="Q177" s="370">
        <v>-0.05</v>
      </c>
      <c r="R177" s="370">
        <v>-1.26</v>
      </c>
      <c r="S177" s="377"/>
      <c r="T177" s="422">
        <v>-10</v>
      </c>
      <c r="U177" s="370">
        <v>-0.47</v>
      </c>
      <c r="V177" s="370">
        <v>-0.31</v>
      </c>
      <c r="W177" s="370">
        <v>-0.33</v>
      </c>
      <c r="X177" s="370">
        <v>-1</v>
      </c>
      <c r="Y177" s="370">
        <v>0.13</v>
      </c>
      <c r="Z177" s="370">
        <v>0.15</v>
      </c>
      <c r="AA177" s="370">
        <v>0.48</v>
      </c>
      <c r="AB177" s="370">
        <v>0.36</v>
      </c>
      <c r="AC177" s="370">
        <v>0.6</v>
      </c>
      <c r="AD177" s="370">
        <v>-0.48</v>
      </c>
      <c r="AE177" s="370">
        <v>0.6</v>
      </c>
      <c r="AF177" s="370">
        <v>-0.85</v>
      </c>
      <c r="AG177" s="371">
        <v>-0.9</v>
      </c>
      <c r="AH177" s="370">
        <f t="shared" si="327"/>
        <v>-1.2</v>
      </c>
      <c r="AI177" s="370">
        <v>-0.05</v>
      </c>
      <c r="AJ177" s="370">
        <v>-1.26</v>
      </c>
      <c r="AK177" s="377"/>
      <c r="AX177" s="417"/>
      <c r="AY177" s="417"/>
      <c r="BD177" s="417"/>
      <c r="BE177" s="417"/>
      <c r="BJ177" s="417"/>
      <c r="BK177" s="417"/>
      <c r="BP177" s="417"/>
      <c r="BQ177" s="417"/>
      <c r="BV177" s="417"/>
      <c r="BW177" s="417"/>
    </row>
    <row r="178" spans="1:97" ht="13">
      <c r="B178" s="422">
        <v>9.9999999999999995E-7</v>
      </c>
      <c r="C178" s="370">
        <v>-0.32</v>
      </c>
      <c r="D178" s="370">
        <v>-0.23</v>
      </c>
      <c r="E178" s="370">
        <v>-0.2</v>
      </c>
      <c r="F178" s="370">
        <v>-0.32</v>
      </c>
      <c r="G178" s="370">
        <v>0.1</v>
      </c>
      <c r="H178" s="370">
        <v>0.1</v>
      </c>
      <c r="I178" s="370">
        <v>0.4</v>
      </c>
      <c r="J178" s="370">
        <v>0.37</v>
      </c>
      <c r="K178" s="370">
        <v>0.52</v>
      </c>
      <c r="L178" s="370">
        <v>-0.26</v>
      </c>
      <c r="M178" s="370">
        <v>0.52</v>
      </c>
      <c r="N178" s="370">
        <v>-0.59</v>
      </c>
      <c r="O178" s="370">
        <v>-0.6</v>
      </c>
      <c r="P178" s="370">
        <f t="shared" si="326"/>
        <v>-1.4</v>
      </c>
      <c r="Q178" s="370">
        <v>0.03</v>
      </c>
      <c r="R178" s="370">
        <v>-0.79</v>
      </c>
      <c r="S178" s="377"/>
      <c r="T178" s="422">
        <v>9.9999999999999995E-7</v>
      </c>
      <c r="U178" s="370">
        <v>-0.34</v>
      </c>
      <c r="V178" s="370">
        <v>-0.2</v>
      </c>
      <c r="W178" s="370">
        <v>-0.2</v>
      </c>
      <c r="X178" s="370">
        <v>-0.28999999999999998</v>
      </c>
      <c r="Y178" s="370">
        <v>0.12</v>
      </c>
      <c r="Z178" s="370">
        <v>0.12</v>
      </c>
      <c r="AA178" s="370">
        <v>0.43</v>
      </c>
      <c r="AB178" s="370">
        <v>0.38</v>
      </c>
      <c r="AC178" s="370">
        <v>0.56999999999999995</v>
      </c>
      <c r="AD178" s="370">
        <v>-0.26</v>
      </c>
      <c r="AE178" s="370">
        <v>0.56999999999999995</v>
      </c>
      <c r="AF178" s="370">
        <v>-0.57999999999999996</v>
      </c>
      <c r="AG178" s="371">
        <v>-0.52</v>
      </c>
      <c r="AH178" s="370">
        <f t="shared" si="327"/>
        <v>-1.4</v>
      </c>
      <c r="AI178" s="370">
        <v>0.03</v>
      </c>
      <c r="AJ178" s="370">
        <v>-0.79</v>
      </c>
      <c r="AK178" s="377"/>
      <c r="AX178" s="417"/>
      <c r="AY178" s="417"/>
      <c r="BD178" s="417"/>
      <c r="BE178" s="417"/>
      <c r="BJ178" s="417"/>
      <c r="BK178" s="417"/>
      <c r="BP178" s="417"/>
      <c r="BQ178" s="417"/>
      <c r="BV178" s="417"/>
      <c r="BW178" s="417"/>
    </row>
    <row r="179" spans="1:97" ht="13">
      <c r="B179" s="422">
        <v>2</v>
      </c>
      <c r="C179" s="370">
        <v>-0.28999999999999998</v>
      </c>
      <c r="D179" s="370">
        <v>-0.2</v>
      </c>
      <c r="E179" s="370">
        <v>-0.18</v>
      </c>
      <c r="F179" s="370">
        <v>-0.56000000000000005</v>
      </c>
      <c r="G179" s="370">
        <v>0.12</v>
      </c>
      <c r="H179" s="370">
        <v>0.12</v>
      </c>
      <c r="I179" s="370">
        <v>0.43</v>
      </c>
      <c r="J179" s="370">
        <v>0.37</v>
      </c>
      <c r="K179" s="370">
        <v>0.52</v>
      </c>
      <c r="L179" s="370">
        <v>-0.35</v>
      </c>
      <c r="M179" s="370">
        <v>0.52</v>
      </c>
      <c r="N179" s="370">
        <v>-0.56999999999999995</v>
      </c>
      <c r="O179" s="370">
        <v>-0.67</v>
      </c>
      <c r="P179" s="370">
        <f t="shared" si="326"/>
        <v>0</v>
      </c>
      <c r="Q179" s="370">
        <v>0.04</v>
      </c>
      <c r="R179" s="370">
        <v>-0.7</v>
      </c>
      <c r="S179" s="377"/>
      <c r="T179" s="422">
        <v>2</v>
      </c>
      <c r="U179" s="370">
        <v>-0.32</v>
      </c>
      <c r="V179" s="370">
        <v>-0.18</v>
      </c>
      <c r="W179" s="370">
        <v>-0.18</v>
      </c>
      <c r="X179" s="370">
        <v>-0.59</v>
      </c>
      <c r="Y179" s="370">
        <v>0.14000000000000001</v>
      </c>
      <c r="Z179" s="370">
        <v>0.13</v>
      </c>
      <c r="AA179" s="370">
        <v>0.45</v>
      </c>
      <c r="AB179" s="370">
        <v>0.38</v>
      </c>
      <c r="AC179" s="370">
        <v>0.56000000000000005</v>
      </c>
      <c r="AD179" s="370">
        <v>-0.34</v>
      </c>
      <c r="AE179" s="370">
        <v>0.56000000000000005</v>
      </c>
      <c r="AF179" s="370">
        <v>-0.57999999999999996</v>
      </c>
      <c r="AG179" s="371">
        <v>-0.63</v>
      </c>
      <c r="AH179" s="370">
        <f t="shared" si="327"/>
        <v>0</v>
      </c>
      <c r="AI179" s="370">
        <v>0.04</v>
      </c>
      <c r="AJ179" s="370">
        <v>-0.7</v>
      </c>
      <c r="AK179" s="377"/>
      <c r="AX179" s="417"/>
      <c r="AY179" s="417"/>
      <c r="BD179" s="417"/>
      <c r="BE179" s="417"/>
      <c r="BJ179" s="417"/>
      <c r="BK179" s="417"/>
      <c r="BP179" s="417"/>
      <c r="BQ179" s="417"/>
      <c r="BV179" s="417"/>
      <c r="BW179" s="417"/>
    </row>
    <row r="180" spans="1:97" ht="13">
      <c r="B180" s="422">
        <v>8</v>
      </c>
      <c r="C180" s="370">
        <v>-0.2</v>
      </c>
      <c r="D180" s="370">
        <v>-0.13</v>
      </c>
      <c r="E180" s="370">
        <v>-0.13</v>
      </c>
      <c r="F180" s="370">
        <v>-0.32</v>
      </c>
      <c r="G180" s="370">
        <v>0.11</v>
      </c>
      <c r="H180" s="370">
        <v>0.12</v>
      </c>
      <c r="I180" s="370">
        <v>0.42</v>
      </c>
      <c r="J180" s="370">
        <v>0.36</v>
      </c>
      <c r="K180" s="370">
        <v>0.5</v>
      </c>
      <c r="L180" s="370">
        <v>-0.1</v>
      </c>
      <c r="M180" s="370">
        <v>0.5</v>
      </c>
      <c r="N180" s="370">
        <v>-0.34</v>
      </c>
      <c r="O180" s="370">
        <v>-0.39</v>
      </c>
      <c r="P180" s="370">
        <f t="shared" si="326"/>
        <v>0</v>
      </c>
      <c r="Q180" s="370">
        <v>0.08</v>
      </c>
      <c r="R180" s="370">
        <v>-0.46</v>
      </c>
      <c r="S180" s="377"/>
      <c r="T180" s="422">
        <v>8</v>
      </c>
      <c r="U180" s="434">
        <v>-0.24</v>
      </c>
      <c r="V180" s="370">
        <v>-0.12</v>
      </c>
      <c r="W180" s="370">
        <v>-0.13</v>
      </c>
      <c r="X180" s="370">
        <v>-0.34</v>
      </c>
      <c r="Y180" s="370">
        <v>0.13</v>
      </c>
      <c r="Z180" s="370">
        <v>0.12</v>
      </c>
      <c r="AA180" s="370">
        <v>0.45</v>
      </c>
      <c r="AB180" s="370">
        <v>0.36</v>
      </c>
      <c r="AC180" s="370">
        <v>0.54</v>
      </c>
      <c r="AD180" s="370">
        <v>-0.08</v>
      </c>
      <c r="AE180" s="370">
        <v>0.54</v>
      </c>
      <c r="AF180" s="370">
        <v>-0.32</v>
      </c>
      <c r="AG180" s="371">
        <v>-0.36</v>
      </c>
      <c r="AH180" s="370">
        <f t="shared" si="327"/>
        <v>0</v>
      </c>
      <c r="AI180" s="370">
        <v>0.08</v>
      </c>
      <c r="AJ180" s="370">
        <v>-0.46</v>
      </c>
      <c r="AK180" s="377"/>
      <c r="AX180" s="435"/>
      <c r="AY180" s="417"/>
      <c r="BD180" s="435"/>
      <c r="BE180" s="417"/>
      <c r="BJ180" s="435"/>
      <c r="BK180" s="417"/>
      <c r="BP180" s="435"/>
      <c r="BQ180" s="417"/>
      <c r="BV180" s="435"/>
      <c r="BW180" s="417"/>
    </row>
    <row r="181" spans="1:97" ht="13">
      <c r="B181" s="422">
        <v>37</v>
      </c>
      <c r="C181" s="370">
        <v>0.19</v>
      </c>
      <c r="D181" s="370">
        <v>0.18</v>
      </c>
      <c r="E181" s="370">
        <v>0</v>
      </c>
      <c r="F181" s="370">
        <v>0.49</v>
      </c>
      <c r="G181" s="370">
        <v>0.1</v>
      </c>
      <c r="H181" s="370">
        <v>0.12</v>
      </c>
      <c r="I181" s="370">
        <v>0.42</v>
      </c>
      <c r="J181" s="370">
        <v>0.32</v>
      </c>
      <c r="K181" s="370">
        <v>0.41</v>
      </c>
      <c r="L181" s="370">
        <v>0.66</v>
      </c>
      <c r="M181" s="370">
        <v>0.41</v>
      </c>
      <c r="N181" s="370">
        <v>0.43</v>
      </c>
      <c r="O181" s="370">
        <v>0.53</v>
      </c>
      <c r="P181" s="370">
        <f t="shared" si="326"/>
        <v>0</v>
      </c>
      <c r="Q181" s="370">
        <v>0.23</v>
      </c>
      <c r="R181" s="370">
        <v>0.42</v>
      </c>
      <c r="S181" s="377"/>
      <c r="T181" s="422">
        <v>37</v>
      </c>
      <c r="U181" s="370">
        <v>0.14000000000000001</v>
      </c>
      <c r="V181" s="370">
        <v>0.17</v>
      </c>
      <c r="W181" s="370">
        <v>0.01</v>
      </c>
      <c r="X181" s="370">
        <v>0.54</v>
      </c>
      <c r="Y181" s="370">
        <v>0.11</v>
      </c>
      <c r="Z181" s="370">
        <v>0.14000000000000001</v>
      </c>
      <c r="AA181" s="370">
        <v>0.43</v>
      </c>
      <c r="AB181" s="370">
        <v>0.33</v>
      </c>
      <c r="AC181" s="370">
        <v>0.43</v>
      </c>
      <c r="AD181" s="370">
        <v>0.67</v>
      </c>
      <c r="AE181" s="370">
        <v>0.43</v>
      </c>
      <c r="AF181" s="370">
        <v>0.46</v>
      </c>
      <c r="AG181" s="371">
        <v>0.53</v>
      </c>
      <c r="AH181" s="370">
        <f t="shared" si="327"/>
        <v>0</v>
      </c>
      <c r="AI181" s="370">
        <v>0.23</v>
      </c>
      <c r="AJ181" s="370">
        <v>0.42</v>
      </c>
      <c r="AK181" s="377"/>
      <c r="AX181" s="417"/>
      <c r="AY181" s="417"/>
      <c r="BD181" s="417"/>
      <c r="BE181" s="417"/>
      <c r="BJ181" s="417"/>
      <c r="BK181" s="417"/>
      <c r="BP181" s="417"/>
      <c r="BQ181" s="417"/>
      <c r="BV181" s="417"/>
      <c r="BW181" s="417"/>
    </row>
    <row r="182" spans="1:97" ht="13">
      <c r="B182" s="422">
        <v>44</v>
      </c>
      <c r="C182" s="370">
        <v>0.27</v>
      </c>
      <c r="D182" s="370">
        <v>0.25</v>
      </c>
      <c r="E182" s="370">
        <v>0</v>
      </c>
      <c r="F182" s="370">
        <v>0.61</v>
      </c>
      <c r="G182" s="370">
        <v>0.1</v>
      </c>
      <c r="H182" s="370">
        <v>0.13</v>
      </c>
      <c r="I182" s="370">
        <v>0.42</v>
      </c>
      <c r="J182" s="370">
        <v>0.32</v>
      </c>
      <c r="K182" s="370">
        <v>0.39</v>
      </c>
      <c r="L182" s="370">
        <v>0.74</v>
      </c>
      <c r="M182" s="370">
        <v>0.39</v>
      </c>
      <c r="N182" s="370">
        <v>0.54</v>
      </c>
      <c r="O182" s="370">
        <v>0.66</v>
      </c>
      <c r="P182" s="370">
        <f t="shared" si="326"/>
        <v>0</v>
      </c>
      <c r="Q182" s="370">
        <v>0.25</v>
      </c>
      <c r="R182" s="370">
        <v>0.56999999999999995</v>
      </c>
      <c r="S182" s="377"/>
      <c r="T182" s="422">
        <v>44</v>
      </c>
      <c r="U182" s="370">
        <v>0.23</v>
      </c>
      <c r="V182" s="370">
        <v>0.23</v>
      </c>
      <c r="W182" s="370">
        <v>0.01</v>
      </c>
      <c r="X182" s="370">
        <v>0.67</v>
      </c>
      <c r="Y182" s="370">
        <v>0.11</v>
      </c>
      <c r="Z182" s="370">
        <v>0.15</v>
      </c>
      <c r="AA182" s="370">
        <v>0.43</v>
      </c>
      <c r="AB182" s="370">
        <v>0.33</v>
      </c>
      <c r="AC182" s="370">
        <v>0.4</v>
      </c>
      <c r="AD182" s="370">
        <v>0.73</v>
      </c>
      <c r="AE182" s="370">
        <v>0.4</v>
      </c>
      <c r="AF182" s="370">
        <v>0.55000000000000004</v>
      </c>
      <c r="AG182" s="371">
        <v>0.65</v>
      </c>
      <c r="AH182" s="370">
        <f t="shared" si="327"/>
        <v>0</v>
      </c>
      <c r="AI182" s="370">
        <v>0.25</v>
      </c>
      <c r="AJ182" s="370">
        <v>0.56999999999999995</v>
      </c>
      <c r="AK182" s="377"/>
      <c r="AX182" s="417"/>
      <c r="AY182" s="417"/>
      <c r="BD182" s="417"/>
      <c r="BE182" s="417"/>
      <c r="BJ182" s="417"/>
      <c r="BK182" s="417"/>
      <c r="BP182" s="417"/>
      <c r="BQ182" s="417"/>
      <c r="BV182" s="417"/>
      <c r="BW182" s="417"/>
    </row>
    <row r="183" spans="1:97" ht="13">
      <c r="B183" s="422">
        <v>50</v>
      </c>
      <c r="C183" s="370">
        <v>0.34</v>
      </c>
      <c r="D183" s="370">
        <v>0.3</v>
      </c>
      <c r="E183" s="370">
        <v>0</v>
      </c>
      <c r="F183" s="370">
        <v>0.7</v>
      </c>
      <c r="G183" s="370">
        <v>0.11</v>
      </c>
      <c r="H183" s="370">
        <v>0.14000000000000001</v>
      </c>
      <c r="I183" s="370">
        <v>0.43</v>
      </c>
      <c r="J183" s="370">
        <v>0.32</v>
      </c>
      <c r="K183" s="370">
        <v>0.37</v>
      </c>
      <c r="L183" s="370">
        <v>0.79</v>
      </c>
      <c r="M183" s="370">
        <v>0.37</v>
      </c>
      <c r="N183" s="370">
        <v>0.6</v>
      </c>
      <c r="O183" s="370">
        <v>0.75</v>
      </c>
      <c r="P183" s="370">
        <f t="shared" si="326"/>
        <v>-1</v>
      </c>
      <c r="Q183" s="370">
        <v>0.27</v>
      </c>
      <c r="R183" s="370">
        <v>0.67</v>
      </c>
      <c r="S183" s="377"/>
      <c r="T183" s="422">
        <v>50</v>
      </c>
      <c r="U183" s="371">
        <v>0.3</v>
      </c>
      <c r="V183" s="370">
        <v>0.28000000000000003</v>
      </c>
      <c r="W183" s="370">
        <v>0.01</v>
      </c>
      <c r="X183" s="370">
        <v>0.76</v>
      </c>
      <c r="Y183" s="370">
        <v>0.11</v>
      </c>
      <c r="Z183" s="370">
        <v>0.15</v>
      </c>
      <c r="AA183" s="370">
        <v>0.44</v>
      </c>
      <c r="AB183" s="370">
        <v>0.33</v>
      </c>
      <c r="AC183" s="370">
        <v>0.38</v>
      </c>
      <c r="AD183" s="370">
        <v>0.76</v>
      </c>
      <c r="AE183" s="370">
        <v>0.38</v>
      </c>
      <c r="AF183" s="370">
        <v>0.61</v>
      </c>
      <c r="AG183" s="371">
        <v>0.74</v>
      </c>
      <c r="AH183" s="370">
        <f t="shared" si="327"/>
        <v>-1</v>
      </c>
      <c r="AI183" s="370">
        <v>0.27</v>
      </c>
      <c r="AJ183" s="370">
        <v>0.67</v>
      </c>
      <c r="AK183" s="377"/>
      <c r="AX183" s="436"/>
      <c r="AY183" s="417"/>
      <c r="BD183" s="436"/>
      <c r="BE183" s="417"/>
      <c r="BJ183" s="436"/>
      <c r="BK183" s="417"/>
      <c r="BP183" s="436"/>
      <c r="BQ183" s="417"/>
      <c r="BV183" s="436"/>
      <c r="BW183" s="417"/>
    </row>
    <row r="184" spans="1:97" ht="13">
      <c r="B184" s="422">
        <v>100</v>
      </c>
      <c r="C184" s="371">
        <v>0.77</v>
      </c>
      <c r="D184" s="370">
        <v>0.61</v>
      </c>
      <c r="E184" s="370">
        <v>-0.16</v>
      </c>
      <c r="F184" s="370">
        <v>0.77</v>
      </c>
      <c r="G184" s="370">
        <v>0.21</v>
      </c>
      <c r="H184" s="370">
        <v>0.24</v>
      </c>
      <c r="I184" s="370">
        <v>0.55000000000000004</v>
      </c>
      <c r="J184" s="370">
        <v>0.42</v>
      </c>
      <c r="K184" s="370">
        <v>0.19</v>
      </c>
      <c r="L184" s="370">
        <v>0.51</v>
      </c>
      <c r="M184" s="370">
        <v>0.19</v>
      </c>
      <c r="N184" s="370">
        <v>0.56999999999999995</v>
      </c>
      <c r="O184" s="370">
        <v>0.73</v>
      </c>
      <c r="P184" s="370">
        <f t="shared" si="326"/>
        <v>-1.6</v>
      </c>
      <c r="Q184" s="370">
        <v>0.31</v>
      </c>
      <c r="R184" s="370">
        <v>0.95</v>
      </c>
      <c r="S184" s="377"/>
      <c r="T184" s="422">
        <v>100</v>
      </c>
      <c r="U184" s="370">
        <v>0.76</v>
      </c>
      <c r="V184" s="370">
        <v>0.57999999999999996</v>
      </c>
      <c r="W184" s="370">
        <v>-0.16</v>
      </c>
      <c r="X184" s="370">
        <v>0.82</v>
      </c>
      <c r="Y184" s="370">
        <v>0.22</v>
      </c>
      <c r="Z184" s="370">
        <v>0.27</v>
      </c>
      <c r="AA184" s="370">
        <v>0.54</v>
      </c>
      <c r="AB184" s="370">
        <v>0.45</v>
      </c>
      <c r="AC184" s="370">
        <v>0.18</v>
      </c>
      <c r="AD184" s="370">
        <v>0.24</v>
      </c>
      <c r="AE184" s="370">
        <v>0.18</v>
      </c>
      <c r="AF184" s="370">
        <v>0.39</v>
      </c>
      <c r="AG184" s="371">
        <v>0.69</v>
      </c>
      <c r="AH184" s="370">
        <f t="shared" si="327"/>
        <v>-1.6</v>
      </c>
      <c r="AI184" s="370">
        <v>0.31</v>
      </c>
      <c r="AJ184" s="370">
        <v>0.95</v>
      </c>
      <c r="AK184" s="377"/>
      <c r="AX184" s="417"/>
      <c r="AY184" s="417"/>
      <c r="BD184" s="417"/>
      <c r="BE184" s="417"/>
      <c r="BJ184" s="417"/>
      <c r="BK184" s="417"/>
      <c r="BP184" s="417"/>
      <c r="BQ184" s="417"/>
      <c r="BV184" s="417"/>
      <c r="BW184" s="417"/>
    </row>
    <row r="185" spans="1:97" ht="13">
      <c r="B185" s="422">
        <v>150</v>
      </c>
      <c r="C185" s="370">
        <v>0.73</v>
      </c>
      <c r="D185" s="370">
        <v>0.6</v>
      </c>
      <c r="E185" s="370">
        <v>-0.28000000000000003</v>
      </c>
      <c r="F185" s="370">
        <v>0.03</v>
      </c>
      <c r="G185" s="370">
        <v>0.39</v>
      </c>
      <c r="H185" s="370">
        <v>0.42</v>
      </c>
      <c r="I185" s="370">
        <v>0.74</v>
      </c>
      <c r="J185" s="370">
        <v>0.61</v>
      </c>
      <c r="K185" s="370">
        <v>9.9999999999999995E-7</v>
      </c>
      <c r="L185" s="370">
        <v>-0.2</v>
      </c>
      <c r="M185" s="370">
        <v>9.9999999999999995E-7</v>
      </c>
      <c r="N185" s="370">
        <v>0</v>
      </c>
      <c r="O185" s="370">
        <v>-0.11</v>
      </c>
      <c r="P185" s="370">
        <f t="shared" si="326"/>
        <v>-1.7</v>
      </c>
      <c r="Q185" s="370">
        <v>0.3</v>
      </c>
      <c r="R185" s="370">
        <v>0.49</v>
      </c>
      <c r="S185" s="377"/>
      <c r="T185" s="422">
        <v>150</v>
      </c>
      <c r="U185" s="370">
        <v>0.78</v>
      </c>
      <c r="V185" s="370">
        <v>0.61</v>
      </c>
      <c r="W185" s="370">
        <v>-0.28999999999999998</v>
      </c>
      <c r="X185" s="370">
        <v>0.13</v>
      </c>
      <c r="Y185" s="370">
        <v>0.41</v>
      </c>
      <c r="Z185" s="370">
        <v>0.48</v>
      </c>
      <c r="AA185" s="370">
        <v>0.72</v>
      </c>
      <c r="AB185" s="370">
        <v>0.67</v>
      </c>
      <c r="AC185" s="370">
        <v>-0.03</v>
      </c>
      <c r="AD185" s="370">
        <v>-0.73</v>
      </c>
      <c r="AE185" s="370">
        <v>-0.03</v>
      </c>
      <c r="AF185" s="370">
        <v>-0.35</v>
      </c>
      <c r="AG185" s="371">
        <v>-0.21</v>
      </c>
      <c r="AH185" s="370">
        <f t="shared" si="327"/>
        <v>-1.7</v>
      </c>
      <c r="AI185" s="370">
        <v>0.3</v>
      </c>
      <c r="AJ185" s="370">
        <v>0.49</v>
      </c>
      <c r="AK185" s="377"/>
      <c r="AX185" s="417"/>
      <c r="AY185" s="417"/>
      <c r="BB185" s="382"/>
      <c r="BD185" s="417"/>
      <c r="BE185" s="417"/>
      <c r="BH185" s="382"/>
      <c r="BJ185" s="417"/>
      <c r="BK185" s="417"/>
      <c r="BN185" s="382"/>
      <c r="BP185" s="417"/>
      <c r="BQ185" s="417"/>
      <c r="BT185" s="382"/>
      <c r="BV185" s="417"/>
      <c r="BW185" s="417"/>
    </row>
    <row r="186" spans="1:97" ht="13">
      <c r="B186" s="422">
        <v>200</v>
      </c>
      <c r="C186" s="370">
        <v>0.02</v>
      </c>
      <c r="D186" s="370">
        <v>0.18</v>
      </c>
      <c r="E186" s="370">
        <v>0.05</v>
      </c>
      <c r="F186" s="370">
        <v>-1.03</v>
      </c>
      <c r="G186" s="370">
        <v>0.61</v>
      </c>
      <c r="H186" s="370">
        <v>0.71</v>
      </c>
      <c r="I186" s="370">
        <v>0.96</v>
      </c>
      <c r="J186" s="370">
        <v>0.82</v>
      </c>
      <c r="K186" s="370">
        <v>-0.22</v>
      </c>
      <c r="L186" s="370">
        <v>-0.21</v>
      </c>
      <c r="M186" s="370">
        <v>-0.22</v>
      </c>
      <c r="N186" s="370">
        <v>-0.37</v>
      </c>
      <c r="O186" s="370">
        <v>-1.05</v>
      </c>
      <c r="P186" s="370">
        <f t="shared" si="326"/>
        <v>-0.9</v>
      </c>
      <c r="Q186" s="370">
        <v>0.34</v>
      </c>
      <c r="R186" s="370">
        <v>-0.26</v>
      </c>
      <c r="S186" s="377"/>
      <c r="T186" s="422">
        <v>200</v>
      </c>
      <c r="U186" s="370">
        <v>7.0000000000000007E-2</v>
      </c>
      <c r="V186" s="370">
        <v>0.25</v>
      </c>
      <c r="W186" s="370">
        <v>7.0000000000000007E-2</v>
      </c>
      <c r="X186" s="370">
        <v>-0.67</v>
      </c>
      <c r="Y186" s="370">
        <v>0.61</v>
      </c>
      <c r="Z186" s="370">
        <v>0.76</v>
      </c>
      <c r="AA186" s="370">
        <v>0.97</v>
      </c>
      <c r="AB186" s="370">
        <v>0.91</v>
      </c>
      <c r="AC186" s="370">
        <v>-0.26</v>
      </c>
      <c r="AD186" s="370">
        <v>-0.85</v>
      </c>
      <c r="AE186" s="370">
        <v>-0.26</v>
      </c>
      <c r="AF186" s="370">
        <v>-0.64</v>
      </c>
      <c r="AG186" s="371">
        <v>-1.31</v>
      </c>
      <c r="AH186" s="370">
        <f t="shared" si="327"/>
        <v>-0.9</v>
      </c>
      <c r="AI186" s="370">
        <v>0.34</v>
      </c>
      <c r="AJ186" s="370">
        <v>-0.26</v>
      </c>
      <c r="AK186" s="377"/>
      <c r="AX186" s="417"/>
      <c r="AY186" s="417"/>
      <c r="BB186" s="382"/>
      <c r="BD186" s="417"/>
      <c r="BE186" s="417"/>
      <c r="BH186" s="382"/>
      <c r="BJ186" s="417"/>
      <c r="BK186" s="417"/>
      <c r="BN186" s="382"/>
      <c r="BP186" s="417"/>
      <c r="BQ186" s="417"/>
      <c r="BT186" s="382"/>
      <c r="BV186" s="417"/>
      <c r="BW186" s="417"/>
    </row>
    <row r="187" spans="1:97" s="773" customFormat="1" ht="13">
      <c r="A187" s="428"/>
      <c r="B187" s="422" t="s">
        <v>397</v>
      </c>
      <c r="C187" s="716">
        <v>0.34</v>
      </c>
      <c r="D187" s="716">
        <v>0.56000000000000005</v>
      </c>
      <c r="E187" s="716">
        <v>0.28000000000000003</v>
      </c>
      <c r="F187" s="716">
        <v>0.25</v>
      </c>
      <c r="G187" s="716">
        <v>0.26</v>
      </c>
      <c r="H187" s="716">
        <v>0.27</v>
      </c>
      <c r="I187" s="716">
        <v>0.24</v>
      </c>
      <c r="J187" s="716">
        <v>0.24</v>
      </c>
      <c r="K187" s="716">
        <v>0.79</v>
      </c>
      <c r="L187" s="716">
        <v>0.27</v>
      </c>
      <c r="M187" s="716">
        <v>0.79</v>
      </c>
      <c r="N187" s="716">
        <v>0.25</v>
      </c>
      <c r="O187" s="716">
        <v>0.27</v>
      </c>
      <c r="P187" s="716">
        <f t="shared" si="326"/>
        <v>0.6</v>
      </c>
      <c r="Q187" s="716">
        <v>0.22</v>
      </c>
      <c r="R187" s="716">
        <v>0.77</v>
      </c>
      <c r="S187" s="428"/>
      <c r="T187" s="422" t="s">
        <v>397</v>
      </c>
      <c r="U187" s="716">
        <v>0.34</v>
      </c>
      <c r="V187" s="716">
        <v>0.56000000000000005</v>
      </c>
      <c r="W187" s="716">
        <v>0.28000000000000003</v>
      </c>
      <c r="X187" s="716">
        <v>0.26</v>
      </c>
      <c r="Y187" s="716">
        <v>0.27</v>
      </c>
      <c r="Z187" s="716">
        <v>0.25</v>
      </c>
      <c r="AA187" s="716">
        <v>0.25</v>
      </c>
      <c r="AB187" s="716">
        <v>0.24</v>
      </c>
      <c r="AC187" s="716">
        <v>0.79</v>
      </c>
      <c r="AD187" s="716">
        <v>0.27</v>
      </c>
      <c r="AE187" s="716">
        <v>0.79</v>
      </c>
      <c r="AF187" s="716">
        <v>0.25</v>
      </c>
      <c r="AG187" s="716">
        <v>0.26</v>
      </c>
      <c r="AH187" s="716">
        <f t="shared" si="327"/>
        <v>0.6</v>
      </c>
      <c r="AI187" s="716">
        <v>0.22</v>
      </c>
      <c r="AJ187" s="716">
        <v>0.77</v>
      </c>
      <c r="AK187" s="428"/>
      <c r="AN187" s="426"/>
      <c r="AP187" s="774"/>
      <c r="AT187" s="426"/>
      <c r="AV187" s="774"/>
      <c r="AX187" s="426"/>
      <c r="AY187" s="426"/>
      <c r="AZ187" s="426"/>
      <c r="BD187" s="426"/>
      <c r="BE187" s="426"/>
      <c r="BF187" s="426"/>
      <c r="BJ187" s="426"/>
      <c r="BK187" s="426"/>
      <c r="BL187" s="426"/>
      <c r="BP187" s="426"/>
      <c r="BQ187" s="426"/>
      <c r="BR187" s="426"/>
      <c r="BV187" s="426"/>
      <c r="BW187" s="426"/>
      <c r="BX187" s="426"/>
      <c r="BZ187" s="774"/>
      <c r="CG187" s="428"/>
      <c r="CM187" s="428"/>
      <c r="CS187" s="428"/>
    </row>
    <row r="188" spans="1:97" s="377" customFormat="1">
      <c r="V188" s="378"/>
      <c r="W188" s="378"/>
      <c r="X188" s="378"/>
      <c r="Y188" s="378"/>
      <c r="Z188" s="378"/>
      <c r="AA188" s="378"/>
      <c r="AB188" s="378"/>
      <c r="AC188" s="378"/>
      <c r="AD188" s="378"/>
      <c r="AZ188" s="378"/>
      <c r="BF188" s="378"/>
      <c r="BL188" s="378"/>
      <c r="BR188" s="378"/>
      <c r="BX188" s="378"/>
    </row>
    <row r="189" spans="1:97" s="377" customFormat="1">
      <c r="V189" s="378"/>
      <c r="W189" s="378"/>
      <c r="X189" s="378"/>
      <c r="Y189" s="378"/>
      <c r="Z189" s="378"/>
      <c r="AA189" s="378"/>
      <c r="AB189" s="378"/>
      <c r="AC189" s="378"/>
      <c r="AD189" s="378"/>
      <c r="AZ189" s="378"/>
      <c r="BF189" s="378"/>
      <c r="BL189" s="378"/>
      <c r="BR189" s="378"/>
      <c r="BX189" s="378"/>
    </row>
    <row r="190" spans="1:97" ht="92.25" customHeight="1">
      <c r="B190" s="429" t="s">
        <v>390</v>
      </c>
      <c r="C190" s="430" t="str">
        <f>U173</f>
        <v>Thermocouple Data Logger, Merek : MADGETECH, Model : OctTemp 2000, SN : P40270</v>
      </c>
      <c r="D190" s="416" t="str">
        <f>V173</f>
        <v>Thermocouple Data Logger, Merek : MADGETECH, Model : OctTemp 2000, SN : P41878</v>
      </c>
      <c r="E190" s="431" t="str">
        <f>W173</f>
        <v>Mobile Corder, Merek : Yokogawa, Model : GP 10, SN : S5T810599</v>
      </c>
      <c r="F190" s="432" t="str">
        <f t="shared" ref="F190:R190" si="328">F173</f>
        <v>Wireless Temperature Recorder, Merek : HIOKI, Model : LR 8510, SN : 200936000</v>
      </c>
      <c r="G190" s="432" t="str">
        <f t="shared" si="328"/>
        <v>Wireless Temperature Recorder, Merek : HIOKI, Model : LR 8510, SN : 200936001</v>
      </c>
      <c r="H190" s="432" t="str">
        <f t="shared" si="328"/>
        <v>Wireless Temperature Recorder, Merek : HIOKI, Model : LR 8510, SN : 200821397</v>
      </c>
      <c r="I190" s="432" t="str">
        <f t="shared" si="328"/>
        <v>Wireless Temperature Recorder, Merek : HIOKI, Model : LR 8510, SN : 210411983</v>
      </c>
      <c r="J190" s="432" t="str">
        <f t="shared" si="328"/>
        <v>Wireless Temperature Recorder, Merek : HIOKI, Model : LR 8510, SN : 210411984</v>
      </c>
      <c r="K190" s="432" t="str">
        <f t="shared" si="328"/>
        <v>Wireless Temperature Recorder, Merek : HIOKI, Model : LR 8510, SN : 210411985</v>
      </c>
      <c r="L190" s="432" t="str">
        <f t="shared" si="328"/>
        <v>Wireless Temperature Recorder, Merek : HIOKI, Model : LR 8510, SN : 210746054</v>
      </c>
      <c r="M190" s="432" t="str">
        <f t="shared" si="328"/>
        <v>Wireless Temperature Recorder, Merek : HIOKI, Model : LR 8510, SN : 210746055</v>
      </c>
      <c r="N190" s="432" t="str">
        <f t="shared" si="328"/>
        <v>Wireless Temperature Recorder, Merek : HIOKI, Model : LR 8510, SN : 210746056</v>
      </c>
      <c r="O190" s="432" t="str">
        <f t="shared" si="328"/>
        <v>Wireless Temperature Recorder, Merek : HIOKI, Model : LR 8510, SN : 200821396</v>
      </c>
      <c r="P190" s="432" t="str">
        <f t="shared" si="328"/>
        <v>Reference Thermometer, Merek : APPA, Model : APPA51, SN : 03002948</v>
      </c>
      <c r="Q190" s="432" t="str">
        <f t="shared" si="328"/>
        <v>Reference Thermometer, Merek : FLUKE, Model : 1524, SN : 1803038</v>
      </c>
      <c r="R190" s="432" t="str">
        <f t="shared" si="328"/>
        <v>Reference Thermometer, Merek : FLUKE, Model : 1524, SN : 1803037</v>
      </c>
      <c r="S190" s="377"/>
      <c r="T190" s="429" t="s">
        <v>391</v>
      </c>
      <c r="U190" s="437" t="str">
        <f>C190</f>
        <v>Thermocouple Data Logger, Merek : MADGETECH, Model : OctTemp 2000, SN : P40270</v>
      </c>
      <c r="V190" s="437" t="str">
        <f>D190</f>
        <v>Thermocouple Data Logger, Merek : MADGETECH, Model : OctTemp 2000, SN : P41878</v>
      </c>
      <c r="W190" s="437" t="str">
        <f>E190</f>
        <v>Mobile Corder, Merek : Yokogawa, Model : GP 10, SN : S5T810599</v>
      </c>
      <c r="X190" s="437" t="str">
        <f t="shared" ref="X190:AJ190" si="329">X173</f>
        <v>Wireless Temperature Recorder, Merek : HIOKI, Model : LR 8510, SN : 200936000</v>
      </c>
      <c r="Y190" s="437" t="str">
        <f t="shared" si="329"/>
        <v>Wireless Temperature Recorder, Merek : HIOKI, Model : LR 8510, SN : 200936001</v>
      </c>
      <c r="Z190" s="437" t="str">
        <f t="shared" si="329"/>
        <v>Wireless Temperature Recorder, Merek : HIOKI, Model : LR 8510, SN : 200821397</v>
      </c>
      <c r="AA190" s="437" t="str">
        <f t="shared" si="329"/>
        <v>Wireless Temperature Recorder, Merek : HIOKI, Model : LR 8510, SN : 210411983</v>
      </c>
      <c r="AB190" s="437" t="str">
        <f t="shared" si="329"/>
        <v>Wireless Temperature Recorder, Merek : HIOKI, Model : LR 8510, SN : 210411984</v>
      </c>
      <c r="AC190" s="437" t="str">
        <f t="shared" si="329"/>
        <v>Wireless Temperature Recorder, Merek : HIOKI, Model : LR 8510, SN : 210411985</v>
      </c>
      <c r="AD190" s="437" t="str">
        <f t="shared" si="329"/>
        <v>Wireless Temperature Recorder, Merek : HIOKI, Model : LR 8510, SN : 210746054</v>
      </c>
      <c r="AE190" s="437" t="str">
        <f t="shared" si="329"/>
        <v>Wireless Temperature Recorder, Merek : HIOKI, Model : LR 8510, SN : 210746055</v>
      </c>
      <c r="AF190" s="437" t="str">
        <f t="shared" si="329"/>
        <v>Wireless Temperature Recorder, Merek : HIOKI, Model : LR 8510, SN : 210746056</v>
      </c>
      <c r="AG190" s="416" t="str">
        <f t="shared" si="329"/>
        <v>Wireless Temperature Recorder, Merek : HIOKI, Model : LR 8510, SN : 200821396</v>
      </c>
      <c r="AH190" s="416" t="str">
        <f t="shared" si="329"/>
        <v>Reference Thermometer, Merek : APPA, Model : APPA51, SN : 03002948</v>
      </c>
      <c r="AI190" s="416" t="str">
        <f t="shared" si="329"/>
        <v>Reference Thermometer, Merek : FLUKE, Model : 1524, SN : 1803038</v>
      </c>
      <c r="AJ190" s="416" t="str">
        <f t="shared" si="329"/>
        <v>Reference Thermometer, Merek : FLUKE, Model : 1524, SN : 1803037</v>
      </c>
      <c r="AK190" s="377"/>
      <c r="AX190" s="419"/>
      <c r="AY190" s="420"/>
      <c r="AZ190" s="421"/>
      <c r="BB190" s="382"/>
      <c r="BD190" s="419"/>
      <c r="BE190" s="420"/>
      <c r="BF190" s="421"/>
      <c r="BH190" s="382"/>
      <c r="BJ190" s="419"/>
      <c r="BK190" s="420"/>
      <c r="BL190" s="421"/>
      <c r="BN190" s="382"/>
      <c r="BP190" s="419"/>
      <c r="BQ190" s="420"/>
      <c r="BR190" s="421"/>
      <c r="BT190" s="382"/>
      <c r="BV190" s="419"/>
      <c r="BW190" s="420"/>
      <c r="BX190" s="421"/>
    </row>
    <row r="191" spans="1:97" s="676" customFormat="1" ht="6.65" customHeight="1">
      <c r="B191" s="688"/>
      <c r="C191" s="689"/>
      <c r="D191" s="682"/>
      <c r="E191" s="690"/>
      <c r="F191" s="691"/>
      <c r="G191" s="691"/>
      <c r="H191" s="691"/>
      <c r="I191" s="691"/>
      <c r="J191" s="691"/>
      <c r="K191" s="691"/>
      <c r="L191" s="691"/>
      <c r="M191" s="691"/>
      <c r="N191" s="691"/>
      <c r="O191" s="692"/>
      <c r="P191" s="680"/>
      <c r="Q191" s="680"/>
      <c r="R191" s="680"/>
      <c r="T191" s="688"/>
      <c r="U191" s="694"/>
      <c r="V191" s="694"/>
      <c r="W191" s="694"/>
      <c r="X191" s="694"/>
      <c r="Y191" s="694"/>
      <c r="Z191" s="694"/>
      <c r="AA191" s="694"/>
      <c r="AB191" s="694"/>
      <c r="AC191" s="694"/>
      <c r="AD191" s="694"/>
      <c r="AE191" s="694"/>
      <c r="AF191" s="694"/>
      <c r="AG191" s="682"/>
      <c r="AH191" s="680"/>
      <c r="AI191" s="680"/>
      <c r="AJ191" s="680"/>
      <c r="AN191" s="683"/>
      <c r="AP191" s="684"/>
      <c r="AT191" s="683"/>
      <c r="AV191" s="684"/>
      <c r="AX191" s="685"/>
      <c r="AY191" s="686"/>
      <c r="AZ191" s="687"/>
      <c r="BD191" s="685"/>
      <c r="BE191" s="686"/>
      <c r="BF191" s="687"/>
      <c r="BJ191" s="685"/>
      <c r="BK191" s="686"/>
      <c r="BL191" s="687"/>
      <c r="BP191" s="685"/>
      <c r="BQ191" s="686"/>
      <c r="BR191" s="687"/>
      <c r="BV191" s="685"/>
      <c r="BW191" s="686"/>
      <c r="BX191" s="687"/>
      <c r="BZ191" s="684"/>
    </row>
    <row r="192" spans="1:97" ht="13">
      <c r="B192" s="422">
        <v>-20</v>
      </c>
      <c r="C192" s="438">
        <v>-0.56999999999999995</v>
      </c>
      <c r="D192" s="370">
        <v>-0.47</v>
      </c>
      <c r="E192" s="438">
        <v>-0.41</v>
      </c>
      <c r="F192" s="370">
        <v>-1.42</v>
      </c>
      <c r="G192" s="370">
        <v>7.0000000000000007E-2</v>
      </c>
      <c r="H192" s="370">
        <v>0.11</v>
      </c>
      <c r="I192" s="370">
        <v>0.46</v>
      </c>
      <c r="J192" s="370">
        <v>0.34</v>
      </c>
      <c r="K192" s="370">
        <v>0.54</v>
      </c>
      <c r="L192" s="370">
        <v>-0.94</v>
      </c>
      <c r="M192" s="370">
        <v>0.54</v>
      </c>
      <c r="N192" s="370">
        <v>-1.29</v>
      </c>
      <c r="O192" s="370">
        <v>-1.4</v>
      </c>
      <c r="P192" s="370">
        <f>P175</f>
        <v>-1.1000000000000001</v>
      </c>
      <c r="Q192" s="370">
        <v>-0.15</v>
      </c>
      <c r="R192" s="370">
        <v>-1.8</v>
      </c>
      <c r="S192" s="377"/>
      <c r="T192" s="422">
        <v>-20</v>
      </c>
      <c r="U192" s="370">
        <v>-0.63</v>
      </c>
      <c r="V192" s="370">
        <v>-0.43</v>
      </c>
      <c r="W192" s="370">
        <v>-0.45</v>
      </c>
      <c r="X192" s="370">
        <v>-1.37</v>
      </c>
      <c r="Y192" s="370">
        <v>0.11</v>
      </c>
      <c r="Z192" s="370">
        <v>0.15</v>
      </c>
      <c r="AA192" s="370">
        <v>0.48</v>
      </c>
      <c r="AB192" s="370">
        <v>0.35</v>
      </c>
      <c r="AC192" s="370">
        <v>0.57999999999999996</v>
      </c>
      <c r="AD192" s="370">
        <v>-0.91</v>
      </c>
      <c r="AE192" s="370">
        <v>0.57999999999999996</v>
      </c>
      <c r="AF192" s="370">
        <v>-1.27</v>
      </c>
      <c r="AG192" s="371">
        <v>-1.43</v>
      </c>
      <c r="AH192" s="370">
        <f>AH175</f>
        <v>-1.1000000000000001</v>
      </c>
      <c r="AI192" s="370">
        <v>-0.15</v>
      </c>
      <c r="AJ192" s="370">
        <v>-1.8</v>
      </c>
      <c r="AK192" s="377"/>
      <c r="AX192" s="417"/>
      <c r="AY192" s="417"/>
      <c r="BB192" s="382"/>
      <c r="BD192" s="417"/>
      <c r="BE192" s="417"/>
      <c r="BH192" s="382"/>
      <c r="BJ192" s="417"/>
      <c r="BK192" s="417"/>
      <c r="BN192" s="382"/>
      <c r="BP192" s="417"/>
      <c r="BQ192" s="417"/>
      <c r="BT192" s="382"/>
      <c r="BV192" s="417"/>
      <c r="BW192" s="417"/>
    </row>
    <row r="193" spans="1:97" ht="13">
      <c r="B193" s="422">
        <v>-15</v>
      </c>
      <c r="C193" s="438">
        <v>-0.52</v>
      </c>
      <c r="D193" s="370">
        <v>-0.4</v>
      </c>
      <c r="E193" s="438">
        <v>-0.34</v>
      </c>
      <c r="F193" s="370">
        <v>-1.19</v>
      </c>
      <c r="G193" s="370">
        <v>0.12</v>
      </c>
      <c r="H193" s="370">
        <v>0.15</v>
      </c>
      <c r="I193" s="370">
        <v>0.48</v>
      </c>
      <c r="J193" s="370">
        <v>0.36</v>
      </c>
      <c r="K193" s="370">
        <v>9.9999999999999995E-7</v>
      </c>
      <c r="L193" s="370">
        <v>-0.7</v>
      </c>
      <c r="M193" s="370">
        <v>9.9999999999999995E-7</v>
      </c>
      <c r="N193" s="370">
        <v>-1.04</v>
      </c>
      <c r="O193" s="370">
        <v>-1.1399999999999999</v>
      </c>
      <c r="P193" s="370">
        <f t="shared" ref="P193:P204" si="330">P176</f>
        <v>-1.1000000000000001</v>
      </c>
      <c r="Q193" s="370">
        <v>-0.1</v>
      </c>
      <c r="R193" s="370">
        <v>-1.52</v>
      </c>
      <c r="S193" s="377"/>
      <c r="T193" s="422">
        <v>-15</v>
      </c>
      <c r="U193" s="370">
        <v>-0.56000000000000005</v>
      </c>
      <c r="V193" s="370">
        <v>-0.37</v>
      </c>
      <c r="W193" s="370">
        <v>-0.38</v>
      </c>
      <c r="X193" s="370">
        <v>-1.1399999999999999</v>
      </c>
      <c r="Y193" s="370">
        <v>0.15</v>
      </c>
      <c r="Z193" s="370">
        <v>0.18</v>
      </c>
      <c r="AA193" s="370">
        <v>0.49</v>
      </c>
      <c r="AB193" s="370">
        <v>0.38</v>
      </c>
      <c r="AC193" s="370">
        <v>9.9999999999999995E-7</v>
      </c>
      <c r="AD193" s="370">
        <v>-0.65</v>
      </c>
      <c r="AE193" s="370">
        <v>9.9999999999999995E-7</v>
      </c>
      <c r="AF193" s="370">
        <v>-1.01</v>
      </c>
      <c r="AG193" s="371">
        <v>-1.17</v>
      </c>
      <c r="AH193" s="370">
        <f t="shared" ref="AH193:AH204" si="331">AH176</f>
        <v>-1.1000000000000001</v>
      </c>
      <c r="AI193" s="370">
        <v>-0.1</v>
      </c>
      <c r="AJ193" s="370">
        <v>-1.52</v>
      </c>
      <c r="AK193" s="377"/>
      <c r="AX193" s="417"/>
      <c r="AY193" s="417"/>
      <c r="BB193" s="382"/>
      <c r="BD193" s="417"/>
      <c r="BE193" s="417"/>
      <c r="BH193" s="382"/>
      <c r="BJ193" s="417"/>
      <c r="BK193" s="417"/>
      <c r="BN193" s="382"/>
      <c r="BP193" s="417"/>
      <c r="BQ193" s="417"/>
      <c r="BT193" s="382"/>
      <c r="BV193" s="417"/>
      <c r="BW193" s="417"/>
    </row>
    <row r="194" spans="1:97" ht="13">
      <c r="B194" s="422">
        <v>-10</v>
      </c>
      <c r="C194" s="438">
        <v>-0.46</v>
      </c>
      <c r="D194" s="370">
        <v>-0.34</v>
      </c>
      <c r="E194" s="438">
        <v>-0.27</v>
      </c>
      <c r="F194" s="370">
        <v>-0.94</v>
      </c>
      <c r="G194" s="370">
        <v>0.16</v>
      </c>
      <c r="H194" s="370">
        <v>0.18</v>
      </c>
      <c r="I194" s="370">
        <v>0.49</v>
      </c>
      <c r="J194" s="370">
        <v>0.38</v>
      </c>
      <c r="K194" s="370">
        <v>0.53</v>
      </c>
      <c r="L194" s="370">
        <v>-0.51</v>
      </c>
      <c r="M194" s="370">
        <v>0.53</v>
      </c>
      <c r="N194" s="370">
        <v>-0.84</v>
      </c>
      <c r="O194" s="370">
        <v>-0.91</v>
      </c>
      <c r="P194" s="370">
        <f t="shared" si="330"/>
        <v>-1.2</v>
      </c>
      <c r="Q194" s="370">
        <v>-0.05</v>
      </c>
      <c r="R194" s="370">
        <v>-1.26</v>
      </c>
      <c r="S194" s="377"/>
      <c r="T194" s="422">
        <v>-10</v>
      </c>
      <c r="U194" s="370">
        <v>-0.49</v>
      </c>
      <c r="V194" s="370">
        <v>-0.31</v>
      </c>
      <c r="W194" s="370">
        <v>-0.31</v>
      </c>
      <c r="X194" s="370">
        <v>-0.9</v>
      </c>
      <c r="Y194" s="370">
        <v>0.18</v>
      </c>
      <c r="Z194" s="370">
        <v>0.2</v>
      </c>
      <c r="AA194" s="370">
        <v>0.5</v>
      </c>
      <c r="AB194" s="370">
        <v>0.4</v>
      </c>
      <c r="AC194" s="370">
        <v>0.55000000000000004</v>
      </c>
      <c r="AD194" s="370">
        <v>-0.46</v>
      </c>
      <c r="AE194" s="370">
        <v>0.55000000000000004</v>
      </c>
      <c r="AF194" s="370">
        <v>-0.8</v>
      </c>
      <c r="AG194" s="371">
        <v>-0.94</v>
      </c>
      <c r="AH194" s="370">
        <f t="shared" si="331"/>
        <v>-1.2</v>
      </c>
      <c r="AI194" s="370">
        <v>-0.05</v>
      </c>
      <c r="AJ194" s="370">
        <v>-1.26</v>
      </c>
      <c r="AK194" s="377"/>
      <c r="AX194" s="417"/>
      <c r="AY194" s="417"/>
      <c r="BB194" s="382"/>
      <c r="BD194" s="417"/>
      <c r="BE194" s="417"/>
      <c r="BH194" s="382"/>
      <c r="BJ194" s="417"/>
      <c r="BK194" s="417"/>
      <c r="BN194" s="382"/>
      <c r="BP194" s="417"/>
      <c r="BQ194" s="417"/>
      <c r="BT194" s="382"/>
      <c r="BV194" s="417"/>
      <c r="BW194" s="417"/>
    </row>
    <row r="195" spans="1:97" ht="13">
      <c r="B195" s="422">
        <v>9.9999999999999995E-7</v>
      </c>
      <c r="C195" s="438">
        <v>-0.34</v>
      </c>
      <c r="D195" s="370">
        <v>-0.22</v>
      </c>
      <c r="E195" s="438">
        <v>-0.16</v>
      </c>
      <c r="F195" s="370">
        <v>-0.3</v>
      </c>
      <c r="G195" s="370">
        <v>0.14000000000000001</v>
      </c>
      <c r="H195" s="370">
        <v>0.16</v>
      </c>
      <c r="I195" s="370">
        <v>0.43</v>
      </c>
      <c r="J195" s="370">
        <v>0.39</v>
      </c>
      <c r="K195" s="370">
        <v>0.51</v>
      </c>
      <c r="L195" s="370">
        <v>-0.27</v>
      </c>
      <c r="M195" s="370">
        <v>0.51</v>
      </c>
      <c r="N195" s="370">
        <v>-0.56999999999999995</v>
      </c>
      <c r="O195" s="370">
        <v>-0.51</v>
      </c>
      <c r="P195" s="370">
        <f t="shared" si="330"/>
        <v>-1.4</v>
      </c>
      <c r="Q195" s="370">
        <v>0.03</v>
      </c>
      <c r="R195" s="370">
        <v>-0.79</v>
      </c>
      <c r="S195" s="377"/>
      <c r="T195" s="422">
        <v>9.9999999999999995E-7</v>
      </c>
      <c r="U195" s="370">
        <v>-0.35</v>
      </c>
      <c r="V195" s="370">
        <v>-0.19</v>
      </c>
      <c r="W195" s="370">
        <v>-0.21</v>
      </c>
      <c r="X195" s="370">
        <v>-0.27</v>
      </c>
      <c r="Y195" s="370">
        <v>0.16</v>
      </c>
      <c r="Z195" s="370">
        <v>0.19</v>
      </c>
      <c r="AA195" s="370">
        <v>0.45</v>
      </c>
      <c r="AB195" s="370">
        <v>0.38</v>
      </c>
      <c r="AC195" s="370">
        <v>0.52</v>
      </c>
      <c r="AD195" s="370">
        <v>-0.25</v>
      </c>
      <c r="AE195" s="370">
        <v>0.52</v>
      </c>
      <c r="AF195" s="370">
        <v>-0.61</v>
      </c>
      <c r="AG195" s="371">
        <v>-0.53</v>
      </c>
      <c r="AH195" s="370">
        <f t="shared" si="331"/>
        <v>-1.4</v>
      </c>
      <c r="AI195" s="370">
        <v>0.03</v>
      </c>
      <c r="AJ195" s="370">
        <v>-0.79</v>
      </c>
      <c r="AK195" s="377"/>
      <c r="AX195" s="417"/>
      <c r="AY195" s="417"/>
      <c r="BB195" s="382"/>
      <c r="BD195" s="417"/>
      <c r="BE195" s="417"/>
      <c r="BH195" s="382"/>
      <c r="BJ195" s="417"/>
      <c r="BK195" s="417"/>
      <c r="BN195" s="382"/>
      <c r="BP195" s="417"/>
      <c r="BQ195" s="417"/>
      <c r="BT195" s="382"/>
      <c r="BV195" s="417"/>
      <c r="BW195" s="417"/>
    </row>
    <row r="196" spans="1:97" ht="13">
      <c r="B196" s="422">
        <v>2</v>
      </c>
      <c r="C196" s="438">
        <v>-0.31</v>
      </c>
      <c r="D196" s="370">
        <v>-0.19</v>
      </c>
      <c r="E196" s="438">
        <v>-0.14000000000000001</v>
      </c>
      <c r="F196" s="370">
        <v>-0.62</v>
      </c>
      <c r="G196" s="370">
        <v>0.16</v>
      </c>
      <c r="H196" s="370">
        <v>0.18</v>
      </c>
      <c r="I196" s="370">
        <v>0.46</v>
      </c>
      <c r="J196" s="370">
        <v>0.38</v>
      </c>
      <c r="K196" s="370">
        <v>0.5</v>
      </c>
      <c r="L196" s="370">
        <v>-0.3</v>
      </c>
      <c r="M196" s="370">
        <v>0.5</v>
      </c>
      <c r="N196" s="370">
        <v>-0.56000000000000005</v>
      </c>
      <c r="O196" s="370">
        <v>-0.56999999999999995</v>
      </c>
      <c r="P196" s="370">
        <f t="shared" si="330"/>
        <v>0</v>
      </c>
      <c r="Q196" s="370">
        <v>0.04</v>
      </c>
      <c r="R196" s="370">
        <v>-0.7</v>
      </c>
      <c r="S196" s="377"/>
      <c r="T196" s="422">
        <v>2</v>
      </c>
      <c r="U196" s="370">
        <v>-0.32</v>
      </c>
      <c r="V196" s="370">
        <v>-0.17</v>
      </c>
      <c r="W196" s="370">
        <v>-0.19</v>
      </c>
      <c r="X196" s="370">
        <v>-0.56999999999999995</v>
      </c>
      <c r="Y196" s="370">
        <v>0.2</v>
      </c>
      <c r="Z196" s="370">
        <v>0.2</v>
      </c>
      <c r="AA196" s="370">
        <v>0.48</v>
      </c>
      <c r="AB196" s="370">
        <v>0.39</v>
      </c>
      <c r="AC196" s="370">
        <v>0.51</v>
      </c>
      <c r="AD196" s="370">
        <v>-0.27</v>
      </c>
      <c r="AE196" s="370">
        <v>0.51</v>
      </c>
      <c r="AF196" s="370">
        <v>-0.5</v>
      </c>
      <c r="AG196" s="371">
        <v>-0.6</v>
      </c>
      <c r="AH196" s="370">
        <f t="shared" si="331"/>
        <v>0</v>
      </c>
      <c r="AI196" s="370">
        <v>0.04</v>
      </c>
      <c r="AJ196" s="370">
        <v>-0.7</v>
      </c>
      <c r="AK196" s="377"/>
      <c r="AX196" s="417"/>
      <c r="AY196" s="417"/>
      <c r="BB196" s="382"/>
      <c r="BD196" s="417"/>
      <c r="BE196" s="417"/>
      <c r="BH196" s="382"/>
      <c r="BJ196" s="417"/>
      <c r="BK196" s="417"/>
      <c r="BN196" s="382"/>
      <c r="BP196" s="417"/>
      <c r="BQ196" s="417"/>
      <c r="BT196" s="382"/>
      <c r="BV196" s="417"/>
      <c r="BW196" s="417"/>
    </row>
    <row r="197" spans="1:97" ht="13">
      <c r="B197" s="422">
        <v>8</v>
      </c>
      <c r="C197" s="438">
        <v>-0.23</v>
      </c>
      <c r="D197" s="370">
        <v>-0.12</v>
      </c>
      <c r="E197" s="438">
        <v>-0.09</v>
      </c>
      <c r="F197" s="370">
        <v>-0.34</v>
      </c>
      <c r="G197" s="370">
        <v>0.15</v>
      </c>
      <c r="H197" s="370">
        <v>0.17</v>
      </c>
      <c r="I197" s="370">
        <v>0.45</v>
      </c>
      <c r="J197" s="370">
        <v>0.37</v>
      </c>
      <c r="K197" s="370">
        <v>0.49</v>
      </c>
      <c r="L197" s="370">
        <v>-0.06</v>
      </c>
      <c r="M197" s="370">
        <v>0.49</v>
      </c>
      <c r="N197" s="370">
        <v>-0.3</v>
      </c>
      <c r="O197" s="370">
        <v>-0.31</v>
      </c>
      <c r="P197" s="370">
        <f t="shared" si="330"/>
        <v>0</v>
      </c>
      <c r="Q197" s="370">
        <v>0.08</v>
      </c>
      <c r="R197" s="370">
        <v>-0.46</v>
      </c>
      <c r="S197" s="377"/>
      <c r="T197" s="422">
        <v>8</v>
      </c>
      <c r="U197" s="370">
        <v>-0.24</v>
      </c>
      <c r="V197" s="370">
        <v>-0.1</v>
      </c>
      <c r="W197" s="370">
        <v>-0.14000000000000001</v>
      </c>
      <c r="X197" s="370">
        <v>-0.3</v>
      </c>
      <c r="Y197" s="370">
        <v>0.19</v>
      </c>
      <c r="Z197" s="370">
        <v>0.19</v>
      </c>
      <c r="AA197" s="370">
        <v>0.47</v>
      </c>
      <c r="AB197" s="370">
        <v>0.37</v>
      </c>
      <c r="AC197" s="370">
        <v>0.5</v>
      </c>
      <c r="AD197" s="370">
        <v>-0.03</v>
      </c>
      <c r="AE197" s="370">
        <v>0.5</v>
      </c>
      <c r="AF197" s="370">
        <v>-0.27</v>
      </c>
      <c r="AG197" s="371">
        <v>-0.34</v>
      </c>
      <c r="AH197" s="370">
        <f t="shared" si="331"/>
        <v>0</v>
      </c>
      <c r="AI197" s="370">
        <v>0.08</v>
      </c>
      <c r="AJ197" s="370">
        <v>-0.46</v>
      </c>
      <c r="AK197" s="377"/>
      <c r="AX197" s="417"/>
      <c r="AY197" s="417"/>
      <c r="BB197" s="382"/>
      <c r="BD197" s="417"/>
      <c r="BE197" s="417"/>
      <c r="BH197" s="382"/>
      <c r="BJ197" s="417"/>
      <c r="BK197" s="417"/>
      <c r="BN197" s="382"/>
      <c r="BP197" s="417"/>
      <c r="BQ197" s="417"/>
      <c r="BT197" s="382"/>
      <c r="BV197" s="417"/>
      <c r="BW197" s="417"/>
    </row>
    <row r="198" spans="1:97" ht="13">
      <c r="B198" s="422">
        <v>37</v>
      </c>
      <c r="C198" s="438">
        <v>0.15</v>
      </c>
      <c r="D198" s="370">
        <v>0.18</v>
      </c>
      <c r="E198" s="438">
        <v>0.02</v>
      </c>
      <c r="F198" s="370">
        <v>0.56000000000000005</v>
      </c>
      <c r="G198" s="370">
        <v>0.15</v>
      </c>
      <c r="H198" s="370">
        <v>0.17</v>
      </c>
      <c r="I198" s="370">
        <v>0.43</v>
      </c>
      <c r="J198" s="370">
        <v>0.33</v>
      </c>
      <c r="K198" s="370">
        <v>0.42</v>
      </c>
      <c r="L198" s="370">
        <v>0.69</v>
      </c>
      <c r="M198" s="370">
        <v>0.42</v>
      </c>
      <c r="N198" s="370">
        <v>0.47</v>
      </c>
      <c r="O198" s="370">
        <v>0.55000000000000004</v>
      </c>
      <c r="P198" s="370">
        <f t="shared" si="330"/>
        <v>0</v>
      </c>
      <c r="Q198" s="370">
        <v>0.23</v>
      </c>
      <c r="R198" s="370">
        <v>0.42</v>
      </c>
      <c r="S198" s="377"/>
      <c r="T198" s="422">
        <v>37</v>
      </c>
      <c r="U198" s="370">
        <v>0.16</v>
      </c>
      <c r="V198" s="370">
        <v>0.19</v>
      </c>
      <c r="W198" s="370">
        <v>-0.02</v>
      </c>
      <c r="X198" s="370">
        <v>0.56999999999999995</v>
      </c>
      <c r="Y198" s="370">
        <v>0.18</v>
      </c>
      <c r="Z198" s="370">
        <v>0.18</v>
      </c>
      <c r="AA198" s="370">
        <v>0.45</v>
      </c>
      <c r="AB198" s="370">
        <v>0.33</v>
      </c>
      <c r="AC198" s="370">
        <v>0.4</v>
      </c>
      <c r="AD198" s="370">
        <v>0.7</v>
      </c>
      <c r="AE198" s="370">
        <v>0.4</v>
      </c>
      <c r="AF198" s="370">
        <v>0.49</v>
      </c>
      <c r="AG198" s="371">
        <v>0.56000000000000005</v>
      </c>
      <c r="AH198" s="370">
        <f t="shared" si="331"/>
        <v>0</v>
      </c>
      <c r="AI198" s="370">
        <v>0.23</v>
      </c>
      <c r="AJ198" s="370">
        <v>0.42</v>
      </c>
      <c r="AK198" s="377"/>
      <c r="AX198" s="417"/>
      <c r="AY198" s="417"/>
      <c r="BB198" s="382"/>
      <c r="BD198" s="417"/>
      <c r="BE198" s="417"/>
      <c r="BH198" s="382"/>
      <c r="BJ198" s="417"/>
      <c r="BK198" s="417"/>
      <c r="BN198" s="382"/>
      <c r="BP198" s="417"/>
      <c r="BQ198" s="417"/>
      <c r="BT198" s="382"/>
      <c r="BV198" s="417"/>
      <c r="BW198" s="417"/>
    </row>
    <row r="199" spans="1:97" ht="13">
      <c r="B199" s="422">
        <v>44</v>
      </c>
      <c r="C199" s="438">
        <v>0.24</v>
      </c>
      <c r="D199" s="370">
        <v>0.25</v>
      </c>
      <c r="E199" s="438">
        <v>0.03</v>
      </c>
      <c r="F199" s="370">
        <v>0.69</v>
      </c>
      <c r="G199" s="370">
        <v>0.16</v>
      </c>
      <c r="H199" s="370">
        <v>0.17</v>
      </c>
      <c r="I199" s="370">
        <v>0.44</v>
      </c>
      <c r="J199" s="370">
        <v>0.33</v>
      </c>
      <c r="K199" s="370">
        <v>0.4</v>
      </c>
      <c r="L199" s="370">
        <v>0.78</v>
      </c>
      <c r="M199" s="370">
        <v>0.4</v>
      </c>
      <c r="N199" s="370">
        <v>0.56000000000000005</v>
      </c>
      <c r="O199" s="370">
        <v>0.67</v>
      </c>
      <c r="P199" s="370">
        <f t="shared" si="330"/>
        <v>0</v>
      </c>
      <c r="Q199" s="370">
        <v>0.25</v>
      </c>
      <c r="R199" s="370">
        <v>0.56999999999999995</v>
      </c>
      <c r="S199" s="377"/>
      <c r="T199" s="422">
        <v>44</v>
      </c>
      <c r="U199" s="370">
        <v>0.25</v>
      </c>
      <c r="V199" s="370">
        <v>0.25</v>
      </c>
      <c r="W199" s="370">
        <v>-0.01</v>
      </c>
      <c r="X199" s="370">
        <v>0.68</v>
      </c>
      <c r="Y199" s="370">
        <v>0.18</v>
      </c>
      <c r="Z199" s="370">
        <v>0.18</v>
      </c>
      <c r="AA199" s="370">
        <v>0.46</v>
      </c>
      <c r="AB199" s="370">
        <v>0.33</v>
      </c>
      <c r="AC199" s="370">
        <v>0.38</v>
      </c>
      <c r="AD199" s="370">
        <v>0.79</v>
      </c>
      <c r="AE199" s="370">
        <v>0.38</v>
      </c>
      <c r="AF199" s="370">
        <v>0.59</v>
      </c>
      <c r="AG199" s="371">
        <v>0.7</v>
      </c>
      <c r="AH199" s="370">
        <f t="shared" si="331"/>
        <v>0</v>
      </c>
      <c r="AI199" s="370">
        <v>0.25</v>
      </c>
      <c r="AJ199" s="370">
        <v>0.56999999999999995</v>
      </c>
      <c r="AK199" s="377"/>
      <c r="AX199" s="417"/>
      <c r="AY199" s="417"/>
      <c r="BB199" s="382"/>
      <c r="BD199" s="417"/>
      <c r="BE199" s="417"/>
      <c r="BH199" s="382"/>
      <c r="BJ199" s="417"/>
      <c r="BK199" s="417"/>
      <c r="BN199" s="382"/>
      <c r="BP199" s="417"/>
      <c r="BQ199" s="417"/>
      <c r="BT199" s="382"/>
      <c r="BV199" s="417"/>
      <c r="BW199" s="417"/>
    </row>
    <row r="200" spans="1:97" ht="13">
      <c r="B200" s="422">
        <v>50</v>
      </c>
      <c r="C200" s="438">
        <v>0.31</v>
      </c>
      <c r="D200" s="370">
        <v>0.3</v>
      </c>
      <c r="E200" s="438">
        <v>0.02</v>
      </c>
      <c r="F200" s="370">
        <v>0.76</v>
      </c>
      <c r="G200" s="370">
        <v>0.17</v>
      </c>
      <c r="H200" s="370">
        <v>0.18</v>
      </c>
      <c r="I200" s="370">
        <v>0.44</v>
      </c>
      <c r="J200" s="370">
        <v>0.34</v>
      </c>
      <c r="K200" s="370">
        <v>0.38</v>
      </c>
      <c r="L200" s="370">
        <v>0.84</v>
      </c>
      <c r="M200" s="370">
        <v>0.38</v>
      </c>
      <c r="N200" s="370">
        <v>0.62</v>
      </c>
      <c r="O200" s="370">
        <v>0.75</v>
      </c>
      <c r="P200" s="370">
        <f t="shared" si="330"/>
        <v>-1</v>
      </c>
      <c r="Q200" s="370">
        <v>0.27</v>
      </c>
      <c r="R200" s="370">
        <v>0.67</v>
      </c>
      <c r="S200" s="377"/>
      <c r="T200" s="422">
        <v>50</v>
      </c>
      <c r="U200" s="370">
        <v>0.32</v>
      </c>
      <c r="V200" s="370">
        <v>0.3</v>
      </c>
      <c r="W200" s="370">
        <v>-0.02</v>
      </c>
      <c r="X200" s="370">
        <v>0.76</v>
      </c>
      <c r="Y200" s="370">
        <v>0.19</v>
      </c>
      <c r="Z200" s="370">
        <v>0.19</v>
      </c>
      <c r="AA200" s="370">
        <v>0.46</v>
      </c>
      <c r="AB200" s="370">
        <v>0.34</v>
      </c>
      <c r="AC200" s="370">
        <v>0.36</v>
      </c>
      <c r="AD200" s="370">
        <v>0.84</v>
      </c>
      <c r="AE200" s="370">
        <v>0.36</v>
      </c>
      <c r="AF200" s="370">
        <v>0.66</v>
      </c>
      <c r="AG200" s="371">
        <v>0.79</v>
      </c>
      <c r="AH200" s="370">
        <f t="shared" si="331"/>
        <v>-1</v>
      </c>
      <c r="AI200" s="370">
        <v>0.27</v>
      </c>
      <c r="AJ200" s="370">
        <v>0.67</v>
      </c>
      <c r="AK200" s="377"/>
      <c r="AX200" s="417"/>
      <c r="AY200" s="417"/>
      <c r="BB200" s="382"/>
      <c r="BD200" s="417"/>
      <c r="BE200" s="417"/>
      <c r="BH200" s="382"/>
      <c r="BJ200" s="417"/>
      <c r="BK200" s="417"/>
      <c r="BN200" s="382"/>
      <c r="BP200" s="417"/>
      <c r="BQ200" s="417"/>
      <c r="BT200" s="382"/>
      <c r="BV200" s="417"/>
      <c r="BW200" s="417"/>
    </row>
    <row r="201" spans="1:97" ht="13">
      <c r="B201" s="422">
        <v>100</v>
      </c>
      <c r="C201" s="438">
        <v>0.79</v>
      </c>
      <c r="D201" s="370">
        <v>0.59</v>
      </c>
      <c r="E201" s="438">
        <v>-0.13</v>
      </c>
      <c r="F201" s="370">
        <v>0.68</v>
      </c>
      <c r="G201" s="370">
        <v>0.28000000000000003</v>
      </c>
      <c r="H201" s="370">
        <v>0.28000000000000003</v>
      </c>
      <c r="I201" s="370">
        <v>0.53</v>
      </c>
      <c r="J201" s="370">
        <v>0.46</v>
      </c>
      <c r="K201" s="370">
        <v>0.21</v>
      </c>
      <c r="L201" s="370">
        <v>0.65</v>
      </c>
      <c r="M201" s="370">
        <v>0.21</v>
      </c>
      <c r="N201" s="370">
        <v>0.39</v>
      </c>
      <c r="O201" s="370">
        <v>0.71</v>
      </c>
      <c r="P201" s="370">
        <f t="shared" si="330"/>
        <v>-1.6</v>
      </c>
      <c r="Q201" s="370">
        <v>0.31</v>
      </c>
      <c r="R201" s="370">
        <v>0.95</v>
      </c>
      <c r="S201" s="377"/>
      <c r="T201" s="422">
        <v>100</v>
      </c>
      <c r="U201" s="370">
        <v>0.78</v>
      </c>
      <c r="V201" s="370">
        <v>0.57999999999999996</v>
      </c>
      <c r="W201" s="370">
        <v>-0.14000000000000001</v>
      </c>
      <c r="X201" s="370">
        <v>0.65</v>
      </c>
      <c r="Y201" s="370">
        <v>0.28999999999999998</v>
      </c>
      <c r="Z201" s="370">
        <v>0.28000000000000003</v>
      </c>
      <c r="AA201" s="370">
        <v>0.53</v>
      </c>
      <c r="AB201" s="370">
        <v>0.46</v>
      </c>
      <c r="AC201" s="370">
        <v>0.17</v>
      </c>
      <c r="AD201" s="370">
        <v>0.63</v>
      </c>
      <c r="AE201" s="370">
        <v>0.17</v>
      </c>
      <c r="AF201" s="370">
        <v>0.63</v>
      </c>
      <c r="AG201" s="371">
        <v>0.87</v>
      </c>
      <c r="AH201" s="370">
        <f t="shared" si="331"/>
        <v>-1.6</v>
      </c>
      <c r="AI201" s="370">
        <v>0.31</v>
      </c>
      <c r="AJ201" s="370">
        <v>0.95</v>
      </c>
      <c r="AK201" s="377"/>
      <c r="AX201" s="417"/>
      <c r="AY201" s="417"/>
      <c r="BB201" s="382"/>
      <c r="BD201" s="417"/>
      <c r="BE201" s="417"/>
      <c r="BH201" s="382"/>
      <c r="BJ201" s="417"/>
      <c r="BK201" s="417"/>
      <c r="BN201" s="382"/>
      <c r="BP201" s="417"/>
      <c r="BQ201" s="417"/>
      <c r="BT201" s="382"/>
      <c r="BV201" s="417"/>
      <c r="BW201" s="417"/>
    </row>
    <row r="202" spans="1:97" ht="13">
      <c r="B202" s="422">
        <v>150</v>
      </c>
      <c r="C202" s="438">
        <v>0.78</v>
      </c>
      <c r="D202" s="370">
        <v>0.57999999999999996</v>
      </c>
      <c r="E202" s="438">
        <v>-0.25</v>
      </c>
      <c r="F202" s="370">
        <v>-0.13</v>
      </c>
      <c r="G202" s="370">
        <v>0.49</v>
      </c>
      <c r="H202" s="370">
        <v>0.47</v>
      </c>
      <c r="I202" s="370">
        <v>0.7</v>
      </c>
      <c r="J202" s="370">
        <v>0.68</v>
      </c>
      <c r="K202" s="370">
        <v>9.9999999999999995E-7</v>
      </c>
      <c r="L202" s="370">
        <v>0.06</v>
      </c>
      <c r="M202" s="370">
        <v>9.9999999999999995E-7</v>
      </c>
      <c r="N202" s="370">
        <v>-0.37</v>
      </c>
      <c r="O202" s="370">
        <v>-0.11</v>
      </c>
      <c r="P202" s="370">
        <f t="shared" si="330"/>
        <v>-1.7</v>
      </c>
      <c r="Q202" s="370">
        <v>0.3</v>
      </c>
      <c r="R202" s="370">
        <v>0.49</v>
      </c>
      <c r="S202" s="377"/>
      <c r="T202" s="422">
        <v>150</v>
      </c>
      <c r="U202" s="370">
        <v>0.77</v>
      </c>
      <c r="V202" s="370">
        <v>0.57999999999999996</v>
      </c>
      <c r="W202" s="370">
        <v>-0.24</v>
      </c>
      <c r="X202" s="370">
        <v>-0.23</v>
      </c>
      <c r="Y202" s="370">
        <v>0.47</v>
      </c>
      <c r="Z202" s="370">
        <v>0.48</v>
      </c>
      <c r="AA202" s="370">
        <v>0.69</v>
      </c>
      <c r="AB202" s="370">
        <v>0.68</v>
      </c>
      <c r="AC202" s="370">
        <v>-0.05</v>
      </c>
      <c r="AD202" s="370">
        <v>-0.04</v>
      </c>
      <c r="AE202" s="370">
        <v>-0.05</v>
      </c>
      <c r="AF202" s="370">
        <v>-0.1</v>
      </c>
      <c r="AG202" s="371">
        <v>7.0000000000000007E-2</v>
      </c>
      <c r="AH202" s="370">
        <f t="shared" si="331"/>
        <v>-1.7</v>
      </c>
      <c r="AI202" s="370">
        <v>0.3</v>
      </c>
      <c r="AJ202" s="370">
        <v>0.49</v>
      </c>
      <c r="AK202" s="377"/>
      <c r="AX202" s="417"/>
      <c r="AY202" s="417"/>
      <c r="BB202" s="382"/>
      <c r="BD202" s="417"/>
      <c r="BE202" s="417"/>
      <c r="BH202" s="382"/>
      <c r="BJ202" s="417"/>
      <c r="BK202" s="417"/>
      <c r="BN202" s="382"/>
      <c r="BP202" s="417"/>
      <c r="BQ202" s="417"/>
      <c r="BT202" s="382"/>
      <c r="BV202" s="417"/>
      <c r="BW202" s="417"/>
    </row>
    <row r="203" spans="1:97" ht="13">
      <c r="B203" s="422">
        <v>200</v>
      </c>
      <c r="C203" s="438">
        <v>-0.02</v>
      </c>
      <c r="D203" s="370">
        <v>0.19</v>
      </c>
      <c r="E203" s="438">
        <v>0.04</v>
      </c>
      <c r="F203" s="370">
        <v>-0.84</v>
      </c>
      <c r="G203" s="370">
        <v>0.75</v>
      </c>
      <c r="H203" s="370">
        <v>0.76</v>
      </c>
      <c r="I203" s="370">
        <v>0.91</v>
      </c>
      <c r="J203" s="370">
        <v>0.9</v>
      </c>
      <c r="K203" s="370">
        <v>-0.26</v>
      </c>
      <c r="L203" s="370">
        <v>0.09</v>
      </c>
      <c r="M203" s="370">
        <v>-0.26</v>
      </c>
      <c r="N203" s="370">
        <v>-0.74</v>
      </c>
      <c r="O203" s="370">
        <v>-1.08</v>
      </c>
      <c r="P203" s="370">
        <f t="shared" si="330"/>
        <v>-0.9</v>
      </c>
      <c r="Q203" s="370">
        <v>0.34</v>
      </c>
      <c r="R203" s="370">
        <v>-0.26</v>
      </c>
      <c r="S203" s="377"/>
      <c r="T203" s="422">
        <v>200</v>
      </c>
      <c r="U203" s="370">
        <v>0.06</v>
      </c>
      <c r="V203" s="370">
        <v>0.26</v>
      </c>
      <c r="W203" s="370">
        <v>0.03</v>
      </c>
      <c r="X203" s="370">
        <v>-1.1299999999999999</v>
      </c>
      <c r="Y203" s="370">
        <v>0.71</v>
      </c>
      <c r="Z203" s="370">
        <v>0.75</v>
      </c>
      <c r="AA203" s="370">
        <v>0.92</v>
      </c>
      <c r="AB203" s="370">
        <v>0.91</v>
      </c>
      <c r="AC203" s="370">
        <v>-0.28999999999999998</v>
      </c>
      <c r="AD203" s="370">
        <v>-0.26</v>
      </c>
      <c r="AE203" s="370">
        <v>-0.28999999999999998</v>
      </c>
      <c r="AF203" s="370">
        <v>-0.93</v>
      </c>
      <c r="AG203" s="371">
        <v>-1.1000000000000001</v>
      </c>
      <c r="AH203" s="370">
        <f t="shared" si="331"/>
        <v>-0.9</v>
      </c>
      <c r="AI203" s="370">
        <v>0.34</v>
      </c>
      <c r="AJ203" s="370">
        <v>-0.26</v>
      </c>
      <c r="AK203" s="377"/>
      <c r="AX203" s="417"/>
      <c r="AY203" s="417"/>
      <c r="BB203" s="382"/>
      <c r="BD203" s="417"/>
      <c r="BE203" s="417"/>
      <c r="BH203" s="382"/>
      <c r="BJ203" s="417"/>
      <c r="BK203" s="417"/>
      <c r="BN203" s="382"/>
      <c r="BP203" s="417"/>
      <c r="BQ203" s="417"/>
      <c r="BT203" s="382"/>
      <c r="BV203" s="417"/>
      <c r="BW203" s="417"/>
    </row>
    <row r="204" spans="1:97" s="773" customFormat="1" ht="13">
      <c r="A204" s="428"/>
      <c r="B204" s="422" t="s">
        <v>397</v>
      </c>
      <c r="C204" s="775">
        <v>0.34</v>
      </c>
      <c r="D204" s="775">
        <v>0.56000000000000005</v>
      </c>
      <c r="E204" s="716">
        <v>0.28000000000000003</v>
      </c>
      <c r="F204" s="716">
        <v>0.26</v>
      </c>
      <c r="G204" s="716">
        <v>0.27</v>
      </c>
      <c r="H204" s="716">
        <v>0.25</v>
      </c>
      <c r="I204" s="716">
        <v>0.25</v>
      </c>
      <c r="J204" s="716">
        <v>0.25</v>
      </c>
      <c r="K204" s="716">
        <v>0.79</v>
      </c>
      <c r="L204" s="716">
        <v>0.26</v>
      </c>
      <c r="M204" s="716">
        <v>0.79</v>
      </c>
      <c r="N204" s="716">
        <v>0.26</v>
      </c>
      <c r="O204" s="716">
        <v>0.25</v>
      </c>
      <c r="P204" s="716">
        <f t="shared" si="330"/>
        <v>0.6</v>
      </c>
      <c r="Q204" s="716">
        <v>0.22</v>
      </c>
      <c r="R204" s="716">
        <v>0.77</v>
      </c>
      <c r="S204" s="428"/>
      <c r="T204" s="422" t="s">
        <v>397</v>
      </c>
      <c r="U204" s="716">
        <v>0.34</v>
      </c>
      <c r="V204" s="716">
        <v>0.56000000000000005</v>
      </c>
      <c r="W204" s="716">
        <v>0.28000000000000003</v>
      </c>
      <c r="X204" s="716">
        <v>0.26</v>
      </c>
      <c r="Y204" s="716">
        <v>0.26</v>
      </c>
      <c r="Z204" s="716">
        <v>0.25</v>
      </c>
      <c r="AA204" s="716">
        <v>0.24</v>
      </c>
      <c r="AB204" s="716">
        <v>0.25</v>
      </c>
      <c r="AC204" s="716">
        <v>0.79</v>
      </c>
      <c r="AD204" s="716">
        <v>0.27</v>
      </c>
      <c r="AE204" s="716">
        <v>0.79</v>
      </c>
      <c r="AF204" s="716">
        <v>0.26</v>
      </c>
      <c r="AG204" s="716">
        <v>0.25</v>
      </c>
      <c r="AH204" s="716">
        <f t="shared" si="331"/>
        <v>0.6</v>
      </c>
      <c r="AI204" s="716">
        <v>0.22</v>
      </c>
      <c r="AJ204" s="716">
        <v>0.77</v>
      </c>
      <c r="AK204" s="428"/>
      <c r="AN204" s="426"/>
      <c r="AP204" s="774"/>
      <c r="AT204" s="426"/>
      <c r="AV204" s="774"/>
      <c r="AX204" s="426"/>
      <c r="AY204" s="426"/>
      <c r="AZ204" s="426"/>
      <c r="BD204" s="426"/>
      <c r="BE204" s="426"/>
      <c r="BF204" s="426"/>
      <c r="BJ204" s="426"/>
      <c r="BK204" s="426"/>
      <c r="BL204" s="426"/>
      <c r="BP204" s="426"/>
      <c r="BQ204" s="426"/>
      <c r="BR204" s="426"/>
      <c r="BV204" s="426"/>
      <c r="BW204" s="426"/>
      <c r="BX204" s="426"/>
      <c r="BZ204" s="774"/>
      <c r="CG204" s="428"/>
      <c r="CM204" s="428"/>
      <c r="CS204" s="428"/>
    </row>
    <row r="205" spans="1:97" s="377" customFormat="1">
      <c r="V205" s="378"/>
      <c r="W205" s="378"/>
      <c r="X205" s="378"/>
      <c r="Y205" s="378"/>
      <c r="Z205" s="378"/>
      <c r="AA205" s="378"/>
      <c r="AB205" s="378"/>
      <c r="AC205" s="378"/>
      <c r="AD205" s="378"/>
      <c r="AZ205" s="378"/>
      <c r="BF205" s="378"/>
      <c r="BL205" s="378"/>
      <c r="BR205" s="378"/>
      <c r="BX205" s="378"/>
    </row>
    <row r="206" spans="1:97" s="377" customFormat="1">
      <c r="V206" s="378"/>
      <c r="W206" s="378"/>
      <c r="X206" s="378"/>
      <c r="Y206" s="378"/>
      <c r="Z206" s="378"/>
      <c r="AA206" s="378"/>
      <c r="AB206" s="378"/>
      <c r="AC206" s="378"/>
      <c r="AD206" s="378"/>
      <c r="AZ206" s="378"/>
      <c r="BF206" s="378"/>
      <c r="BL206" s="378"/>
      <c r="BR206" s="378"/>
      <c r="BX206" s="378"/>
    </row>
    <row r="207" spans="1:97" ht="97.5" customHeight="1">
      <c r="B207" s="429" t="s">
        <v>392</v>
      </c>
      <c r="C207" s="431" t="str">
        <f>U190</f>
        <v>Thermocouple Data Logger, Merek : MADGETECH, Model : OctTemp 2000, SN : P40270</v>
      </c>
      <c r="D207" s="437" t="str">
        <f>V190</f>
        <v>Thermocouple Data Logger, Merek : MADGETECH, Model : OctTemp 2000, SN : P41878</v>
      </c>
      <c r="E207" s="431" t="str">
        <f>W190</f>
        <v>Mobile Corder, Merek : Yokogawa, Model : GP 10, SN : S5T810599</v>
      </c>
      <c r="F207" s="432" t="str">
        <f t="shared" ref="F207:R207" si="332">F190</f>
        <v>Wireless Temperature Recorder, Merek : HIOKI, Model : LR 8510, SN : 200936000</v>
      </c>
      <c r="G207" s="432" t="str">
        <f t="shared" si="332"/>
        <v>Wireless Temperature Recorder, Merek : HIOKI, Model : LR 8510, SN : 200936001</v>
      </c>
      <c r="H207" s="432" t="str">
        <f t="shared" si="332"/>
        <v>Wireless Temperature Recorder, Merek : HIOKI, Model : LR 8510, SN : 200821397</v>
      </c>
      <c r="I207" s="432" t="str">
        <f t="shared" si="332"/>
        <v>Wireless Temperature Recorder, Merek : HIOKI, Model : LR 8510, SN : 210411983</v>
      </c>
      <c r="J207" s="432" t="str">
        <f t="shared" si="332"/>
        <v>Wireless Temperature Recorder, Merek : HIOKI, Model : LR 8510, SN : 210411984</v>
      </c>
      <c r="K207" s="432" t="str">
        <f t="shared" si="332"/>
        <v>Wireless Temperature Recorder, Merek : HIOKI, Model : LR 8510, SN : 210411985</v>
      </c>
      <c r="L207" s="432" t="str">
        <f t="shared" si="332"/>
        <v>Wireless Temperature Recorder, Merek : HIOKI, Model : LR 8510, SN : 210746054</v>
      </c>
      <c r="M207" s="432" t="str">
        <f t="shared" si="332"/>
        <v>Wireless Temperature Recorder, Merek : HIOKI, Model : LR 8510, SN : 210746055</v>
      </c>
      <c r="N207" s="432" t="str">
        <f t="shared" si="332"/>
        <v>Wireless Temperature Recorder, Merek : HIOKI, Model : LR 8510, SN : 210746056</v>
      </c>
      <c r="O207" s="432" t="str">
        <f t="shared" si="332"/>
        <v>Wireless Temperature Recorder, Merek : HIOKI, Model : LR 8510, SN : 200821396</v>
      </c>
      <c r="P207" s="432" t="str">
        <f t="shared" si="332"/>
        <v>Reference Thermometer, Merek : APPA, Model : APPA51, SN : 03002948</v>
      </c>
      <c r="Q207" s="432" t="str">
        <f t="shared" si="332"/>
        <v>Reference Thermometer, Merek : FLUKE, Model : 1524, SN : 1803038</v>
      </c>
      <c r="R207" s="432" t="str">
        <f t="shared" si="332"/>
        <v>Reference Thermometer, Merek : FLUKE, Model : 1524, SN : 1803037</v>
      </c>
      <c r="S207" s="377"/>
      <c r="T207" s="429" t="s">
        <v>393</v>
      </c>
      <c r="U207" s="437" t="str">
        <f>C207</f>
        <v>Thermocouple Data Logger, Merek : MADGETECH, Model : OctTemp 2000, SN : P40270</v>
      </c>
      <c r="V207" s="437" t="str">
        <f>D207</f>
        <v>Thermocouple Data Logger, Merek : MADGETECH, Model : OctTemp 2000, SN : P41878</v>
      </c>
      <c r="W207" s="439" t="str">
        <f>E207</f>
        <v>Mobile Corder, Merek : Yokogawa, Model : GP 10, SN : S5T810599</v>
      </c>
      <c r="X207" s="437" t="str">
        <f t="shared" ref="X207:AJ207" si="333">X190</f>
        <v>Wireless Temperature Recorder, Merek : HIOKI, Model : LR 8510, SN : 200936000</v>
      </c>
      <c r="Y207" s="437" t="str">
        <f t="shared" si="333"/>
        <v>Wireless Temperature Recorder, Merek : HIOKI, Model : LR 8510, SN : 200936001</v>
      </c>
      <c r="Z207" s="437" t="str">
        <f t="shared" si="333"/>
        <v>Wireless Temperature Recorder, Merek : HIOKI, Model : LR 8510, SN : 200821397</v>
      </c>
      <c r="AA207" s="437" t="str">
        <f t="shared" si="333"/>
        <v>Wireless Temperature Recorder, Merek : HIOKI, Model : LR 8510, SN : 210411983</v>
      </c>
      <c r="AB207" s="437" t="str">
        <f t="shared" si="333"/>
        <v>Wireless Temperature Recorder, Merek : HIOKI, Model : LR 8510, SN : 210411984</v>
      </c>
      <c r="AC207" s="437" t="str">
        <f t="shared" si="333"/>
        <v>Wireless Temperature Recorder, Merek : HIOKI, Model : LR 8510, SN : 210411985</v>
      </c>
      <c r="AD207" s="437" t="str">
        <f t="shared" si="333"/>
        <v>Wireless Temperature Recorder, Merek : HIOKI, Model : LR 8510, SN : 210746054</v>
      </c>
      <c r="AE207" s="437" t="str">
        <f t="shared" si="333"/>
        <v>Wireless Temperature Recorder, Merek : HIOKI, Model : LR 8510, SN : 210746055</v>
      </c>
      <c r="AF207" s="437" t="str">
        <f t="shared" si="333"/>
        <v>Wireless Temperature Recorder, Merek : HIOKI, Model : LR 8510, SN : 210746056</v>
      </c>
      <c r="AG207" s="416" t="str">
        <f t="shared" si="333"/>
        <v>Wireless Temperature Recorder, Merek : HIOKI, Model : LR 8510, SN : 200821396</v>
      </c>
      <c r="AH207" s="416" t="str">
        <f t="shared" si="333"/>
        <v>Reference Thermometer, Merek : APPA, Model : APPA51, SN : 03002948</v>
      </c>
      <c r="AI207" s="416" t="str">
        <f t="shared" si="333"/>
        <v>Reference Thermometer, Merek : FLUKE, Model : 1524, SN : 1803038</v>
      </c>
      <c r="AJ207" s="416" t="str">
        <f t="shared" si="333"/>
        <v>Reference Thermometer, Merek : FLUKE, Model : 1524, SN : 1803037</v>
      </c>
      <c r="AK207" s="377"/>
      <c r="AX207" s="419"/>
      <c r="AY207" s="420"/>
      <c r="AZ207" s="421"/>
      <c r="BB207" s="382"/>
      <c r="BD207" s="419"/>
      <c r="BE207" s="420"/>
      <c r="BF207" s="421"/>
      <c r="BH207" s="382"/>
      <c r="BJ207" s="419"/>
      <c r="BK207" s="420"/>
      <c r="BL207" s="421"/>
      <c r="BN207" s="382"/>
      <c r="BP207" s="419"/>
      <c r="BQ207" s="420"/>
      <c r="BR207" s="421"/>
      <c r="BT207" s="382"/>
      <c r="BV207" s="419"/>
      <c r="BW207" s="420"/>
      <c r="BX207" s="421"/>
    </row>
    <row r="208" spans="1:97" s="676" customFormat="1" ht="6" customHeight="1">
      <c r="B208" s="688"/>
      <c r="C208" s="690"/>
      <c r="D208" s="694"/>
      <c r="E208" s="690"/>
      <c r="F208" s="691"/>
      <c r="G208" s="691"/>
      <c r="H208" s="691"/>
      <c r="I208" s="691"/>
      <c r="J208" s="691"/>
      <c r="K208" s="691"/>
      <c r="L208" s="691"/>
      <c r="M208" s="691"/>
      <c r="N208" s="691"/>
      <c r="O208" s="691"/>
      <c r="P208" s="680"/>
      <c r="Q208" s="680"/>
      <c r="R208" s="680"/>
      <c r="T208" s="688"/>
      <c r="U208" s="694"/>
      <c r="V208" s="694"/>
      <c r="W208" s="695"/>
      <c r="X208" s="694"/>
      <c r="Y208" s="694"/>
      <c r="Z208" s="694"/>
      <c r="AA208" s="694"/>
      <c r="AB208" s="694"/>
      <c r="AC208" s="694"/>
      <c r="AD208" s="694"/>
      <c r="AE208" s="694"/>
      <c r="AF208" s="694"/>
      <c r="AG208" s="682"/>
      <c r="AH208" s="680"/>
      <c r="AI208" s="680"/>
      <c r="AJ208" s="680"/>
      <c r="AN208" s="683"/>
      <c r="AP208" s="684"/>
      <c r="AT208" s="683"/>
      <c r="AV208" s="684"/>
      <c r="AX208" s="685"/>
      <c r="AY208" s="686"/>
      <c r="AZ208" s="687"/>
      <c r="BD208" s="685"/>
      <c r="BE208" s="686"/>
      <c r="BF208" s="687"/>
      <c r="BJ208" s="685"/>
      <c r="BK208" s="686"/>
      <c r="BL208" s="687"/>
      <c r="BP208" s="685"/>
      <c r="BQ208" s="686"/>
      <c r="BR208" s="687"/>
      <c r="BV208" s="685"/>
      <c r="BW208" s="686"/>
      <c r="BX208" s="687"/>
      <c r="BZ208" s="684"/>
    </row>
    <row r="209" spans="1:97" ht="13">
      <c r="B209" s="422">
        <v>-20</v>
      </c>
      <c r="C209" s="370">
        <v>-0.56999999999999995</v>
      </c>
      <c r="D209" s="370">
        <v>-0.49</v>
      </c>
      <c r="E209" s="370">
        <v>-0.36</v>
      </c>
      <c r="F209" s="370">
        <v>-1.33</v>
      </c>
      <c r="G209" s="370">
        <v>0.13</v>
      </c>
      <c r="H209" s="370">
        <v>0.16</v>
      </c>
      <c r="I209" s="370">
        <v>0.45</v>
      </c>
      <c r="J209" s="370">
        <v>0.37</v>
      </c>
      <c r="K209" s="370">
        <v>0.54</v>
      </c>
      <c r="L209" s="370">
        <v>-0.91</v>
      </c>
      <c r="M209" s="370">
        <v>0.54</v>
      </c>
      <c r="N209" s="370">
        <v>-1.3</v>
      </c>
      <c r="O209" s="370">
        <v>-1.34</v>
      </c>
      <c r="P209" s="370">
        <f>P192</f>
        <v>-1.1000000000000001</v>
      </c>
      <c r="Q209" s="370">
        <v>-0.15</v>
      </c>
      <c r="R209" s="370">
        <v>-1.8</v>
      </c>
      <c r="S209" s="377"/>
      <c r="T209" s="422">
        <v>-20</v>
      </c>
      <c r="U209" s="370">
        <v>-0.65</v>
      </c>
      <c r="V209" s="370">
        <v>-0.47</v>
      </c>
      <c r="W209" s="440">
        <v>-0.43</v>
      </c>
      <c r="X209" s="370">
        <v>-1.31</v>
      </c>
      <c r="Y209" s="370">
        <v>0.19</v>
      </c>
      <c r="Z209" s="370">
        <v>0.2</v>
      </c>
      <c r="AA209" s="370">
        <v>0.46</v>
      </c>
      <c r="AB209" s="370">
        <v>0.36</v>
      </c>
      <c r="AC209" s="370">
        <v>0.52</v>
      </c>
      <c r="AD209" s="370">
        <v>-0.95</v>
      </c>
      <c r="AE209" s="370">
        <v>0.52</v>
      </c>
      <c r="AF209" s="370">
        <v>-1.22</v>
      </c>
      <c r="AG209" s="371">
        <v>-1.36</v>
      </c>
      <c r="AH209" s="370">
        <f>AH192</f>
        <v>-1.1000000000000001</v>
      </c>
      <c r="AI209" s="370">
        <v>-0.15</v>
      </c>
      <c r="AJ209" s="370">
        <v>-1.8</v>
      </c>
      <c r="AK209" s="377"/>
      <c r="AX209" s="417"/>
      <c r="AY209" s="417"/>
      <c r="BB209" s="382"/>
      <c r="BD209" s="417"/>
      <c r="BE209" s="417"/>
      <c r="BH209" s="382"/>
      <c r="BJ209" s="417"/>
      <c r="BK209" s="417"/>
      <c r="BN209" s="382"/>
      <c r="BP209" s="417"/>
      <c r="BQ209" s="417"/>
      <c r="BT209" s="382"/>
      <c r="BV209" s="417"/>
      <c r="BW209" s="417"/>
    </row>
    <row r="210" spans="1:97" ht="13">
      <c r="B210" s="422">
        <v>-15</v>
      </c>
      <c r="C210" s="370">
        <v>-0.52</v>
      </c>
      <c r="D210" s="370">
        <v>-0.42</v>
      </c>
      <c r="E210" s="370">
        <v>-0.3</v>
      </c>
      <c r="F210" s="370">
        <v>-1.1000000000000001</v>
      </c>
      <c r="G210" s="370">
        <v>0.18</v>
      </c>
      <c r="H210" s="370">
        <v>0.2</v>
      </c>
      <c r="I210" s="370">
        <v>0.46</v>
      </c>
      <c r="J210" s="370">
        <v>0.39</v>
      </c>
      <c r="K210" s="370">
        <v>9.9999999999999995E-7</v>
      </c>
      <c r="L210" s="370">
        <v>-0.66</v>
      </c>
      <c r="M210" s="370">
        <v>9.9999999999999995E-7</v>
      </c>
      <c r="N210" s="370">
        <v>-1.05</v>
      </c>
      <c r="O210" s="370">
        <v>-1.05</v>
      </c>
      <c r="P210" s="370">
        <f t="shared" ref="P210:P221" si="334">P193</f>
        <v>-1.1000000000000001</v>
      </c>
      <c r="Q210" s="370">
        <v>-0.1</v>
      </c>
      <c r="R210" s="370">
        <v>-1.52</v>
      </c>
      <c r="S210" s="377"/>
      <c r="T210" s="422">
        <v>-15</v>
      </c>
      <c r="U210" s="370">
        <v>-0.56999999999999995</v>
      </c>
      <c r="V210" s="370">
        <v>-0.4</v>
      </c>
      <c r="W210" s="440">
        <v>-0.37</v>
      </c>
      <c r="X210" s="370">
        <v>-1.07</v>
      </c>
      <c r="Y210" s="370">
        <v>0.23</v>
      </c>
      <c r="Z210" s="370">
        <v>0.23</v>
      </c>
      <c r="AA210" s="370">
        <v>0.47</v>
      </c>
      <c r="AB210" s="370">
        <v>0.38</v>
      </c>
      <c r="AC210" s="370">
        <v>9.9999999999999995E-7</v>
      </c>
      <c r="AD210" s="370">
        <v>-0.69</v>
      </c>
      <c r="AE210" s="370">
        <v>9.9999999999999995E-7</v>
      </c>
      <c r="AF210" s="370">
        <v>-0.97</v>
      </c>
      <c r="AG210" s="371">
        <v>-1.0900000000000001</v>
      </c>
      <c r="AH210" s="370">
        <f t="shared" ref="AH210:AH221" si="335">AH193</f>
        <v>-1.1000000000000001</v>
      </c>
      <c r="AI210" s="370">
        <v>-0.1</v>
      </c>
      <c r="AJ210" s="370">
        <v>-1.52</v>
      </c>
      <c r="AK210" s="377"/>
      <c r="AX210" s="417"/>
      <c r="AY210" s="417"/>
      <c r="BB210" s="382"/>
      <c r="BD210" s="417"/>
      <c r="BE210" s="417"/>
      <c r="BH210" s="382"/>
      <c r="BJ210" s="417"/>
      <c r="BK210" s="417"/>
      <c r="BN210" s="382"/>
      <c r="BP210" s="417"/>
      <c r="BQ210" s="417"/>
      <c r="BT210" s="382"/>
      <c r="BV210" s="417"/>
      <c r="BW210" s="417"/>
    </row>
    <row r="211" spans="1:97" ht="13">
      <c r="B211" s="422">
        <v>-10</v>
      </c>
      <c r="C211" s="370">
        <v>-0.46</v>
      </c>
      <c r="D211" s="370">
        <v>-0.35</v>
      </c>
      <c r="E211" s="370">
        <v>-0.25</v>
      </c>
      <c r="F211" s="370">
        <v>-0.85</v>
      </c>
      <c r="G211" s="370">
        <v>0.21</v>
      </c>
      <c r="H211" s="370">
        <v>0.2</v>
      </c>
      <c r="I211" s="370">
        <v>0.47</v>
      </c>
      <c r="J211" s="370">
        <v>0.4</v>
      </c>
      <c r="K211" s="370">
        <v>0.52</v>
      </c>
      <c r="L211" s="370">
        <v>-0.47</v>
      </c>
      <c r="M211" s="370">
        <v>0.52</v>
      </c>
      <c r="N211" s="370">
        <v>-0.84</v>
      </c>
      <c r="O211" s="370">
        <v>-0.81</v>
      </c>
      <c r="P211" s="370">
        <f t="shared" si="334"/>
        <v>-1.2</v>
      </c>
      <c r="Q211" s="370">
        <v>-0.05</v>
      </c>
      <c r="R211" s="370">
        <v>-1.26</v>
      </c>
      <c r="S211" s="377"/>
      <c r="T211" s="422">
        <v>-10</v>
      </c>
      <c r="U211" s="370">
        <v>-0.5</v>
      </c>
      <c r="V211" s="370">
        <v>-0.34</v>
      </c>
      <c r="W211" s="440">
        <v>-0.31</v>
      </c>
      <c r="X211" s="370">
        <v>-0.82</v>
      </c>
      <c r="Y211" s="370">
        <v>0.26</v>
      </c>
      <c r="Z211" s="370">
        <v>0.25</v>
      </c>
      <c r="AA211" s="370">
        <v>0.48</v>
      </c>
      <c r="AB211" s="370">
        <v>0.4</v>
      </c>
      <c r="AC211" s="371">
        <v>0.5</v>
      </c>
      <c r="AD211" s="370">
        <v>-0.49</v>
      </c>
      <c r="AE211" s="370">
        <v>0.5</v>
      </c>
      <c r="AF211" s="370">
        <v>-0.77</v>
      </c>
      <c r="AG211" s="371">
        <v>-0.85</v>
      </c>
      <c r="AH211" s="370">
        <f t="shared" si="335"/>
        <v>-1.2</v>
      </c>
      <c r="AI211" s="370">
        <v>-0.05</v>
      </c>
      <c r="AJ211" s="370">
        <v>-1.26</v>
      </c>
      <c r="AK211" s="377"/>
      <c r="AX211" s="417"/>
      <c r="AY211" s="417"/>
      <c r="BB211" s="382"/>
      <c r="BD211" s="417"/>
      <c r="BE211" s="417"/>
      <c r="BH211" s="382"/>
      <c r="BJ211" s="417"/>
      <c r="BK211" s="417"/>
      <c r="BN211" s="382"/>
      <c r="BP211" s="417"/>
      <c r="BQ211" s="417"/>
      <c r="BT211" s="382"/>
      <c r="BV211" s="417"/>
      <c r="BW211" s="417"/>
    </row>
    <row r="212" spans="1:97" ht="13">
      <c r="B212" s="422">
        <v>9.9999999999999995E-7</v>
      </c>
      <c r="C212" s="370">
        <v>-0.33</v>
      </c>
      <c r="D212" s="370">
        <v>-0.22</v>
      </c>
      <c r="E212" s="370">
        <v>-0.16</v>
      </c>
      <c r="F212" s="370">
        <v>-0.28000000000000003</v>
      </c>
      <c r="G212" s="370">
        <v>0.18</v>
      </c>
      <c r="H212" s="370">
        <v>0.21</v>
      </c>
      <c r="I212" s="370">
        <v>0.44</v>
      </c>
      <c r="J212" s="370">
        <v>0.39</v>
      </c>
      <c r="K212" s="370">
        <v>0.5</v>
      </c>
      <c r="L212" s="370">
        <v>-0.25</v>
      </c>
      <c r="M212" s="370">
        <v>0.5</v>
      </c>
      <c r="N212" s="370">
        <v>-0.57999999999999996</v>
      </c>
      <c r="O212" s="370">
        <v>-0.46</v>
      </c>
      <c r="P212" s="370">
        <f t="shared" si="334"/>
        <v>-1.4</v>
      </c>
      <c r="Q212" s="370">
        <v>0.03</v>
      </c>
      <c r="R212" s="370">
        <v>-0.79</v>
      </c>
      <c r="S212" s="377"/>
      <c r="T212" s="422">
        <v>9.9999999999999995E-7</v>
      </c>
      <c r="U212" s="370">
        <v>-0.36</v>
      </c>
      <c r="V212" s="370">
        <v>-0.21</v>
      </c>
      <c r="W212" s="440">
        <v>-0.21</v>
      </c>
      <c r="X212" s="370">
        <v>-0.28999999999999998</v>
      </c>
      <c r="Y212" s="370">
        <v>0.22</v>
      </c>
      <c r="Z212" s="370">
        <v>0.21</v>
      </c>
      <c r="AA212" s="370">
        <v>0.46</v>
      </c>
      <c r="AB212" s="370">
        <v>0.39</v>
      </c>
      <c r="AC212" s="370">
        <v>0.48</v>
      </c>
      <c r="AD212" s="370">
        <v>-0.27</v>
      </c>
      <c r="AE212" s="370">
        <v>0.48</v>
      </c>
      <c r="AF212" s="370">
        <v>-0.56000000000000005</v>
      </c>
      <c r="AG212" s="371">
        <v>-0.5</v>
      </c>
      <c r="AH212" s="370">
        <f t="shared" si="335"/>
        <v>-1.4</v>
      </c>
      <c r="AI212" s="370">
        <v>0.03</v>
      </c>
      <c r="AJ212" s="370">
        <v>-0.79</v>
      </c>
      <c r="AK212" s="377"/>
      <c r="AX212" s="417"/>
      <c r="AY212" s="417"/>
      <c r="BB212" s="382"/>
      <c r="BD212" s="417"/>
      <c r="BE212" s="417"/>
      <c r="BH212" s="382"/>
      <c r="BJ212" s="417"/>
      <c r="BK212" s="417"/>
      <c r="BN212" s="382"/>
      <c r="BP212" s="417"/>
      <c r="BQ212" s="417"/>
      <c r="BT212" s="382"/>
      <c r="BV212" s="417"/>
      <c r="BW212" s="417"/>
    </row>
    <row r="213" spans="1:97" ht="13">
      <c r="B213" s="422">
        <v>2</v>
      </c>
      <c r="C213" s="370">
        <v>-0.3</v>
      </c>
      <c r="D213" s="370">
        <v>-0.19</v>
      </c>
      <c r="E213" s="370">
        <v>-0.15</v>
      </c>
      <c r="F213" s="370">
        <v>-0.49</v>
      </c>
      <c r="G213" s="370">
        <v>0.23</v>
      </c>
      <c r="H213" s="370">
        <v>0.23</v>
      </c>
      <c r="I213" s="370">
        <v>0.46</v>
      </c>
      <c r="J213" s="370">
        <v>0.4</v>
      </c>
      <c r="K213" s="370">
        <v>0.5</v>
      </c>
      <c r="L213" s="370">
        <v>-0.28000000000000003</v>
      </c>
      <c r="M213" s="370">
        <v>0.5</v>
      </c>
      <c r="N213" s="370">
        <v>-0.54</v>
      </c>
      <c r="O213" s="370">
        <v>-0.56000000000000005</v>
      </c>
      <c r="P213" s="370">
        <f t="shared" si="334"/>
        <v>0</v>
      </c>
      <c r="Q213" s="370">
        <v>0.04</v>
      </c>
      <c r="R213" s="370">
        <v>-0.7</v>
      </c>
      <c r="S213" s="377"/>
      <c r="T213" s="422">
        <v>2</v>
      </c>
      <c r="U213" s="370">
        <v>-0.33</v>
      </c>
      <c r="V213" s="370">
        <v>-0.19</v>
      </c>
      <c r="W213" s="440">
        <v>-0.2</v>
      </c>
      <c r="X213" s="370">
        <v>-0.51</v>
      </c>
      <c r="Y213" s="370">
        <v>0.27</v>
      </c>
      <c r="Z213" s="370">
        <v>0.25</v>
      </c>
      <c r="AA213" s="370">
        <v>0.48</v>
      </c>
      <c r="AB213" s="370">
        <v>0.4</v>
      </c>
      <c r="AC213" s="370">
        <v>0.48</v>
      </c>
      <c r="AD213" s="370">
        <v>-0.27</v>
      </c>
      <c r="AE213" s="370">
        <v>0.48</v>
      </c>
      <c r="AF213" s="370">
        <v>-0.51</v>
      </c>
      <c r="AG213" s="371">
        <v>-0.57999999999999996</v>
      </c>
      <c r="AH213" s="370">
        <f t="shared" si="335"/>
        <v>0</v>
      </c>
      <c r="AI213" s="370">
        <v>0.04</v>
      </c>
      <c r="AJ213" s="370">
        <v>-0.7</v>
      </c>
      <c r="AK213" s="377"/>
      <c r="AX213" s="417"/>
      <c r="AY213" s="417"/>
      <c r="BB213" s="382"/>
      <c r="BD213" s="417"/>
      <c r="BE213" s="417"/>
      <c r="BH213" s="382"/>
      <c r="BJ213" s="417"/>
      <c r="BK213" s="417"/>
      <c r="BN213" s="382"/>
      <c r="BP213" s="417"/>
      <c r="BQ213" s="417"/>
      <c r="BT213" s="382"/>
      <c r="BV213" s="417"/>
      <c r="BW213" s="417"/>
    </row>
    <row r="214" spans="1:97" ht="13">
      <c r="B214" s="422">
        <v>8</v>
      </c>
      <c r="C214" s="370">
        <v>-0.23</v>
      </c>
      <c r="D214" s="370">
        <v>-0.12</v>
      </c>
      <c r="E214" s="370">
        <v>-0.11</v>
      </c>
      <c r="F214" s="370">
        <v>-0.26</v>
      </c>
      <c r="G214" s="370">
        <v>0.22</v>
      </c>
      <c r="H214" s="370">
        <v>0.22</v>
      </c>
      <c r="I214" s="370">
        <v>0.46</v>
      </c>
      <c r="J214" s="370">
        <v>0.38</v>
      </c>
      <c r="K214" s="370">
        <v>0.48</v>
      </c>
      <c r="L214" s="370">
        <v>-0.04</v>
      </c>
      <c r="M214" s="370">
        <v>0.48</v>
      </c>
      <c r="N214" s="370">
        <v>-0.3</v>
      </c>
      <c r="O214" s="370">
        <v>-0.28999999999999998</v>
      </c>
      <c r="P214" s="370">
        <f t="shared" si="334"/>
        <v>0</v>
      </c>
      <c r="Q214" s="370">
        <v>0.08</v>
      </c>
      <c r="R214" s="370">
        <v>-0.46</v>
      </c>
      <c r="S214" s="377"/>
      <c r="T214" s="422">
        <v>8</v>
      </c>
      <c r="U214" s="370">
        <v>-0.24</v>
      </c>
      <c r="V214" s="370">
        <v>-0.12</v>
      </c>
      <c r="W214" s="440">
        <v>-0.16</v>
      </c>
      <c r="X214" s="370">
        <v>-0.26</v>
      </c>
      <c r="Y214" s="370">
        <v>0.25</v>
      </c>
      <c r="Z214" s="370">
        <v>0.24</v>
      </c>
      <c r="AA214" s="370">
        <v>0.48</v>
      </c>
      <c r="AB214" s="370">
        <v>0.38</v>
      </c>
      <c r="AC214" s="371">
        <v>0.46</v>
      </c>
      <c r="AD214" s="370">
        <v>-0.03</v>
      </c>
      <c r="AE214" s="370">
        <v>0.46</v>
      </c>
      <c r="AF214" s="370">
        <v>-0.26</v>
      </c>
      <c r="AG214" s="371">
        <v>-0.3</v>
      </c>
      <c r="AH214" s="370">
        <f t="shared" si="335"/>
        <v>0</v>
      </c>
      <c r="AI214" s="370">
        <v>0.08</v>
      </c>
      <c r="AJ214" s="370">
        <v>-0.46</v>
      </c>
      <c r="AK214" s="377"/>
      <c r="AX214" s="417"/>
      <c r="AY214" s="417"/>
      <c r="BB214" s="382"/>
      <c r="BD214" s="417"/>
      <c r="BE214" s="417"/>
      <c r="BH214" s="382"/>
      <c r="BJ214" s="417"/>
      <c r="BK214" s="417"/>
      <c r="BN214" s="382"/>
      <c r="BP214" s="417"/>
      <c r="BQ214" s="417"/>
      <c r="BT214" s="382"/>
      <c r="BV214" s="417"/>
      <c r="BW214" s="417"/>
    </row>
    <row r="215" spans="1:97" ht="13">
      <c r="B215" s="422">
        <v>37</v>
      </c>
      <c r="C215" s="370">
        <v>0.15</v>
      </c>
      <c r="D215" s="370">
        <v>0.2</v>
      </c>
      <c r="E215" s="370">
        <v>-0.04</v>
      </c>
      <c r="F215" s="370">
        <v>0.55000000000000004</v>
      </c>
      <c r="G215" s="370">
        <v>0.19</v>
      </c>
      <c r="H215" s="370">
        <v>0.21</v>
      </c>
      <c r="I215" s="370">
        <v>0.46</v>
      </c>
      <c r="J215" s="370">
        <v>0.33</v>
      </c>
      <c r="K215" s="370">
        <v>0.41</v>
      </c>
      <c r="L215" s="370">
        <v>0.7</v>
      </c>
      <c r="M215" s="370">
        <v>0.41</v>
      </c>
      <c r="N215" s="370">
        <v>0.5</v>
      </c>
      <c r="O215" s="370">
        <v>0.6</v>
      </c>
      <c r="P215" s="370">
        <f t="shared" si="334"/>
        <v>0</v>
      </c>
      <c r="Q215" s="370">
        <v>0.23</v>
      </c>
      <c r="R215" s="370">
        <v>0.42</v>
      </c>
      <c r="S215" s="377"/>
      <c r="T215" s="422">
        <v>37</v>
      </c>
      <c r="U215" s="370">
        <v>0.16</v>
      </c>
      <c r="V215" s="370">
        <v>0.19</v>
      </c>
      <c r="W215" s="440">
        <v>-0.05</v>
      </c>
      <c r="X215" s="370">
        <v>0.57999999999999996</v>
      </c>
      <c r="Y215" s="370">
        <v>0.22</v>
      </c>
      <c r="Z215" s="370">
        <v>0.23</v>
      </c>
      <c r="AA215" s="370">
        <v>0.47</v>
      </c>
      <c r="AB215" s="370">
        <v>0.33</v>
      </c>
      <c r="AC215" s="370">
        <v>0.39</v>
      </c>
      <c r="AD215" s="370">
        <v>0.72</v>
      </c>
      <c r="AE215" s="370">
        <v>0.39</v>
      </c>
      <c r="AF215" s="370">
        <v>0.49</v>
      </c>
      <c r="AG215" s="371">
        <v>0.61</v>
      </c>
      <c r="AH215" s="370">
        <f t="shared" si="335"/>
        <v>0</v>
      </c>
      <c r="AI215" s="370">
        <v>0.23</v>
      </c>
      <c r="AJ215" s="370">
        <v>0.42</v>
      </c>
      <c r="AK215" s="377"/>
      <c r="AX215" s="417"/>
      <c r="AY215" s="417"/>
      <c r="BB215" s="382"/>
      <c r="BD215" s="417"/>
      <c r="BE215" s="417"/>
      <c r="BH215" s="382"/>
      <c r="BJ215" s="417"/>
      <c r="BK215" s="417"/>
      <c r="BN215" s="382"/>
      <c r="BP215" s="417"/>
      <c r="BQ215" s="417"/>
      <c r="BT215" s="382"/>
      <c r="BV215" s="417"/>
      <c r="BW215" s="417"/>
    </row>
    <row r="216" spans="1:97" ht="13">
      <c r="B216" s="422">
        <v>44</v>
      </c>
      <c r="C216" s="370">
        <v>0.24</v>
      </c>
      <c r="D216" s="370">
        <v>0.26</v>
      </c>
      <c r="E216" s="370">
        <v>-0.04</v>
      </c>
      <c r="F216" s="370">
        <v>0.67</v>
      </c>
      <c r="G216" s="370">
        <v>0.2</v>
      </c>
      <c r="H216" s="370">
        <v>0.21</v>
      </c>
      <c r="I216" s="370">
        <v>0.47</v>
      </c>
      <c r="J216" s="370">
        <v>0.33</v>
      </c>
      <c r="K216" s="370">
        <v>0.39</v>
      </c>
      <c r="L216" s="370">
        <v>0.79</v>
      </c>
      <c r="M216" s="370">
        <v>0.39</v>
      </c>
      <c r="N216" s="370">
        <v>0.61</v>
      </c>
      <c r="O216" s="370">
        <v>0.72</v>
      </c>
      <c r="P216" s="370">
        <f t="shared" si="334"/>
        <v>0</v>
      </c>
      <c r="Q216" s="370">
        <v>0.25</v>
      </c>
      <c r="R216" s="370">
        <v>0.56999999999999995</v>
      </c>
      <c r="S216" s="377"/>
      <c r="T216" s="422">
        <v>44</v>
      </c>
      <c r="U216" s="370">
        <v>0.25</v>
      </c>
      <c r="V216" s="370">
        <v>0.26</v>
      </c>
      <c r="W216" s="440">
        <v>-0.04</v>
      </c>
      <c r="X216" s="370">
        <v>0.7</v>
      </c>
      <c r="Y216" s="370">
        <v>0.21</v>
      </c>
      <c r="Z216" s="370">
        <v>0.23</v>
      </c>
      <c r="AA216" s="370">
        <v>0.48</v>
      </c>
      <c r="AB216" s="370">
        <v>0.33</v>
      </c>
      <c r="AC216" s="370">
        <v>0.37</v>
      </c>
      <c r="AD216" s="370">
        <v>0.82</v>
      </c>
      <c r="AE216" s="370">
        <v>0.37</v>
      </c>
      <c r="AF216" s="370">
        <v>0.56999999999999995</v>
      </c>
      <c r="AG216" s="371">
        <v>0.73</v>
      </c>
      <c r="AH216" s="370">
        <f t="shared" si="335"/>
        <v>0</v>
      </c>
      <c r="AI216" s="370">
        <v>0.25</v>
      </c>
      <c r="AJ216" s="370">
        <v>0.56999999999999995</v>
      </c>
      <c r="AK216" s="377"/>
      <c r="AX216" s="417"/>
      <c r="AY216" s="417"/>
      <c r="BB216" s="382"/>
      <c r="BD216" s="417"/>
      <c r="BE216" s="417"/>
      <c r="BH216" s="382"/>
      <c r="BJ216" s="417"/>
      <c r="BK216" s="417"/>
      <c r="BN216" s="382"/>
      <c r="BP216" s="417"/>
      <c r="BQ216" s="417"/>
      <c r="BT216" s="382"/>
      <c r="BV216" s="417"/>
      <c r="BW216" s="417"/>
    </row>
    <row r="217" spans="1:97" ht="13">
      <c r="B217" s="422">
        <v>50</v>
      </c>
      <c r="C217" s="370">
        <v>0.31</v>
      </c>
      <c r="D217" s="370">
        <v>0.31</v>
      </c>
      <c r="E217" s="370">
        <v>-0.05</v>
      </c>
      <c r="F217" s="370">
        <v>0.75</v>
      </c>
      <c r="G217" s="370">
        <v>0.2</v>
      </c>
      <c r="H217" s="370">
        <v>0.22</v>
      </c>
      <c r="I217" s="370">
        <v>0.47</v>
      </c>
      <c r="J217" s="370">
        <v>0.33</v>
      </c>
      <c r="K217" s="370">
        <v>0.37</v>
      </c>
      <c r="L217" s="370">
        <v>0.84</v>
      </c>
      <c r="M217" s="370">
        <v>0.37</v>
      </c>
      <c r="N217" s="370">
        <v>0.68</v>
      </c>
      <c r="O217" s="370">
        <v>0.8</v>
      </c>
      <c r="P217" s="370">
        <f t="shared" si="334"/>
        <v>-1</v>
      </c>
      <c r="Q217" s="370">
        <v>0.27</v>
      </c>
      <c r="R217" s="370">
        <v>0.67</v>
      </c>
      <c r="S217" s="377"/>
      <c r="T217" s="422">
        <v>50</v>
      </c>
      <c r="U217" s="370">
        <v>0.32</v>
      </c>
      <c r="V217" s="370">
        <v>0.31</v>
      </c>
      <c r="W217" s="440">
        <v>-0.05</v>
      </c>
      <c r="X217" s="370">
        <v>0.79</v>
      </c>
      <c r="Y217" s="370">
        <v>0.21</v>
      </c>
      <c r="Z217" s="370">
        <v>0.23</v>
      </c>
      <c r="AA217" s="370">
        <v>0.48</v>
      </c>
      <c r="AB217" s="370">
        <v>0.34</v>
      </c>
      <c r="AC217" s="370">
        <v>0.35</v>
      </c>
      <c r="AD217" s="370">
        <v>0.87</v>
      </c>
      <c r="AE217" s="370">
        <v>0.35</v>
      </c>
      <c r="AF217" s="370">
        <v>0.62</v>
      </c>
      <c r="AG217" s="371">
        <v>0.81</v>
      </c>
      <c r="AH217" s="370">
        <f t="shared" si="335"/>
        <v>-1</v>
      </c>
      <c r="AI217" s="370">
        <v>0.27</v>
      </c>
      <c r="AJ217" s="370">
        <v>0.67</v>
      </c>
      <c r="AK217" s="377"/>
      <c r="AX217" s="417"/>
      <c r="AY217" s="417"/>
      <c r="BB217" s="382"/>
      <c r="BD217" s="417"/>
      <c r="BE217" s="417"/>
      <c r="BH217" s="382"/>
      <c r="BJ217" s="417"/>
      <c r="BK217" s="417"/>
      <c r="BN217" s="382"/>
      <c r="BP217" s="417"/>
      <c r="BQ217" s="417"/>
      <c r="BT217" s="382"/>
      <c r="BV217" s="417"/>
      <c r="BW217" s="417"/>
    </row>
    <row r="218" spans="1:97" ht="13">
      <c r="B218" s="422">
        <v>100</v>
      </c>
      <c r="C218" s="370">
        <v>0.77</v>
      </c>
      <c r="D218" s="370">
        <v>0.56999999999999995</v>
      </c>
      <c r="E218" s="370">
        <v>-0.19</v>
      </c>
      <c r="F218" s="370">
        <v>0.79</v>
      </c>
      <c r="G218" s="370">
        <v>0.28999999999999998</v>
      </c>
      <c r="H218" s="370">
        <v>0.32</v>
      </c>
      <c r="I218" s="370">
        <v>0.57999999999999996</v>
      </c>
      <c r="J218" s="370">
        <v>0.42</v>
      </c>
      <c r="K218" s="370">
        <v>0.2</v>
      </c>
      <c r="L218" s="370">
        <v>0.6</v>
      </c>
      <c r="M218" s="370">
        <v>0.2</v>
      </c>
      <c r="N218" s="370">
        <v>0.63</v>
      </c>
      <c r="O218" s="370">
        <v>0.68</v>
      </c>
      <c r="P218" s="370">
        <f t="shared" si="334"/>
        <v>-1.6</v>
      </c>
      <c r="Q218" s="370">
        <v>0.31</v>
      </c>
      <c r="R218" s="370">
        <v>0.95</v>
      </c>
      <c r="S218" s="377"/>
      <c r="T218" s="422">
        <v>100</v>
      </c>
      <c r="U218" s="370">
        <v>0.75</v>
      </c>
      <c r="V218" s="370">
        <v>0.61</v>
      </c>
      <c r="W218" s="440">
        <v>-0.17</v>
      </c>
      <c r="X218" s="370">
        <v>0.82</v>
      </c>
      <c r="Y218" s="370">
        <v>0.28000000000000003</v>
      </c>
      <c r="Z218" s="370">
        <v>0.33</v>
      </c>
      <c r="AA218" s="370">
        <v>0.57999999999999996</v>
      </c>
      <c r="AB218" s="370">
        <v>0.43</v>
      </c>
      <c r="AC218" s="370">
        <v>0.19</v>
      </c>
      <c r="AD218" s="370">
        <v>0.71</v>
      </c>
      <c r="AE218" s="370">
        <v>0.19</v>
      </c>
      <c r="AF218" s="370">
        <v>0.31</v>
      </c>
      <c r="AG218" s="371">
        <v>0.66</v>
      </c>
      <c r="AH218" s="370">
        <f t="shared" si="335"/>
        <v>-1.6</v>
      </c>
      <c r="AI218" s="370">
        <v>0.31</v>
      </c>
      <c r="AJ218" s="370">
        <v>0.95</v>
      </c>
      <c r="AK218" s="377"/>
      <c r="AX218" s="417"/>
      <c r="AY218" s="417"/>
      <c r="BB218" s="382"/>
      <c r="BD218" s="417"/>
      <c r="BE218" s="417"/>
      <c r="BH218" s="382"/>
      <c r="BJ218" s="417"/>
      <c r="BK218" s="417"/>
      <c r="BN218" s="382"/>
      <c r="BP218" s="417"/>
      <c r="BQ218" s="417"/>
      <c r="BT218" s="382"/>
      <c r="BV218" s="417"/>
      <c r="BW218" s="417"/>
    </row>
    <row r="219" spans="1:97" ht="13">
      <c r="B219" s="422">
        <v>150</v>
      </c>
      <c r="C219" s="370">
        <v>0.77</v>
      </c>
      <c r="D219" s="370">
        <v>0.55000000000000004</v>
      </c>
      <c r="E219" s="370">
        <v>-0.27</v>
      </c>
      <c r="F219" s="370">
        <v>0.06</v>
      </c>
      <c r="G219" s="370">
        <v>0.47</v>
      </c>
      <c r="H219" s="370">
        <v>0.52</v>
      </c>
      <c r="I219" s="370">
        <v>0.76</v>
      </c>
      <c r="J219" s="370">
        <v>0.62</v>
      </c>
      <c r="K219" s="370">
        <v>-0.02</v>
      </c>
      <c r="L219" s="370">
        <v>-0.1</v>
      </c>
      <c r="M219" s="370">
        <v>-0.02</v>
      </c>
      <c r="N219" s="370">
        <v>-7.0000000000000007E-2</v>
      </c>
      <c r="O219" s="370">
        <v>-0.3</v>
      </c>
      <c r="P219" s="370">
        <f t="shared" si="334"/>
        <v>-1.7</v>
      </c>
      <c r="Q219" s="370">
        <v>0.3</v>
      </c>
      <c r="R219" s="370">
        <v>0.49</v>
      </c>
      <c r="S219" s="377"/>
      <c r="T219" s="422">
        <v>150</v>
      </c>
      <c r="U219" s="370">
        <v>0.71</v>
      </c>
      <c r="V219" s="370">
        <v>0.56999999999999995</v>
      </c>
      <c r="W219" s="440">
        <v>-0.26</v>
      </c>
      <c r="X219" s="370">
        <v>0.09</v>
      </c>
      <c r="Y219" s="370">
        <v>0.44</v>
      </c>
      <c r="Z219" s="370">
        <v>0.51</v>
      </c>
      <c r="AA219" s="370">
        <v>0.74</v>
      </c>
      <c r="AB219" s="370">
        <v>0.62</v>
      </c>
      <c r="AC219" s="370">
        <v>-0.02</v>
      </c>
      <c r="AD219" s="370">
        <v>0.09</v>
      </c>
      <c r="AE219" s="370">
        <v>-0.02</v>
      </c>
      <c r="AF219" s="370">
        <v>-0.56999999999999995</v>
      </c>
      <c r="AG219" s="371">
        <v>-0.22</v>
      </c>
      <c r="AH219" s="370">
        <f t="shared" si="335"/>
        <v>-1.7</v>
      </c>
      <c r="AI219" s="370">
        <v>0.3</v>
      </c>
      <c r="AJ219" s="370">
        <v>0.49</v>
      </c>
      <c r="AK219" s="377"/>
      <c r="AX219" s="417"/>
      <c r="AY219" s="417"/>
      <c r="BB219" s="382"/>
      <c r="BD219" s="417"/>
      <c r="BE219" s="417"/>
      <c r="BH219" s="382"/>
      <c r="BJ219" s="417"/>
      <c r="BK219" s="417"/>
      <c r="BN219" s="382"/>
      <c r="BP219" s="417"/>
      <c r="BQ219" s="417"/>
      <c r="BT219" s="382"/>
      <c r="BV219" s="417"/>
      <c r="BW219" s="417"/>
    </row>
    <row r="220" spans="1:97" ht="13">
      <c r="B220" s="422">
        <v>200</v>
      </c>
      <c r="C220" s="370">
        <v>0.02</v>
      </c>
      <c r="D220" s="370">
        <v>0.24</v>
      </c>
      <c r="E220" s="370">
        <v>0.04</v>
      </c>
      <c r="F220" s="370">
        <v>-0.9</v>
      </c>
      <c r="G220" s="370">
        <v>0.7</v>
      </c>
      <c r="H220" s="370">
        <v>0.76</v>
      </c>
      <c r="I220" s="370">
        <v>0.98</v>
      </c>
      <c r="J220" s="370">
        <v>0.83</v>
      </c>
      <c r="K220" s="370">
        <v>-0.28000000000000003</v>
      </c>
      <c r="L220" s="370">
        <v>-0.31</v>
      </c>
      <c r="M220" s="370">
        <v>-0.28000000000000003</v>
      </c>
      <c r="N220" s="370">
        <v>-0.74</v>
      </c>
      <c r="O220" s="370">
        <v>-1.43</v>
      </c>
      <c r="P220" s="370">
        <f t="shared" si="334"/>
        <v>-0.9</v>
      </c>
      <c r="Q220" s="370">
        <v>0.34</v>
      </c>
      <c r="R220" s="370">
        <v>-0.26</v>
      </c>
      <c r="S220" s="377"/>
      <c r="T220" s="422">
        <v>200</v>
      </c>
      <c r="U220" s="370">
        <v>-0.06</v>
      </c>
      <c r="V220" s="370">
        <v>0.11</v>
      </c>
      <c r="W220" s="440">
        <v>-0.03</v>
      </c>
      <c r="X220" s="370">
        <v>-0.86</v>
      </c>
      <c r="Y220" s="370">
        <v>0.67</v>
      </c>
      <c r="Z220" s="370">
        <v>0.76</v>
      </c>
      <c r="AA220" s="370">
        <v>0.96</v>
      </c>
      <c r="AB220" s="370">
        <v>0.82</v>
      </c>
      <c r="AC220" s="370">
        <v>-0.26</v>
      </c>
      <c r="AD220" s="370">
        <v>-0.06</v>
      </c>
      <c r="AE220" s="370">
        <v>-0.26</v>
      </c>
      <c r="AF220" s="370">
        <v>-1.06</v>
      </c>
      <c r="AG220" s="371">
        <v>-0.93</v>
      </c>
      <c r="AH220" s="370">
        <f t="shared" si="335"/>
        <v>-0.9</v>
      </c>
      <c r="AI220" s="370">
        <v>0.34</v>
      </c>
      <c r="AJ220" s="370">
        <v>-0.26</v>
      </c>
      <c r="AK220" s="377"/>
      <c r="AX220" s="417"/>
      <c r="AY220" s="417"/>
      <c r="BB220" s="382"/>
      <c r="BD220" s="417"/>
      <c r="BE220" s="417"/>
      <c r="BH220" s="382"/>
      <c r="BJ220" s="417"/>
      <c r="BK220" s="417"/>
      <c r="BN220" s="382"/>
      <c r="BP220" s="417"/>
      <c r="BQ220" s="417"/>
      <c r="BT220" s="382"/>
      <c r="BV220" s="417"/>
      <c r="BW220" s="417"/>
    </row>
    <row r="221" spans="1:97" s="773" customFormat="1" ht="13">
      <c r="A221" s="428"/>
      <c r="B221" s="422" t="s">
        <v>397</v>
      </c>
      <c r="C221" s="716">
        <v>0.34</v>
      </c>
      <c r="D221" s="716">
        <v>0.56000000000000005</v>
      </c>
      <c r="E221" s="716">
        <v>0.28000000000000003</v>
      </c>
      <c r="F221" s="716">
        <v>0.25</v>
      </c>
      <c r="G221" s="716">
        <v>0.26</v>
      </c>
      <c r="H221" s="716">
        <v>0.26</v>
      </c>
      <c r="I221" s="716">
        <v>0.25</v>
      </c>
      <c r="J221" s="716">
        <v>0.25</v>
      </c>
      <c r="K221" s="716">
        <v>0.79</v>
      </c>
      <c r="L221" s="716">
        <v>0.27</v>
      </c>
      <c r="M221" s="716">
        <v>0.79</v>
      </c>
      <c r="N221" s="716">
        <v>0.26</v>
      </c>
      <c r="O221" s="716">
        <v>0.27</v>
      </c>
      <c r="P221" s="716">
        <f t="shared" si="334"/>
        <v>0.6</v>
      </c>
      <c r="Q221" s="716">
        <v>0.22</v>
      </c>
      <c r="R221" s="716">
        <v>0.77</v>
      </c>
      <c r="S221" s="428"/>
      <c r="T221" s="422" t="s">
        <v>397</v>
      </c>
      <c r="U221" s="716">
        <v>0.34</v>
      </c>
      <c r="V221" s="716">
        <v>0.56000000000000005</v>
      </c>
      <c r="W221" s="776">
        <v>0.28000000000000003</v>
      </c>
      <c r="X221" s="716">
        <v>0.26</v>
      </c>
      <c r="Y221" s="716">
        <v>0.26</v>
      </c>
      <c r="Z221" s="716">
        <v>0.26</v>
      </c>
      <c r="AA221" s="716">
        <v>0.25</v>
      </c>
      <c r="AB221" s="716">
        <v>0.25</v>
      </c>
      <c r="AC221" s="716">
        <v>0.79</v>
      </c>
      <c r="AD221" s="716">
        <v>0.27</v>
      </c>
      <c r="AE221" s="716">
        <v>0.79</v>
      </c>
      <c r="AF221" s="716">
        <v>0.26</v>
      </c>
      <c r="AG221" s="716">
        <v>0.28000000000000003</v>
      </c>
      <c r="AH221" s="716">
        <f t="shared" si="335"/>
        <v>0.6</v>
      </c>
      <c r="AI221" s="716">
        <v>0.22</v>
      </c>
      <c r="AJ221" s="716">
        <v>0.77</v>
      </c>
      <c r="AK221" s="428"/>
      <c r="AN221" s="426"/>
      <c r="AP221" s="774"/>
      <c r="AT221" s="426"/>
      <c r="AV221" s="774"/>
      <c r="AX221" s="426"/>
      <c r="AY221" s="426"/>
      <c r="AZ221" s="426"/>
      <c r="BD221" s="426"/>
      <c r="BE221" s="426"/>
      <c r="BF221" s="426"/>
      <c r="BJ221" s="426"/>
      <c r="BK221" s="426"/>
      <c r="BL221" s="426"/>
      <c r="BP221" s="426"/>
      <c r="BQ221" s="426"/>
      <c r="BR221" s="426"/>
      <c r="BV221" s="426"/>
      <c r="BW221" s="426"/>
      <c r="BX221" s="426"/>
      <c r="BZ221" s="774"/>
      <c r="CG221" s="428"/>
      <c r="CM221" s="428"/>
      <c r="CS221" s="428"/>
    </row>
    <row r="222" spans="1:97" s="377" customFormat="1"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8"/>
      <c r="N222" s="378"/>
      <c r="O222" s="378"/>
      <c r="P222" s="378"/>
      <c r="Q222" s="378"/>
      <c r="T222" s="378"/>
      <c r="U222" s="378"/>
      <c r="V222" s="378"/>
      <c r="W222" s="378"/>
      <c r="X222" s="378"/>
      <c r="Y222" s="378"/>
      <c r="Z222" s="378"/>
      <c r="AA222" s="378"/>
      <c r="AB222" s="378"/>
      <c r="AC222" s="378"/>
      <c r="AD222" s="378"/>
      <c r="AE222" s="378"/>
      <c r="AF222" s="378"/>
      <c r="AG222" s="378"/>
      <c r="AI222" s="379"/>
      <c r="AZ222" s="378"/>
      <c r="BB222" s="379"/>
      <c r="BF222" s="378"/>
      <c r="BH222" s="379"/>
      <c r="BL222" s="378"/>
      <c r="BN222" s="379"/>
      <c r="BR222" s="378"/>
      <c r="BT222" s="379"/>
      <c r="BX222" s="378"/>
      <c r="BZ222" s="379"/>
    </row>
    <row r="223" spans="1:97" ht="97.5" customHeight="1">
      <c r="B223" s="441" t="s">
        <v>394</v>
      </c>
      <c r="C223" s="430" t="str">
        <f t="shared" ref="C223:R223" si="336">C207</f>
        <v>Thermocouple Data Logger, Merek : MADGETECH, Model : OctTemp 2000, SN : P40270</v>
      </c>
      <c r="D223" s="430" t="str">
        <f t="shared" si="336"/>
        <v>Thermocouple Data Logger, Merek : MADGETECH, Model : OctTemp 2000, SN : P41878</v>
      </c>
      <c r="E223" s="430" t="str">
        <f t="shared" si="336"/>
        <v>Mobile Corder, Merek : Yokogawa, Model : GP 10, SN : S5T810599</v>
      </c>
      <c r="F223" s="430" t="str">
        <f t="shared" si="336"/>
        <v>Wireless Temperature Recorder, Merek : HIOKI, Model : LR 8510, SN : 200936000</v>
      </c>
      <c r="G223" s="430" t="str">
        <f t="shared" si="336"/>
        <v>Wireless Temperature Recorder, Merek : HIOKI, Model : LR 8510, SN : 200936001</v>
      </c>
      <c r="H223" s="430" t="str">
        <f t="shared" si="336"/>
        <v>Wireless Temperature Recorder, Merek : HIOKI, Model : LR 8510, SN : 200821397</v>
      </c>
      <c r="I223" s="430" t="str">
        <f t="shared" si="336"/>
        <v>Wireless Temperature Recorder, Merek : HIOKI, Model : LR 8510, SN : 210411983</v>
      </c>
      <c r="J223" s="430" t="str">
        <f t="shared" si="336"/>
        <v>Wireless Temperature Recorder, Merek : HIOKI, Model : LR 8510, SN : 210411984</v>
      </c>
      <c r="K223" s="430" t="str">
        <f t="shared" si="336"/>
        <v>Wireless Temperature Recorder, Merek : HIOKI, Model : LR 8510, SN : 210411985</v>
      </c>
      <c r="L223" s="430" t="str">
        <f t="shared" si="336"/>
        <v>Wireless Temperature Recorder, Merek : HIOKI, Model : LR 8510, SN : 210746054</v>
      </c>
      <c r="M223" s="430" t="str">
        <f t="shared" si="336"/>
        <v>Wireless Temperature Recorder, Merek : HIOKI, Model : LR 8510, SN : 210746055</v>
      </c>
      <c r="N223" s="430" t="str">
        <f t="shared" si="336"/>
        <v>Wireless Temperature Recorder, Merek : HIOKI, Model : LR 8510, SN : 210746056</v>
      </c>
      <c r="O223" s="416" t="str">
        <f t="shared" si="336"/>
        <v>Wireless Temperature Recorder, Merek : HIOKI, Model : LR 8510, SN : 200821396</v>
      </c>
      <c r="P223" s="416" t="str">
        <f t="shared" si="336"/>
        <v>Reference Thermometer, Merek : APPA, Model : APPA51, SN : 03002948</v>
      </c>
      <c r="Q223" s="416" t="str">
        <f t="shared" si="336"/>
        <v>Reference Thermometer, Merek : FLUKE, Model : 1524, SN : 1803038</v>
      </c>
      <c r="R223" s="416" t="str">
        <f t="shared" si="336"/>
        <v>Reference Thermometer, Merek : FLUKE, Model : 1524, SN : 1803037</v>
      </c>
      <c r="S223" s="377"/>
      <c r="T223" s="441" t="s">
        <v>395</v>
      </c>
      <c r="U223" s="437" t="str">
        <f t="shared" ref="U223:AJ223" si="337">U207</f>
        <v>Thermocouple Data Logger, Merek : MADGETECH, Model : OctTemp 2000, SN : P40270</v>
      </c>
      <c r="V223" s="437" t="str">
        <f t="shared" si="337"/>
        <v>Thermocouple Data Logger, Merek : MADGETECH, Model : OctTemp 2000, SN : P41878</v>
      </c>
      <c r="W223" s="437" t="str">
        <f t="shared" si="337"/>
        <v>Mobile Corder, Merek : Yokogawa, Model : GP 10, SN : S5T810599</v>
      </c>
      <c r="X223" s="437" t="str">
        <f t="shared" si="337"/>
        <v>Wireless Temperature Recorder, Merek : HIOKI, Model : LR 8510, SN : 200936000</v>
      </c>
      <c r="Y223" s="437" t="str">
        <f t="shared" si="337"/>
        <v>Wireless Temperature Recorder, Merek : HIOKI, Model : LR 8510, SN : 200936001</v>
      </c>
      <c r="Z223" s="437" t="str">
        <f t="shared" si="337"/>
        <v>Wireless Temperature Recorder, Merek : HIOKI, Model : LR 8510, SN : 200821397</v>
      </c>
      <c r="AA223" s="437" t="str">
        <f t="shared" si="337"/>
        <v>Wireless Temperature Recorder, Merek : HIOKI, Model : LR 8510, SN : 210411983</v>
      </c>
      <c r="AB223" s="437" t="str">
        <f t="shared" si="337"/>
        <v>Wireless Temperature Recorder, Merek : HIOKI, Model : LR 8510, SN : 210411984</v>
      </c>
      <c r="AC223" s="437" t="str">
        <f t="shared" si="337"/>
        <v>Wireless Temperature Recorder, Merek : HIOKI, Model : LR 8510, SN : 210411985</v>
      </c>
      <c r="AD223" s="437" t="str">
        <f t="shared" si="337"/>
        <v>Wireless Temperature Recorder, Merek : HIOKI, Model : LR 8510, SN : 210746054</v>
      </c>
      <c r="AE223" s="437" t="str">
        <f t="shared" si="337"/>
        <v>Wireless Temperature Recorder, Merek : HIOKI, Model : LR 8510, SN : 210746055</v>
      </c>
      <c r="AF223" s="437" t="str">
        <f t="shared" si="337"/>
        <v>Wireless Temperature Recorder, Merek : HIOKI, Model : LR 8510, SN : 210746056</v>
      </c>
      <c r="AG223" s="416" t="str">
        <f t="shared" si="337"/>
        <v>Wireless Temperature Recorder, Merek : HIOKI, Model : LR 8510, SN : 200821396</v>
      </c>
      <c r="AH223" s="416" t="str">
        <f t="shared" si="337"/>
        <v>Reference Thermometer, Merek : APPA, Model : APPA51, SN : 03002948</v>
      </c>
      <c r="AI223" s="416" t="str">
        <f t="shared" si="337"/>
        <v>Reference Thermometer, Merek : FLUKE, Model : 1524, SN : 1803038</v>
      </c>
      <c r="AJ223" s="416" t="str">
        <f t="shared" si="337"/>
        <v>Reference Thermometer, Merek : FLUKE, Model : 1524, SN : 1803037</v>
      </c>
      <c r="AK223" s="377"/>
      <c r="AX223" s="419"/>
      <c r="AY223" s="420"/>
      <c r="AZ223" s="421"/>
      <c r="BB223" s="382"/>
      <c r="BD223" s="419"/>
      <c r="BE223" s="420"/>
      <c r="BF223" s="421"/>
      <c r="BH223" s="382"/>
      <c r="BJ223" s="419"/>
      <c r="BK223" s="420"/>
      <c r="BL223" s="421"/>
      <c r="BN223" s="382"/>
      <c r="BP223" s="419"/>
      <c r="BQ223" s="420"/>
      <c r="BR223" s="421"/>
      <c r="BT223" s="382"/>
      <c r="BV223" s="419"/>
      <c r="BW223" s="420"/>
      <c r="BX223" s="421"/>
      <c r="BZ223" s="382"/>
    </row>
    <row r="224" spans="1:97" s="676" customFormat="1" ht="6" customHeight="1">
      <c r="B224" s="696"/>
      <c r="C224" s="689"/>
      <c r="D224" s="689"/>
      <c r="E224" s="689"/>
      <c r="F224" s="689"/>
      <c r="G224" s="689"/>
      <c r="H224" s="689"/>
      <c r="I224" s="689"/>
      <c r="J224" s="689"/>
      <c r="K224" s="689"/>
      <c r="L224" s="689"/>
      <c r="M224" s="689"/>
      <c r="N224" s="689"/>
      <c r="O224" s="682"/>
      <c r="P224" s="680"/>
      <c r="Q224" s="680"/>
      <c r="R224" s="680"/>
      <c r="T224" s="696"/>
      <c r="U224" s="694"/>
      <c r="V224" s="694"/>
      <c r="W224" s="694"/>
      <c r="X224" s="694"/>
      <c r="Y224" s="694"/>
      <c r="Z224" s="694"/>
      <c r="AA224" s="694"/>
      <c r="AB224" s="694"/>
      <c r="AC224" s="694"/>
      <c r="AD224" s="694"/>
      <c r="AE224" s="694"/>
      <c r="AF224" s="694"/>
      <c r="AG224" s="682"/>
      <c r="AH224" s="680"/>
      <c r="AI224" s="680"/>
      <c r="AJ224" s="680"/>
      <c r="AN224" s="683"/>
      <c r="AP224" s="684"/>
      <c r="AT224" s="683"/>
      <c r="AV224" s="684"/>
      <c r="AX224" s="685"/>
      <c r="AY224" s="686"/>
      <c r="AZ224" s="687"/>
      <c r="BD224" s="685"/>
      <c r="BE224" s="686"/>
      <c r="BF224" s="687"/>
      <c r="BJ224" s="685"/>
      <c r="BK224" s="686"/>
      <c r="BL224" s="687"/>
      <c r="BP224" s="685"/>
      <c r="BQ224" s="686"/>
      <c r="BR224" s="687"/>
      <c r="BV224" s="685"/>
      <c r="BW224" s="686"/>
      <c r="BX224" s="687"/>
    </row>
    <row r="225" spans="1:97" ht="13">
      <c r="B225" s="422">
        <v>-20</v>
      </c>
      <c r="C225" s="370">
        <v>9.9999999999999995E-7</v>
      </c>
      <c r="D225" s="370">
        <v>9.9999999999999995E-7</v>
      </c>
      <c r="E225" s="370">
        <v>-0.45</v>
      </c>
      <c r="F225" s="370">
        <v>-1.4</v>
      </c>
      <c r="G225" s="370">
        <v>0.2</v>
      </c>
      <c r="H225" s="370">
        <v>0.19</v>
      </c>
      <c r="I225" s="370">
        <v>0.44</v>
      </c>
      <c r="J225" s="370">
        <v>0.36</v>
      </c>
      <c r="K225" s="370">
        <v>0.5</v>
      </c>
      <c r="L225" s="370">
        <v>-1.1100000000000001</v>
      </c>
      <c r="M225" s="370">
        <v>0.5</v>
      </c>
      <c r="N225" s="370">
        <v>-1.26</v>
      </c>
      <c r="O225" s="370">
        <v>-1.42</v>
      </c>
      <c r="P225" s="370">
        <f>P209</f>
        <v>-1.1000000000000001</v>
      </c>
      <c r="Q225" s="370">
        <v>-0.15</v>
      </c>
      <c r="R225" s="370">
        <v>-1.8</v>
      </c>
      <c r="S225" s="377"/>
      <c r="T225" s="422">
        <v>-20</v>
      </c>
      <c r="U225" s="370">
        <v>9.9999999999999995E-7</v>
      </c>
      <c r="V225" s="370">
        <v>9.9999999999999995E-7</v>
      </c>
      <c r="W225" s="370">
        <v>-0.46</v>
      </c>
      <c r="X225" s="370">
        <v>-1.35</v>
      </c>
      <c r="Y225" s="370">
        <v>0.21</v>
      </c>
      <c r="Z225" s="370">
        <v>0.22</v>
      </c>
      <c r="AA225" s="370">
        <v>0.44</v>
      </c>
      <c r="AB225" s="370">
        <v>0.34</v>
      </c>
      <c r="AC225" s="370">
        <v>0.47</v>
      </c>
      <c r="AD225" s="370">
        <v>-1.0900000000000001</v>
      </c>
      <c r="AE225" s="370">
        <v>0.47</v>
      </c>
      <c r="AF225" s="370">
        <v>-1.22</v>
      </c>
      <c r="AG225" s="371">
        <v>-1.34</v>
      </c>
      <c r="AH225" s="370">
        <f>AH209</f>
        <v>-1.1000000000000001</v>
      </c>
      <c r="AI225" s="370">
        <v>-0.15</v>
      </c>
      <c r="AJ225" s="370">
        <v>-1.8</v>
      </c>
      <c r="AK225" s="377"/>
      <c r="AX225" s="417"/>
      <c r="AY225" s="417"/>
      <c r="BB225" s="382"/>
      <c r="BD225" s="417"/>
      <c r="BE225" s="417"/>
      <c r="BH225" s="382"/>
      <c r="BJ225" s="417"/>
      <c r="BK225" s="417"/>
      <c r="BN225" s="382"/>
      <c r="BP225" s="417"/>
      <c r="BQ225" s="417"/>
      <c r="BT225" s="382"/>
      <c r="BV225" s="417"/>
      <c r="BW225" s="417"/>
      <c r="BZ225" s="382"/>
    </row>
    <row r="226" spans="1:97" ht="13">
      <c r="B226" s="422">
        <v>-15</v>
      </c>
      <c r="C226" s="370">
        <v>9.9999999999999995E-7</v>
      </c>
      <c r="D226" s="370">
        <v>9.9999999999999995E-7</v>
      </c>
      <c r="E226" s="370">
        <v>-0.38</v>
      </c>
      <c r="F226" s="370">
        <v>-1.1499999999999999</v>
      </c>
      <c r="G226" s="370">
        <v>0.24</v>
      </c>
      <c r="H226" s="370">
        <v>0.24</v>
      </c>
      <c r="I226" s="370">
        <v>0.45</v>
      </c>
      <c r="J226" s="370">
        <v>0.38</v>
      </c>
      <c r="K226" s="370">
        <v>9.9999999999999995E-7</v>
      </c>
      <c r="L226" s="370">
        <v>-0.83</v>
      </c>
      <c r="M226" s="370">
        <v>9.9999999999999995E-7</v>
      </c>
      <c r="N226" s="370">
        <v>-1</v>
      </c>
      <c r="O226" s="370">
        <v>-1.1399999999999999</v>
      </c>
      <c r="P226" s="370">
        <f t="shared" ref="P226:P237" si="338">P210</f>
        <v>-1.1000000000000001</v>
      </c>
      <c r="Q226" s="370">
        <v>-0.1</v>
      </c>
      <c r="R226" s="370">
        <v>-1.52</v>
      </c>
      <c r="S226" s="377"/>
      <c r="T226" s="422">
        <v>-15</v>
      </c>
      <c r="U226" s="370">
        <v>9.9999999999999995E-7</v>
      </c>
      <c r="V226" s="370">
        <v>9.9999999999999995E-7</v>
      </c>
      <c r="W226" s="370">
        <v>-0.39</v>
      </c>
      <c r="X226" s="370">
        <v>-1.1100000000000001</v>
      </c>
      <c r="Y226" s="370">
        <v>0.25</v>
      </c>
      <c r="Z226" s="370">
        <v>0.26</v>
      </c>
      <c r="AA226" s="370">
        <v>0.45</v>
      </c>
      <c r="AB226" s="370">
        <v>0.35</v>
      </c>
      <c r="AC226" s="370">
        <v>9.9999999999999995E-7</v>
      </c>
      <c r="AD226" s="370">
        <v>-0.81</v>
      </c>
      <c r="AE226" s="370">
        <v>9.9999999999999995E-7</v>
      </c>
      <c r="AF226" s="370">
        <v>-0.96</v>
      </c>
      <c r="AG226" s="371">
        <v>-1.06</v>
      </c>
      <c r="AH226" s="370">
        <f t="shared" ref="AH226:AH236" si="339">AH210</f>
        <v>-1.1000000000000001</v>
      </c>
      <c r="AI226" s="370">
        <v>-0.1</v>
      </c>
      <c r="AJ226" s="370">
        <v>-1.52</v>
      </c>
      <c r="AK226" s="377"/>
      <c r="AX226" s="417"/>
      <c r="AY226" s="417"/>
      <c r="BB226" s="382"/>
      <c r="BD226" s="417"/>
      <c r="BE226" s="417"/>
      <c r="BH226" s="382"/>
      <c r="BJ226" s="417"/>
      <c r="BK226" s="417"/>
      <c r="BN226" s="382"/>
      <c r="BP226" s="417"/>
      <c r="BQ226" s="417"/>
      <c r="BT226" s="382"/>
      <c r="BV226" s="417"/>
      <c r="BW226" s="417"/>
      <c r="BZ226" s="382"/>
    </row>
    <row r="227" spans="1:97" ht="13">
      <c r="B227" s="422">
        <v>-10</v>
      </c>
      <c r="C227" s="370">
        <v>9.9999999999999995E-7</v>
      </c>
      <c r="D227" s="370">
        <v>9.9999999999999995E-7</v>
      </c>
      <c r="E227" s="370">
        <v>-0.32</v>
      </c>
      <c r="F227" s="370">
        <v>-0.9</v>
      </c>
      <c r="G227" s="370">
        <v>0.27</v>
      </c>
      <c r="H227" s="370">
        <v>0.26</v>
      </c>
      <c r="I227" s="370">
        <v>0.46</v>
      </c>
      <c r="J227" s="370">
        <v>0.39</v>
      </c>
      <c r="K227" s="370">
        <v>0.48</v>
      </c>
      <c r="L227" s="370">
        <v>-0.6</v>
      </c>
      <c r="M227" s="370">
        <v>0.48</v>
      </c>
      <c r="N227" s="370">
        <v>-0.78</v>
      </c>
      <c r="O227" s="370">
        <v>-0.89</v>
      </c>
      <c r="P227" s="370">
        <f t="shared" si="338"/>
        <v>-1.2</v>
      </c>
      <c r="Q227" s="370">
        <v>-0.05</v>
      </c>
      <c r="R227" s="370">
        <v>-1.26</v>
      </c>
      <c r="S227" s="377"/>
      <c r="T227" s="422">
        <v>-10</v>
      </c>
      <c r="U227" s="370">
        <v>9.9999999999999995E-7</v>
      </c>
      <c r="V227" s="370">
        <v>9.9999999999999995E-7</v>
      </c>
      <c r="W227" s="370">
        <v>-0.32</v>
      </c>
      <c r="X227" s="370">
        <v>-0.87</v>
      </c>
      <c r="Y227" s="370">
        <v>0.28000000000000003</v>
      </c>
      <c r="Z227" s="370">
        <v>0.28000000000000003</v>
      </c>
      <c r="AA227" s="370">
        <v>0.46</v>
      </c>
      <c r="AB227" s="370">
        <v>0.36</v>
      </c>
      <c r="AC227" s="370">
        <v>0.46</v>
      </c>
      <c r="AD227" s="370">
        <v>-0.59</v>
      </c>
      <c r="AE227" s="370">
        <v>0.46</v>
      </c>
      <c r="AF227" s="370">
        <v>-0.75</v>
      </c>
      <c r="AG227" s="371">
        <v>-0.81</v>
      </c>
      <c r="AH227" s="370">
        <f t="shared" si="339"/>
        <v>-1.2</v>
      </c>
      <c r="AI227" s="370">
        <v>-0.05</v>
      </c>
      <c r="AJ227" s="370">
        <v>-1.26</v>
      </c>
      <c r="AK227" s="377"/>
      <c r="AX227" s="417"/>
      <c r="AY227" s="417"/>
      <c r="BB227" s="382"/>
      <c r="BD227" s="417"/>
      <c r="BE227" s="417"/>
      <c r="BH227" s="382"/>
      <c r="BJ227" s="417"/>
      <c r="BK227" s="417"/>
      <c r="BN227" s="382"/>
      <c r="BP227" s="417"/>
      <c r="BQ227" s="417"/>
      <c r="BT227" s="382"/>
      <c r="BV227" s="417"/>
      <c r="BW227" s="417"/>
      <c r="BZ227" s="382"/>
    </row>
    <row r="228" spans="1:97" ht="13">
      <c r="B228" s="422">
        <v>9.9999999999999995E-7</v>
      </c>
      <c r="C228" s="370">
        <v>9.9999999999999995E-7</v>
      </c>
      <c r="D228" s="370">
        <v>9.9999999999999995E-7</v>
      </c>
      <c r="E228" s="370">
        <v>-0.21</v>
      </c>
      <c r="F228" s="370">
        <v>-0.36</v>
      </c>
      <c r="G228" s="370">
        <v>0.22</v>
      </c>
      <c r="H228" s="370">
        <v>0.21</v>
      </c>
      <c r="I228" s="370">
        <v>0.46</v>
      </c>
      <c r="J228" s="370">
        <v>0.38</v>
      </c>
      <c r="K228" s="370">
        <v>0.47</v>
      </c>
      <c r="L228" s="370">
        <v>-0.34</v>
      </c>
      <c r="M228" s="370">
        <v>0.47</v>
      </c>
      <c r="N228" s="370">
        <v>-0.55000000000000004</v>
      </c>
      <c r="O228" s="370">
        <v>-0.54</v>
      </c>
      <c r="P228" s="370">
        <f t="shared" si="338"/>
        <v>-1.4</v>
      </c>
      <c r="Q228" s="370">
        <v>0.03</v>
      </c>
      <c r="R228" s="370">
        <v>-0.79</v>
      </c>
      <c r="S228" s="377"/>
      <c r="T228" s="422">
        <v>9.9999999999999995E-7</v>
      </c>
      <c r="U228" s="370">
        <v>9.9999999999999995E-7</v>
      </c>
      <c r="V228" s="370">
        <v>9.9999999999999995E-7</v>
      </c>
      <c r="W228" s="370">
        <v>-0.22</v>
      </c>
      <c r="X228" s="370">
        <v>-0.36</v>
      </c>
      <c r="Y228" s="370">
        <v>0.26</v>
      </c>
      <c r="Z228" s="370">
        <v>0.24</v>
      </c>
      <c r="AA228" s="370">
        <v>0.46</v>
      </c>
      <c r="AB228" s="370">
        <v>0.36</v>
      </c>
      <c r="AC228" s="370">
        <v>0.45</v>
      </c>
      <c r="AD228" s="370">
        <v>-0.34</v>
      </c>
      <c r="AE228" s="370">
        <v>0.45</v>
      </c>
      <c r="AF228" s="370">
        <v>-0.53</v>
      </c>
      <c r="AG228" s="371">
        <v>-0.52</v>
      </c>
      <c r="AH228" s="370">
        <f t="shared" si="339"/>
        <v>-1.4</v>
      </c>
      <c r="AI228" s="370">
        <v>0.03</v>
      </c>
      <c r="AJ228" s="370">
        <v>-0.79</v>
      </c>
      <c r="AK228" s="377"/>
      <c r="AX228" s="417"/>
      <c r="AY228" s="417"/>
      <c r="BB228" s="382"/>
      <c r="BD228" s="417"/>
      <c r="BE228" s="417"/>
      <c r="BH228" s="382"/>
      <c r="BJ228" s="417"/>
      <c r="BK228" s="417"/>
      <c r="BN228" s="382"/>
      <c r="BP228" s="417"/>
      <c r="BQ228" s="417"/>
      <c r="BT228" s="382"/>
      <c r="BV228" s="417"/>
      <c r="BW228" s="417"/>
      <c r="BZ228" s="382"/>
    </row>
    <row r="229" spans="1:97" ht="13">
      <c r="B229" s="422">
        <v>2</v>
      </c>
      <c r="C229" s="370">
        <v>9.9999999999999995E-7</v>
      </c>
      <c r="D229" s="370">
        <v>9.9999999999999995E-7</v>
      </c>
      <c r="E229" s="370">
        <v>-0.2</v>
      </c>
      <c r="F229" s="370">
        <v>-0.53</v>
      </c>
      <c r="G229" s="370">
        <v>0.26</v>
      </c>
      <c r="H229" s="370">
        <v>0.25</v>
      </c>
      <c r="I229" s="370">
        <v>0.49</v>
      </c>
      <c r="J229" s="370">
        <v>0.4</v>
      </c>
      <c r="K229" s="370">
        <v>0.47</v>
      </c>
      <c r="L229" s="370">
        <v>-0.36</v>
      </c>
      <c r="M229" s="370">
        <v>0.47</v>
      </c>
      <c r="N229" s="370">
        <v>-0.53</v>
      </c>
      <c r="O229" s="370">
        <v>-0.62</v>
      </c>
      <c r="P229" s="370">
        <f t="shared" si="338"/>
        <v>0</v>
      </c>
      <c r="Q229" s="370">
        <v>0.04</v>
      </c>
      <c r="R229" s="370">
        <v>-2.7</v>
      </c>
      <c r="S229" s="377"/>
      <c r="T229" s="422">
        <v>2</v>
      </c>
      <c r="U229" s="370">
        <v>9.9999999999999995E-7</v>
      </c>
      <c r="V229" s="370">
        <v>9.9999999999999995E-7</v>
      </c>
      <c r="W229" s="370">
        <v>-0.2</v>
      </c>
      <c r="X229" s="370">
        <v>-0.51</v>
      </c>
      <c r="Y229" s="370">
        <v>0.31</v>
      </c>
      <c r="Z229" s="370">
        <v>0.28000000000000003</v>
      </c>
      <c r="AA229" s="370">
        <v>0.48</v>
      </c>
      <c r="AB229" s="370">
        <v>0.38</v>
      </c>
      <c r="AC229" s="370">
        <v>0.44</v>
      </c>
      <c r="AD229" s="370">
        <v>-0.37</v>
      </c>
      <c r="AE229" s="370">
        <v>0.44</v>
      </c>
      <c r="AF229" s="370">
        <v>-0.47</v>
      </c>
      <c r="AG229" s="371">
        <v>-0.57999999999999996</v>
      </c>
      <c r="AH229" s="370">
        <f t="shared" si="339"/>
        <v>0</v>
      </c>
      <c r="AI229" s="370">
        <v>0.04</v>
      </c>
      <c r="AJ229" s="370">
        <v>-2.7</v>
      </c>
      <c r="AK229" s="377"/>
      <c r="AX229" s="417"/>
      <c r="AY229" s="417"/>
      <c r="BB229" s="382"/>
      <c r="BD229" s="417"/>
      <c r="BE229" s="417"/>
      <c r="BH229" s="382"/>
      <c r="BJ229" s="417"/>
      <c r="BK229" s="417"/>
      <c r="BN229" s="382"/>
      <c r="BP229" s="417"/>
      <c r="BQ229" s="417"/>
      <c r="BT229" s="382"/>
      <c r="BV229" s="417"/>
      <c r="BW229" s="417"/>
      <c r="BZ229" s="382"/>
    </row>
    <row r="230" spans="1:97" ht="13">
      <c r="B230" s="422">
        <v>8</v>
      </c>
      <c r="C230" s="370">
        <v>9.9999999999999995E-7</v>
      </c>
      <c r="D230" s="370">
        <v>9.9999999999999995E-7</v>
      </c>
      <c r="E230" s="370">
        <v>-0.15</v>
      </c>
      <c r="F230" s="370">
        <v>-0.28000000000000003</v>
      </c>
      <c r="G230" s="370">
        <v>0.25</v>
      </c>
      <c r="H230" s="370">
        <v>0.25</v>
      </c>
      <c r="I230" s="370">
        <v>0.49</v>
      </c>
      <c r="J230" s="370">
        <v>0.38</v>
      </c>
      <c r="K230" s="370">
        <v>0.46</v>
      </c>
      <c r="L230" s="370">
        <v>-0.09</v>
      </c>
      <c r="M230" s="370">
        <v>0.46</v>
      </c>
      <c r="N230" s="370">
        <v>-0.27</v>
      </c>
      <c r="O230" s="370">
        <v>-0.34</v>
      </c>
      <c r="P230" s="370">
        <f t="shared" si="338"/>
        <v>0</v>
      </c>
      <c r="Q230" s="370">
        <v>0.08</v>
      </c>
      <c r="R230" s="370">
        <v>-0.46</v>
      </c>
      <c r="S230" s="377"/>
      <c r="T230" s="422">
        <v>8</v>
      </c>
      <c r="U230" s="370">
        <v>9.9999999999999995E-7</v>
      </c>
      <c r="V230" s="370">
        <v>9.9999999999999995E-7</v>
      </c>
      <c r="W230" s="370">
        <v>-0.15</v>
      </c>
      <c r="X230" s="370">
        <v>-0.26</v>
      </c>
      <c r="Y230" s="370">
        <v>0.28999999999999998</v>
      </c>
      <c r="Z230" s="370">
        <v>0.28000000000000003</v>
      </c>
      <c r="AA230" s="370">
        <v>0.49</v>
      </c>
      <c r="AB230" s="370">
        <v>0.37</v>
      </c>
      <c r="AC230" s="370">
        <v>0.43</v>
      </c>
      <c r="AD230" s="370">
        <v>-0.09</v>
      </c>
      <c r="AE230" s="370">
        <v>0.43</v>
      </c>
      <c r="AF230" s="370">
        <v>-0.24</v>
      </c>
      <c r="AG230" s="371">
        <v>-0.31</v>
      </c>
      <c r="AH230" s="370">
        <f t="shared" si="339"/>
        <v>0</v>
      </c>
      <c r="AI230" s="370">
        <v>0.08</v>
      </c>
      <c r="AJ230" s="370">
        <v>-0.46</v>
      </c>
      <c r="AK230" s="377"/>
      <c r="AX230" s="417"/>
      <c r="AY230" s="417"/>
      <c r="BB230" s="382"/>
      <c r="BD230" s="417"/>
      <c r="BE230" s="417"/>
      <c r="BH230" s="382"/>
      <c r="BJ230" s="417"/>
      <c r="BK230" s="417"/>
      <c r="BN230" s="382"/>
      <c r="BP230" s="417"/>
      <c r="BQ230" s="417"/>
      <c r="BT230" s="382"/>
      <c r="BV230" s="417"/>
      <c r="BW230" s="417"/>
      <c r="BZ230" s="382"/>
    </row>
    <row r="231" spans="1:97" ht="13">
      <c r="B231" s="422">
        <v>37</v>
      </c>
      <c r="C231" s="370">
        <v>9.9999999999999995E-7</v>
      </c>
      <c r="D231" s="370">
        <v>9.9999999999999995E-7</v>
      </c>
      <c r="E231" s="370">
        <v>-0.04</v>
      </c>
      <c r="F231" s="370">
        <v>0.6</v>
      </c>
      <c r="G231" s="370">
        <v>0.24</v>
      </c>
      <c r="H231" s="370">
        <v>0.26</v>
      </c>
      <c r="I231" s="370">
        <v>0.51</v>
      </c>
      <c r="J231" s="370">
        <v>0.34</v>
      </c>
      <c r="K231" s="370">
        <v>0.4</v>
      </c>
      <c r="L231" s="370">
        <v>0.79</v>
      </c>
      <c r="M231" s="370">
        <v>0.4</v>
      </c>
      <c r="N231" s="370">
        <v>0.52</v>
      </c>
      <c r="O231" s="370">
        <v>0.56999999999999995</v>
      </c>
      <c r="P231" s="370">
        <f t="shared" si="338"/>
        <v>0</v>
      </c>
      <c r="Q231" s="370">
        <v>0.23</v>
      </c>
      <c r="R231" s="370">
        <v>0.42</v>
      </c>
      <c r="S231" s="377"/>
      <c r="T231" s="422">
        <v>37</v>
      </c>
      <c r="U231" s="370">
        <v>9.9999999999999995E-7</v>
      </c>
      <c r="V231" s="370">
        <v>9.9999999999999995E-7</v>
      </c>
      <c r="W231" s="370">
        <v>-0.03</v>
      </c>
      <c r="X231" s="370">
        <v>0.63</v>
      </c>
      <c r="Y231" s="370">
        <v>0.27</v>
      </c>
      <c r="Z231" s="370">
        <v>0.28999999999999998</v>
      </c>
      <c r="AA231" s="370">
        <v>0.52</v>
      </c>
      <c r="AB231" s="370">
        <v>0.35</v>
      </c>
      <c r="AC231" s="370">
        <v>0.37</v>
      </c>
      <c r="AD231" s="370">
        <v>0.81</v>
      </c>
      <c r="AE231" s="370">
        <v>0.37</v>
      </c>
      <c r="AF231" s="370">
        <v>0.5</v>
      </c>
      <c r="AG231" s="371">
        <v>0.56999999999999995</v>
      </c>
      <c r="AH231" s="370">
        <f t="shared" si="339"/>
        <v>0</v>
      </c>
      <c r="AI231" s="370">
        <v>0.23</v>
      </c>
      <c r="AJ231" s="370">
        <v>0.42</v>
      </c>
      <c r="AK231" s="377"/>
      <c r="AX231" s="417"/>
      <c r="AY231" s="417"/>
      <c r="BB231" s="382"/>
      <c r="BD231" s="417"/>
      <c r="BE231" s="417"/>
      <c r="BH231" s="382"/>
      <c r="BJ231" s="417"/>
      <c r="BK231" s="417"/>
      <c r="BN231" s="382"/>
      <c r="BP231" s="417"/>
      <c r="BQ231" s="417"/>
      <c r="BT231" s="382"/>
      <c r="BV231" s="417"/>
      <c r="BW231" s="417"/>
      <c r="BZ231" s="382"/>
    </row>
    <row r="232" spans="1:97" ht="13">
      <c r="B232" s="422">
        <v>44</v>
      </c>
      <c r="C232" s="370">
        <v>9.9999999999999995E-7</v>
      </c>
      <c r="D232" s="370">
        <v>9.9999999999999995E-7</v>
      </c>
      <c r="E232" s="370">
        <v>-0.04</v>
      </c>
      <c r="F232" s="370">
        <v>0.74</v>
      </c>
      <c r="G232" s="370">
        <v>0.24</v>
      </c>
      <c r="H232" s="370">
        <v>0.26</v>
      </c>
      <c r="I232" s="370">
        <v>0.51</v>
      </c>
      <c r="J232" s="370">
        <v>0.34</v>
      </c>
      <c r="K232" s="370">
        <v>0.38</v>
      </c>
      <c r="L232" s="370">
        <v>0.91</v>
      </c>
      <c r="M232" s="370">
        <v>0.38</v>
      </c>
      <c r="N232" s="370">
        <v>0.6</v>
      </c>
      <c r="O232" s="370">
        <v>0.7</v>
      </c>
      <c r="P232" s="370">
        <f t="shared" si="338"/>
        <v>0</v>
      </c>
      <c r="Q232" s="370">
        <v>0.25</v>
      </c>
      <c r="R232" s="370">
        <v>0.56999999999999995</v>
      </c>
      <c r="S232" s="377"/>
      <c r="T232" s="422">
        <v>44</v>
      </c>
      <c r="U232" s="370">
        <v>9.9999999999999995E-7</v>
      </c>
      <c r="V232" s="370">
        <v>9.9999999999999995E-7</v>
      </c>
      <c r="W232" s="370">
        <v>-0.03</v>
      </c>
      <c r="X232" s="370">
        <v>0.77</v>
      </c>
      <c r="Y232" s="370">
        <v>0.27</v>
      </c>
      <c r="Z232" s="370">
        <v>0.28999999999999998</v>
      </c>
      <c r="AA232" s="370">
        <v>0.53</v>
      </c>
      <c r="AB232" s="370">
        <v>0.35</v>
      </c>
      <c r="AC232" s="370">
        <v>0.36</v>
      </c>
      <c r="AD232" s="370">
        <v>0.93</v>
      </c>
      <c r="AE232" s="370">
        <v>0.36</v>
      </c>
      <c r="AF232" s="370">
        <v>0.6</v>
      </c>
      <c r="AG232" s="371">
        <v>0.68</v>
      </c>
      <c r="AH232" s="370">
        <f t="shared" si="339"/>
        <v>0</v>
      </c>
      <c r="AI232" s="370">
        <v>0.25</v>
      </c>
      <c r="AJ232" s="370">
        <v>0.56999999999999995</v>
      </c>
      <c r="AK232" s="377"/>
      <c r="AX232" s="417"/>
      <c r="AY232" s="417"/>
      <c r="BB232" s="382"/>
      <c r="BD232" s="417"/>
      <c r="BE232" s="417"/>
      <c r="BH232" s="382"/>
      <c r="BJ232" s="417"/>
      <c r="BK232" s="417"/>
      <c r="BN232" s="382"/>
      <c r="BP232" s="417"/>
      <c r="BQ232" s="417"/>
      <c r="BT232" s="382"/>
      <c r="BV232" s="417"/>
      <c r="BW232" s="417"/>
      <c r="BZ232" s="382"/>
    </row>
    <row r="233" spans="1:97" ht="13">
      <c r="B233" s="422">
        <v>50</v>
      </c>
      <c r="C233" s="370">
        <v>9.9999999999999995E-7</v>
      </c>
      <c r="D233" s="370">
        <v>9.9999999999999995E-7</v>
      </c>
      <c r="E233" s="370">
        <v>-0.04</v>
      </c>
      <c r="F233" s="370">
        <v>0.83</v>
      </c>
      <c r="G233" s="370">
        <v>0.24</v>
      </c>
      <c r="H233" s="370">
        <v>0.27</v>
      </c>
      <c r="I233" s="370">
        <v>0.52</v>
      </c>
      <c r="J233" s="370">
        <v>0.34</v>
      </c>
      <c r="K233" s="370">
        <v>0.37</v>
      </c>
      <c r="L233" s="370">
        <v>0.99</v>
      </c>
      <c r="M233" s="370">
        <v>0.37</v>
      </c>
      <c r="N233" s="370">
        <v>0.65</v>
      </c>
      <c r="O233" s="370">
        <v>0.77</v>
      </c>
      <c r="P233" s="370">
        <f t="shared" si="338"/>
        <v>-1</v>
      </c>
      <c r="Q233" s="370">
        <v>0.27</v>
      </c>
      <c r="R233" s="370">
        <v>0.67</v>
      </c>
      <c r="S233" s="377"/>
      <c r="T233" s="422">
        <v>50</v>
      </c>
      <c r="U233" s="370">
        <v>9.9999999999999995E-7</v>
      </c>
      <c r="V233" s="370">
        <v>9.9999999999999995E-7</v>
      </c>
      <c r="W233" s="370">
        <v>-0.03</v>
      </c>
      <c r="X233" s="370">
        <v>0.86</v>
      </c>
      <c r="Y233" s="370">
        <v>0.27</v>
      </c>
      <c r="Z233" s="370">
        <v>0.3</v>
      </c>
      <c r="AA233" s="370">
        <v>0.53</v>
      </c>
      <c r="AB233" s="370">
        <v>0.35</v>
      </c>
      <c r="AC233" s="370">
        <v>0.34</v>
      </c>
      <c r="AD233" s="370">
        <v>1.01</v>
      </c>
      <c r="AE233" s="370">
        <v>0.34</v>
      </c>
      <c r="AF233" s="370">
        <v>0.66</v>
      </c>
      <c r="AG233" s="371">
        <v>0.75</v>
      </c>
      <c r="AH233" s="370">
        <f t="shared" si="339"/>
        <v>-1</v>
      </c>
      <c r="AI233" s="370">
        <v>0.27</v>
      </c>
      <c r="AJ233" s="370">
        <v>0.67</v>
      </c>
      <c r="AK233" s="377"/>
      <c r="AX233" s="417"/>
      <c r="AY233" s="417"/>
      <c r="BB233" s="382"/>
      <c r="BD233" s="417"/>
      <c r="BE233" s="417"/>
      <c r="BH233" s="382"/>
      <c r="BJ233" s="417"/>
      <c r="BK233" s="417"/>
      <c r="BN233" s="382"/>
      <c r="BP233" s="417"/>
      <c r="BQ233" s="417"/>
      <c r="BT233" s="382"/>
      <c r="BV233" s="417"/>
      <c r="BW233" s="417"/>
      <c r="BZ233" s="382"/>
    </row>
    <row r="234" spans="1:97" ht="13">
      <c r="B234" s="422">
        <v>100</v>
      </c>
      <c r="C234" s="370">
        <v>9.9999999999999995E-7</v>
      </c>
      <c r="D234" s="370">
        <v>9.9999999999999995E-7</v>
      </c>
      <c r="E234" s="370">
        <v>-0.17</v>
      </c>
      <c r="F234" s="370">
        <v>0.95</v>
      </c>
      <c r="G234" s="370">
        <v>0.33</v>
      </c>
      <c r="H234" s="370">
        <v>0.36</v>
      </c>
      <c r="I234" s="370">
        <v>0.61</v>
      </c>
      <c r="J234" s="370">
        <v>0.44</v>
      </c>
      <c r="K234" s="370">
        <v>0.2</v>
      </c>
      <c r="L234" s="370">
        <v>1.02</v>
      </c>
      <c r="M234" s="370">
        <v>0.2</v>
      </c>
      <c r="N234" s="370">
        <v>0.37</v>
      </c>
      <c r="O234" s="370">
        <v>0.67</v>
      </c>
      <c r="P234" s="370">
        <f t="shared" si="338"/>
        <v>-1.6</v>
      </c>
      <c r="Q234" s="370">
        <v>0.31</v>
      </c>
      <c r="R234" s="370">
        <v>0.95</v>
      </c>
      <c r="S234" s="377"/>
      <c r="T234" s="422">
        <v>100</v>
      </c>
      <c r="U234" s="370">
        <v>9.9999999999999995E-7</v>
      </c>
      <c r="V234" s="370">
        <v>9.9999999999999995E-7</v>
      </c>
      <c r="W234" s="370">
        <v>-0.16</v>
      </c>
      <c r="X234" s="370">
        <v>0.99</v>
      </c>
      <c r="Y234" s="370">
        <v>0.34</v>
      </c>
      <c r="Z234" s="370">
        <v>0.38</v>
      </c>
      <c r="AA234" s="370">
        <v>0.6</v>
      </c>
      <c r="AB234" s="370">
        <v>0.44</v>
      </c>
      <c r="AC234" s="370">
        <v>0.18</v>
      </c>
      <c r="AD234" s="370">
        <v>1.06</v>
      </c>
      <c r="AE234" s="370">
        <v>0.18</v>
      </c>
      <c r="AF234" s="370">
        <v>0.54</v>
      </c>
      <c r="AG234" s="371">
        <v>0.56000000000000005</v>
      </c>
      <c r="AH234" s="370">
        <f t="shared" si="339"/>
        <v>-1.6</v>
      </c>
      <c r="AI234" s="370">
        <v>0.31</v>
      </c>
      <c r="AJ234" s="370">
        <v>0.95</v>
      </c>
      <c r="AK234" s="377"/>
      <c r="AX234" s="417"/>
      <c r="AY234" s="417"/>
      <c r="BB234" s="382"/>
      <c r="BD234" s="417"/>
      <c r="BE234" s="417"/>
      <c r="BH234" s="382"/>
      <c r="BJ234" s="417"/>
      <c r="BK234" s="417"/>
      <c r="BN234" s="382"/>
      <c r="BP234" s="417"/>
      <c r="BQ234" s="417"/>
      <c r="BT234" s="382"/>
      <c r="BV234" s="417"/>
      <c r="BW234" s="417"/>
      <c r="BZ234" s="382"/>
    </row>
    <row r="235" spans="1:97" ht="13">
      <c r="B235" s="422">
        <v>150</v>
      </c>
      <c r="C235" s="370">
        <v>9.9999999999999995E-7</v>
      </c>
      <c r="D235" s="370">
        <v>9.9999999999999995E-7</v>
      </c>
      <c r="E235" s="370">
        <v>-0.28000000000000003</v>
      </c>
      <c r="F235" s="370">
        <v>0.34</v>
      </c>
      <c r="G235" s="370">
        <v>0.51</v>
      </c>
      <c r="H235" s="370">
        <v>0.54</v>
      </c>
      <c r="I235" s="370">
        <v>0.77</v>
      </c>
      <c r="J235" s="370">
        <v>0.62</v>
      </c>
      <c r="K235" s="370">
        <v>-0.01</v>
      </c>
      <c r="L235" s="370">
        <v>0.63</v>
      </c>
      <c r="M235" s="370">
        <v>-0.01</v>
      </c>
      <c r="N235" s="370">
        <v>-0.35</v>
      </c>
      <c r="O235" s="370">
        <v>-0.12</v>
      </c>
      <c r="P235" s="370">
        <f t="shared" si="338"/>
        <v>-1.7</v>
      </c>
      <c r="Q235" s="370">
        <v>0.3</v>
      </c>
      <c r="R235" s="370">
        <v>0.49</v>
      </c>
      <c r="S235" s="377"/>
      <c r="T235" s="422">
        <v>150</v>
      </c>
      <c r="U235" s="370">
        <v>9.9999999999999995E-7</v>
      </c>
      <c r="V235" s="370">
        <v>9.9999999999999995E-7</v>
      </c>
      <c r="W235" s="370">
        <v>-0.28000000000000003</v>
      </c>
      <c r="X235" s="370">
        <v>0.28000000000000003</v>
      </c>
      <c r="Y235" s="370">
        <v>0.51</v>
      </c>
      <c r="Z235" s="370">
        <v>0.54</v>
      </c>
      <c r="AA235" s="370">
        <v>0.72</v>
      </c>
      <c r="AB235" s="370">
        <v>0.61</v>
      </c>
      <c r="AC235" s="370">
        <v>-0.02</v>
      </c>
      <c r="AD235" s="370">
        <v>0.62</v>
      </c>
      <c r="AE235" s="370">
        <v>-0.02</v>
      </c>
      <c r="AF235" s="370">
        <v>-0.15</v>
      </c>
      <c r="AG235" s="371">
        <v>-0.39</v>
      </c>
      <c r="AH235" s="370">
        <f t="shared" si="339"/>
        <v>-1.7</v>
      </c>
      <c r="AI235" s="370">
        <v>0.3</v>
      </c>
      <c r="AJ235" s="370">
        <v>0.49</v>
      </c>
      <c r="AK235" s="377"/>
      <c r="AX235" s="417"/>
      <c r="AY235" s="417"/>
      <c r="BB235" s="382"/>
      <c r="BD235" s="417"/>
      <c r="BE235" s="417"/>
      <c r="BH235" s="382"/>
      <c r="BJ235" s="417"/>
      <c r="BK235" s="417"/>
      <c r="BN235" s="382"/>
      <c r="BP235" s="417"/>
      <c r="BQ235" s="417"/>
      <c r="BT235" s="382"/>
      <c r="BV235" s="417"/>
      <c r="BW235" s="417"/>
      <c r="BZ235" s="382"/>
    </row>
    <row r="236" spans="1:97" ht="13">
      <c r="B236" s="422">
        <v>200</v>
      </c>
      <c r="C236" s="370">
        <v>9.9999999999999995E-7</v>
      </c>
      <c r="D236" s="370">
        <v>9.9999999999999995E-7</v>
      </c>
      <c r="E236" s="370">
        <v>0</v>
      </c>
      <c r="F236" s="370">
        <v>-0.41</v>
      </c>
      <c r="G236" s="370">
        <v>0.74</v>
      </c>
      <c r="H236" s="370">
        <v>0.81</v>
      </c>
      <c r="I236" s="370">
        <v>1.02</v>
      </c>
      <c r="J236" s="370">
        <v>0.83</v>
      </c>
      <c r="K236" s="370">
        <v>-0.28999999999999998</v>
      </c>
      <c r="L236" s="370">
        <v>0.8</v>
      </c>
      <c r="M236" s="370">
        <v>-0.28999999999999998</v>
      </c>
      <c r="N236" s="370">
        <v>-0.36</v>
      </c>
      <c r="O236" s="370">
        <v>-0.65</v>
      </c>
      <c r="P236" s="370">
        <f t="shared" si="338"/>
        <v>-0.9</v>
      </c>
      <c r="Q236" s="370">
        <v>0.34</v>
      </c>
      <c r="R236" s="370">
        <v>-0.26</v>
      </c>
      <c r="S236" s="377"/>
      <c r="T236" s="422">
        <v>200</v>
      </c>
      <c r="U236" s="370">
        <v>9.9999999999999995E-7</v>
      </c>
      <c r="V236" s="370">
        <v>9.9999999999999995E-7</v>
      </c>
      <c r="W236" s="370">
        <v>0</v>
      </c>
      <c r="X236" s="370">
        <v>-0.8</v>
      </c>
      <c r="Y236" s="370">
        <v>0.73</v>
      </c>
      <c r="Z236" s="370">
        <v>0.81</v>
      </c>
      <c r="AA236" s="370">
        <v>0.95</v>
      </c>
      <c r="AB236" s="370">
        <v>0.84</v>
      </c>
      <c r="AC236" s="370">
        <v>-0.28000000000000003</v>
      </c>
      <c r="AD236" s="370">
        <v>0.66</v>
      </c>
      <c r="AE236" s="370">
        <v>-0.28000000000000003</v>
      </c>
      <c r="AF236" s="370">
        <v>-0.66</v>
      </c>
      <c r="AG236" s="371">
        <v>-1.22</v>
      </c>
      <c r="AH236" s="370">
        <f t="shared" si="339"/>
        <v>-0.9</v>
      </c>
      <c r="AI236" s="370">
        <v>0.34</v>
      </c>
      <c r="AJ236" s="370">
        <v>-0.26</v>
      </c>
      <c r="AK236" s="377"/>
      <c r="AX236" s="417"/>
      <c r="AY236" s="417"/>
      <c r="BB236" s="382"/>
      <c r="BD236" s="417"/>
      <c r="BE236" s="417"/>
      <c r="BH236" s="382"/>
      <c r="BJ236" s="417"/>
      <c r="BK236" s="417"/>
      <c r="BN236" s="382"/>
      <c r="BP236" s="417"/>
      <c r="BQ236" s="417"/>
      <c r="BT236" s="382"/>
      <c r="BV236" s="417"/>
      <c r="BW236" s="417"/>
      <c r="BZ236" s="382"/>
    </row>
    <row r="237" spans="1:97" s="773" customFormat="1" ht="13">
      <c r="A237" s="428"/>
      <c r="B237" s="422" t="s">
        <v>397</v>
      </c>
      <c r="C237" s="716">
        <v>0.1</v>
      </c>
      <c r="D237" s="716">
        <v>0.1</v>
      </c>
      <c r="E237" s="716">
        <v>0.28000000000000003</v>
      </c>
      <c r="F237" s="716">
        <v>0.25</v>
      </c>
      <c r="G237" s="716">
        <v>0.26</v>
      </c>
      <c r="H237" s="716">
        <v>0.27</v>
      </c>
      <c r="I237" s="716">
        <v>0.25</v>
      </c>
      <c r="J237" s="716">
        <v>0.25</v>
      </c>
      <c r="K237" s="716">
        <v>0.79</v>
      </c>
      <c r="L237" s="716">
        <v>0.28000000000000003</v>
      </c>
      <c r="M237" s="716">
        <v>0.79</v>
      </c>
      <c r="N237" s="716">
        <v>0.25</v>
      </c>
      <c r="O237" s="716">
        <v>0.27</v>
      </c>
      <c r="P237" s="716">
        <f t="shared" si="338"/>
        <v>0.6</v>
      </c>
      <c r="Q237" s="716">
        <v>0.22</v>
      </c>
      <c r="R237" s="716">
        <v>0.77</v>
      </c>
      <c r="S237" s="428"/>
      <c r="T237" s="422" t="s">
        <v>397</v>
      </c>
      <c r="U237" s="716">
        <v>0.1</v>
      </c>
      <c r="V237" s="716">
        <v>0.1</v>
      </c>
      <c r="W237" s="716">
        <v>0.28000000000000003</v>
      </c>
      <c r="X237" s="716">
        <v>0.26</v>
      </c>
      <c r="Y237" s="716">
        <v>0.26</v>
      </c>
      <c r="Z237" s="716">
        <v>0.28000000000000003</v>
      </c>
      <c r="AA237" s="716">
        <v>0.24</v>
      </c>
      <c r="AB237" s="716">
        <v>0.25</v>
      </c>
      <c r="AC237" s="716">
        <v>0.79</v>
      </c>
      <c r="AD237" s="716">
        <v>0.27</v>
      </c>
      <c r="AE237" s="716">
        <v>0.79</v>
      </c>
      <c r="AF237" s="716">
        <v>0.25</v>
      </c>
      <c r="AG237" s="716">
        <v>0.27</v>
      </c>
      <c r="AH237" s="716">
        <f>AH221</f>
        <v>0.6</v>
      </c>
      <c r="AI237" s="716">
        <v>0.22</v>
      </c>
      <c r="AJ237" s="716">
        <v>0.77</v>
      </c>
      <c r="AK237" s="428"/>
      <c r="AN237" s="426"/>
      <c r="AP237" s="774"/>
      <c r="AT237" s="426"/>
      <c r="AV237" s="774"/>
      <c r="AX237" s="426"/>
      <c r="AY237" s="426"/>
      <c r="AZ237" s="426"/>
      <c r="BD237" s="426"/>
      <c r="BE237" s="426"/>
      <c r="BF237" s="426"/>
      <c r="BJ237" s="426"/>
      <c r="BK237" s="426"/>
      <c r="BL237" s="426"/>
      <c r="BP237" s="426"/>
      <c r="BQ237" s="426"/>
      <c r="BR237" s="426"/>
      <c r="BV237" s="426"/>
      <c r="BW237" s="426"/>
      <c r="BX237" s="426"/>
      <c r="CG237" s="428"/>
      <c r="CM237" s="428"/>
      <c r="CS237" s="428"/>
    </row>
    <row r="238" spans="1:97" s="377" customFormat="1">
      <c r="V238" s="378"/>
      <c r="W238" s="378"/>
      <c r="X238" s="378"/>
      <c r="Y238" s="378"/>
      <c r="Z238" s="378"/>
      <c r="AA238" s="378"/>
      <c r="AB238" s="378"/>
      <c r="AC238" s="378"/>
      <c r="AD238" s="378"/>
      <c r="AI238" s="379"/>
      <c r="AZ238" s="378"/>
      <c r="BB238" s="379"/>
      <c r="BF238" s="378"/>
      <c r="BH238" s="379"/>
      <c r="BL238" s="378"/>
      <c r="BN238" s="379"/>
      <c r="BR238" s="378"/>
      <c r="BT238" s="379"/>
      <c r="BX238" s="378"/>
      <c r="BZ238" s="379"/>
    </row>
    <row r="239" spans="1:97" ht="97.5" customHeight="1">
      <c r="B239" s="441" t="s">
        <v>398</v>
      </c>
      <c r="C239" s="430" t="str">
        <f t="shared" ref="C239:R239" si="340">C223</f>
        <v>Thermocouple Data Logger, Merek : MADGETECH, Model : OctTemp 2000, SN : P40270</v>
      </c>
      <c r="D239" s="430" t="str">
        <f t="shared" si="340"/>
        <v>Thermocouple Data Logger, Merek : MADGETECH, Model : OctTemp 2000, SN : P41878</v>
      </c>
      <c r="E239" s="430" t="str">
        <f t="shared" si="340"/>
        <v>Mobile Corder, Merek : Yokogawa, Model : GP 10, SN : S5T810599</v>
      </c>
      <c r="F239" s="430" t="str">
        <f t="shared" si="340"/>
        <v>Wireless Temperature Recorder, Merek : HIOKI, Model : LR 8510, SN : 200936000</v>
      </c>
      <c r="G239" s="430" t="str">
        <f t="shared" si="340"/>
        <v>Wireless Temperature Recorder, Merek : HIOKI, Model : LR 8510, SN : 200936001</v>
      </c>
      <c r="H239" s="430" t="str">
        <f t="shared" si="340"/>
        <v>Wireless Temperature Recorder, Merek : HIOKI, Model : LR 8510, SN : 200821397</v>
      </c>
      <c r="I239" s="430" t="str">
        <f t="shared" si="340"/>
        <v>Wireless Temperature Recorder, Merek : HIOKI, Model : LR 8510, SN : 210411983</v>
      </c>
      <c r="J239" s="430" t="str">
        <f t="shared" si="340"/>
        <v>Wireless Temperature Recorder, Merek : HIOKI, Model : LR 8510, SN : 210411984</v>
      </c>
      <c r="K239" s="430" t="str">
        <f t="shared" si="340"/>
        <v>Wireless Temperature Recorder, Merek : HIOKI, Model : LR 8510, SN : 210411985</v>
      </c>
      <c r="L239" s="430" t="str">
        <f t="shared" si="340"/>
        <v>Wireless Temperature Recorder, Merek : HIOKI, Model : LR 8510, SN : 210746054</v>
      </c>
      <c r="M239" s="430" t="str">
        <f t="shared" si="340"/>
        <v>Wireless Temperature Recorder, Merek : HIOKI, Model : LR 8510, SN : 210746055</v>
      </c>
      <c r="N239" s="430" t="str">
        <f t="shared" si="340"/>
        <v>Wireless Temperature Recorder, Merek : HIOKI, Model : LR 8510, SN : 210746056</v>
      </c>
      <c r="O239" s="416" t="str">
        <f t="shared" si="340"/>
        <v>Wireless Temperature Recorder, Merek : HIOKI, Model : LR 8510, SN : 200821396</v>
      </c>
      <c r="P239" s="416" t="str">
        <f t="shared" si="340"/>
        <v>Reference Thermometer, Merek : APPA, Model : APPA51, SN : 03002948</v>
      </c>
      <c r="Q239" s="416" t="str">
        <f t="shared" si="340"/>
        <v>Reference Thermometer, Merek : FLUKE, Model : 1524, SN : 1803038</v>
      </c>
      <c r="R239" s="416" t="str">
        <f t="shared" si="340"/>
        <v>Reference Thermometer, Merek : FLUKE, Model : 1524, SN : 1803037</v>
      </c>
      <c r="S239" s="377"/>
      <c r="T239" s="441" t="s">
        <v>399</v>
      </c>
      <c r="U239" s="437" t="str">
        <f t="shared" ref="U239:AJ239" si="341">U223</f>
        <v>Thermocouple Data Logger, Merek : MADGETECH, Model : OctTemp 2000, SN : P40270</v>
      </c>
      <c r="V239" s="437" t="str">
        <f t="shared" si="341"/>
        <v>Thermocouple Data Logger, Merek : MADGETECH, Model : OctTemp 2000, SN : P41878</v>
      </c>
      <c r="W239" s="437" t="str">
        <f t="shared" si="341"/>
        <v>Mobile Corder, Merek : Yokogawa, Model : GP 10, SN : S5T810599</v>
      </c>
      <c r="X239" s="437" t="str">
        <f t="shared" si="341"/>
        <v>Wireless Temperature Recorder, Merek : HIOKI, Model : LR 8510, SN : 200936000</v>
      </c>
      <c r="Y239" s="437" t="str">
        <f t="shared" si="341"/>
        <v>Wireless Temperature Recorder, Merek : HIOKI, Model : LR 8510, SN : 200936001</v>
      </c>
      <c r="Z239" s="437" t="str">
        <f t="shared" si="341"/>
        <v>Wireless Temperature Recorder, Merek : HIOKI, Model : LR 8510, SN : 200821397</v>
      </c>
      <c r="AA239" s="437" t="str">
        <f t="shared" si="341"/>
        <v>Wireless Temperature Recorder, Merek : HIOKI, Model : LR 8510, SN : 210411983</v>
      </c>
      <c r="AB239" s="437" t="str">
        <f t="shared" si="341"/>
        <v>Wireless Temperature Recorder, Merek : HIOKI, Model : LR 8510, SN : 210411984</v>
      </c>
      <c r="AC239" s="437" t="str">
        <f t="shared" si="341"/>
        <v>Wireless Temperature Recorder, Merek : HIOKI, Model : LR 8510, SN : 210411985</v>
      </c>
      <c r="AD239" s="437" t="str">
        <f t="shared" si="341"/>
        <v>Wireless Temperature Recorder, Merek : HIOKI, Model : LR 8510, SN : 210746054</v>
      </c>
      <c r="AE239" s="437" t="str">
        <f t="shared" si="341"/>
        <v>Wireless Temperature Recorder, Merek : HIOKI, Model : LR 8510, SN : 210746055</v>
      </c>
      <c r="AF239" s="437" t="str">
        <f t="shared" si="341"/>
        <v>Wireless Temperature Recorder, Merek : HIOKI, Model : LR 8510, SN : 210746056</v>
      </c>
      <c r="AG239" s="416" t="str">
        <f t="shared" si="341"/>
        <v>Wireless Temperature Recorder, Merek : HIOKI, Model : LR 8510, SN : 200821396</v>
      </c>
      <c r="AH239" s="416" t="str">
        <f t="shared" si="341"/>
        <v>Reference Thermometer, Merek : APPA, Model : APPA51, SN : 03002948</v>
      </c>
      <c r="AI239" s="416" t="str">
        <f t="shared" si="341"/>
        <v>Reference Thermometer, Merek : FLUKE, Model : 1524, SN : 1803038</v>
      </c>
      <c r="AJ239" s="416" t="str">
        <f t="shared" si="341"/>
        <v>Reference Thermometer, Merek : FLUKE, Model : 1524, SN : 1803037</v>
      </c>
      <c r="AK239" s="377"/>
      <c r="AX239" s="419"/>
      <c r="AY239" s="420"/>
      <c r="AZ239" s="421"/>
      <c r="BB239" s="382"/>
      <c r="BD239" s="419"/>
      <c r="BE239" s="420"/>
      <c r="BF239" s="421"/>
      <c r="BH239" s="382"/>
      <c r="BJ239" s="419"/>
      <c r="BK239" s="420"/>
      <c r="BL239" s="421"/>
      <c r="BN239" s="382"/>
      <c r="BP239" s="419"/>
      <c r="BQ239" s="420"/>
      <c r="BR239" s="421"/>
      <c r="BT239" s="382"/>
      <c r="BV239" s="419"/>
      <c r="BW239" s="420"/>
      <c r="BX239" s="421"/>
      <c r="BZ239" s="382"/>
    </row>
    <row r="240" spans="1:97" s="676" customFormat="1" ht="6" customHeight="1">
      <c r="B240" s="696"/>
      <c r="C240" s="689"/>
      <c r="D240" s="689"/>
      <c r="E240" s="689"/>
      <c r="F240" s="689"/>
      <c r="G240" s="689"/>
      <c r="H240" s="689"/>
      <c r="I240" s="689"/>
      <c r="J240" s="689"/>
      <c r="K240" s="689"/>
      <c r="L240" s="689"/>
      <c r="M240" s="689"/>
      <c r="N240" s="689"/>
      <c r="O240" s="682"/>
      <c r="P240" s="680"/>
      <c r="Q240" s="680"/>
      <c r="R240" s="680"/>
      <c r="T240" s="696"/>
      <c r="U240" s="694"/>
      <c r="V240" s="694"/>
      <c r="W240" s="694"/>
      <c r="X240" s="694"/>
      <c r="Y240" s="694"/>
      <c r="Z240" s="694"/>
      <c r="AA240" s="694"/>
      <c r="AB240" s="694"/>
      <c r="AC240" s="694"/>
      <c r="AD240" s="694"/>
      <c r="AE240" s="694"/>
      <c r="AF240" s="694"/>
      <c r="AG240" s="682"/>
      <c r="AH240" s="680"/>
      <c r="AI240" s="680"/>
      <c r="AJ240" s="680"/>
      <c r="AN240" s="683"/>
      <c r="AP240" s="684"/>
      <c r="AT240" s="683"/>
      <c r="AV240" s="684"/>
      <c r="AX240" s="685"/>
      <c r="AY240" s="686"/>
      <c r="AZ240" s="687"/>
      <c r="BD240" s="685"/>
      <c r="BE240" s="686"/>
      <c r="BF240" s="687"/>
      <c r="BJ240" s="685"/>
      <c r="BK240" s="686"/>
      <c r="BL240" s="687"/>
      <c r="BP240" s="685"/>
      <c r="BQ240" s="686"/>
      <c r="BR240" s="687"/>
      <c r="BV240" s="685"/>
      <c r="BW240" s="686"/>
      <c r="BX240" s="687"/>
    </row>
    <row r="241" spans="1:97" ht="13">
      <c r="B241" s="422">
        <v>-20</v>
      </c>
      <c r="C241" s="370">
        <v>9.9999999999999995E-7</v>
      </c>
      <c r="D241" s="370">
        <v>9.9999999999999995E-7</v>
      </c>
      <c r="E241" s="370">
        <v>9.9999999999999995E-7</v>
      </c>
      <c r="F241" s="370">
        <v>9.9999999999999995E-7</v>
      </c>
      <c r="G241" s="370">
        <v>9.9999999999999995E-7</v>
      </c>
      <c r="H241" s="370">
        <v>9.9999999999999995E-7</v>
      </c>
      <c r="I241" s="370">
        <v>9.9999999999999995E-7</v>
      </c>
      <c r="J241" s="370">
        <v>9.9999999999999995E-7</v>
      </c>
      <c r="K241" s="370">
        <v>9.9999999999999995E-7</v>
      </c>
      <c r="L241" s="370">
        <v>9.9999999999999995E-7</v>
      </c>
      <c r="M241" s="370">
        <v>9.9999999999999995E-7</v>
      </c>
      <c r="N241" s="370">
        <v>9.9999999999999995E-7</v>
      </c>
      <c r="O241" s="370">
        <v>2</v>
      </c>
      <c r="P241" s="370">
        <f>P225</f>
        <v>-1.1000000000000001</v>
      </c>
      <c r="Q241" s="370">
        <v>-0.15</v>
      </c>
      <c r="R241" s="370">
        <v>-1.8</v>
      </c>
      <c r="S241" s="377"/>
      <c r="T241" s="422">
        <v>-20</v>
      </c>
      <c r="U241" s="370">
        <v>9.9999999999999995E-7</v>
      </c>
      <c r="V241" s="370">
        <v>9.9999999999999995E-7</v>
      </c>
      <c r="W241" s="370">
        <v>9.9999999999999995E-7</v>
      </c>
      <c r="X241" s="370">
        <v>9.9999999999999995E-7</v>
      </c>
      <c r="Y241" s="370">
        <v>9.9999999999999995E-7</v>
      </c>
      <c r="Z241" s="370">
        <v>9.9999999999999995E-7</v>
      </c>
      <c r="AA241" s="370">
        <v>9.9999999999999995E-7</v>
      </c>
      <c r="AB241" s="370">
        <v>9.9999999999999995E-7</v>
      </c>
      <c r="AC241" s="370">
        <v>9.9999999999999995E-7</v>
      </c>
      <c r="AD241" s="370">
        <v>9.9999999999999995E-7</v>
      </c>
      <c r="AE241" s="370">
        <v>9.9999999999999995E-7</v>
      </c>
      <c r="AF241" s="370">
        <v>9.9999999999999995E-7</v>
      </c>
      <c r="AG241" s="371">
        <v>16</v>
      </c>
      <c r="AH241" s="370">
        <f>AH225</f>
        <v>-1.1000000000000001</v>
      </c>
      <c r="AI241" s="370">
        <v>-0.15</v>
      </c>
      <c r="AJ241" s="370">
        <v>-1.8</v>
      </c>
      <c r="AK241" s="377"/>
      <c r="AX241" s="417"/>
      <c r="AY241" s="417"/>
      <c r="BB241" s="382"/>
      <c r="BD241" s="417"/>
      <c r="BE241" s="417"/>
      <c r="BH241" s="382"/>
      <c r="BJ241" s="417"/>
      <c r="BK241" s="417"/>
      <c r="BN241" s="382"/>
      <c r="BP241" s="417"/>
      <c r="BQ241" s="417"/>
      <c r="BT241" s="382"/>
      <c r="BV241" s="417"/>
      <c r="BW241" s="417"/>
      <c r="BZ241" s="382"/>
    </row>
    <row r="242" spans="1:97" ht="13">
      <c r="B242" s="422">
        <v>-15</v>
      </c>
      <c r="C242" s="370">
        <v>9.9999999999999995E-7</v>
      </c>
      <c r="D242" s="370">
        <v>9.9999999999999995E-7</v>
      </c>
      <c r="E242" s="370">
        <v>9.9999999999999995E-7</v>
      </c>
      <c r="F242" s="370">
        <v>9.9999999999999995E-7</v>
      </c>
      <c r="G242" s="370">
        <v>9.9999999999999995E-7</v>
      </c>
      <c r="H242" s="370">
        <v>9.9999999999999995E-7</v>
      </c>
      <c r="I242" s="370">
        <v>9.9999999999999995E-7</v>
      </c>
      <c r="J242" s="370">
        <v>9.9999999999999995E-7</v>
      </c>
      <c r="K242" s="370">
        <v>9.9999999999999995E-7</v>
      </c>
      <c r="L242" s="370">
        <v>9.9999999999999995E-7</v>
      </c>
      <c r="M242" s="370">
        <v>9.9999999999999995E-7</v>
      </c>
      <c r="N242" s="370">
        <v>9.9999999999999995E-7</v>
      </c>
      <c r="O242" s="370">
        <v>3</v>
      </c>
      <c r="P242" s="370">
        <f t="shared" ref="P242:P253" si="342">P226</f>
        <v>-1.1000000000000001</v>
      </c>
      <c r="Q242" s="370">
        <v>-0.1</v>
      </c>
      <c r="R242" s="370">
        <v>-1.52</v>
      </c>
      <c r="S242" s="377"/>
      <c r="T242" s="422">
        <v>-15</v>
      </c>
      <c r="U242" s="370">
        <v>9.9999999999999995E-7</v>
      </c>
      <c r="V242" s="370">
        <v>9.9999999999999995E-7</v>
      </c>
      <c r="W242" s="370">
        <v>9.9999999999999995E-7</v>
      </c>
      <c r="X242" s="370">
        <v>9.9999999999999995E-7</v>
      </c>
      <c r="Y242" s="370">
        <v>9.9999999999999995E-7</v>
      </c>
      <c r="Z242" s="370">
        <v>9.9999999999999995E-7</v>
      </c>
      <c r="AA242" s="370">
        <v>9.9999999999999995E-7</v>
      </c>
      <c r="AB242" s="370">
        <v>9.9999999999999995E-7</v>
      </c>
      <c r="AC242" s="370">
        <v>9.9999999999999995E-7</v>
      </c>
      <c r="AD242" s="370">
        <v>9.9999999999999995E-7</v>
      </c>
      <c r="AE242" s="370">
        <v>9.9999999999999995E-7</v>
      </c>
      <c r="AF242" s="370">
        <v>9.9999999999999995E-7</v>
      </c>
      <c r="AG242" s="371">
        <v>17</v>
      </c>
      <c r="AH242" s="370">
        <f t="shared" ref="AH242:AH253" si="343">AH226</f>
        <v>-1.1000000000000001</v>
      </c>
      <c r="AI242" s="370">
        <v>-0.1</v>
      </c>
      <c r="AJ242" s="370">
        <v>-1.52</v>
      </c>
      <c r="AK242" s="377"/>
      <c r="AX242" s="417"/>
      <c r="AY242" s="417"/>
      <c r="BB242" s="382"/>
      <c r="BD242" s="417"/>
      <c r="BE242" s="417"/>
      <c r="BH242" s="382"/>
      <c r="BJ242" s="417"/>
      <c r="BK242" s="417"/>
      <c r="BN242" s="382"/>
      <c r="BP242" s="417"/>
      <c r="BQ242" s="417"/>
      <c r="BT242" s="382"/>
      <c r="BV242" s="417"/>
      <c r="BW242" s="417"/>
      <c r="BZ242" s="382"/>
    </row>
    <row r="243" spans="1:97" ht="13">
      <c r="B243" s="422">
        <v>-10</v>
      </c>
      <c r="C243" s="370">
        <v>9.9999999999999995E-7</v>
      </c>
      <c r="D243" s="370">
        <v>9.9999999999999995E-7</v>
      </c>
      <c r="E243" s="370">
        <v>9.9999999999999995E-7</v>
      </c>
      <c r="F243" s="370">
        <v>9.9999999999999995E-7</v>
      </c>
      <c r="G243" s="370">
        <v>9.9999999999999995E-7</v>
      </c>
      <c r="H243" s="370">
        <v>9.9999999999999995E-7</v>
      </c>
      <c r="I243" s="370">
        <v>9.9999999999999995E-7</v>
      </c>
      <c r="J243" s="370">
        <v>9.9999999999999995E-7</v>
      </c>
      <c r="K243" s="370">
        <v>9.9999999999999995E-7</v>
      </c>
      <c r="L243" s="370">
        <v>9.9999999999999995E-7</v>
      </c>
      <c r="M243" s="370">
        <v>9.9999999999999995E-7</v>
      </c>
      <c r="N243" s="370">
        <v>9.9999999999999995E-7</v>
      </c>
      <c r="O243" s="370">
        <v>4</v>
      </c>
      <c r="P243" s="370">
        <f t="shared" si="342"/>
        <v>-1.2</v>
      </c>
      <c r="Q243" s="370">
        <v>-0.05</v>
      </c>
      <c r="R243" s="370">
        <v>-1.26</v>
      </c>
      <c r="S243" s="377"/>
      <c r="T243" s="422">
        <v>-10</v>
      </c>
      <c r="U243" s="370">
        <v>9.9999999999999995E-7</v>
      </c>
      <c r="V243" s="370">
        <v>9.9999999999999995E-7</v>
      </c>
      <c r="W243" s="370">
        <v>9.9999999999999995E-7</v>
      </c>
      <c r="X243" s="370">
        <v>9.9999999999999995E-7</v>
      </c>
      <c r="Y243" s="370">
        <v>9.9999999999999995E-7</v>
      </c>
      <c r="Z243" s="370">
        <v>9.9999999999999995E-7</v>
      </c>
      <c r="AA243" s="370">
        <v>9.9999999999999995E-7</v>
      </c>
      <c r="AB243" s="370">
        <v>9.9999999999999995E-7</v>
      </c>
      <c r="AC243" s="370">
        <v>9.9999999999999995E-7</v>
      </c>
      <c r="AD243" s="370">
        <v>9.9999999999999995E-7</v>
      </c>
      <c r="AE243" s="370">
        <v>9.9999999999999995E-7</v>
      </c>
      <c r="AF243" s="370">
        <v>9.9999999999999995E-7</v>
      </c>
      <c r="AG243" s="371">
        <v>18</v>
      </c>
      <c r="AH243" s="370">
        <f t="shared" si="343"/>
        <v>-1.2</v>
      </c>
      <c r="AI243" s="370">
        <v>-0.05</v>
      </c>
      <c r="AJ243" s="370">
        <v>-1.26</v>
      </c>
      <c r="AK243" s="377"/>
      <c r="AX243" s="417"/>
      <c r="AY243" s="417"/>
      <c r="BB243" s="382"/>
      <c r="BD243" s="417"/>
      <c r="BE243" s="417"/>
      <c r="BH243" s="382"/>
      <c r="BJ243" s="417"/>
      <c r="BK243" s="417"/>
      <c r="BN243" s="382"/>
      <c r="BP243" s="417"/>
      <c r="BQ243" s="417"/>
      <c r="BT243" s="382"/>
      <c r="BV243" s="417"/>
      <c r="BW243" s="417"/>
      <c r="BZ243" s="382"/>
    </row>
    <row r="244" spans="1:97" ht="13">
      <c r="B244" s="422">
        <v>9.9999999999999995E-7</v>
      </c>
      <c r="C244" s="370">
        <v>9.9999999999999995E-7</v>
      </c>
      <c r="D244" s="370">
        <v>9.9999999999999995E-7</v>
      </c>
      <c r="E244" s="370">
        <v>9.9999999999999995E-7</v>
      </c>
      <c r="F244" s="370">
        <v>9.9999999999999995E-7</v>
      </c>
      <c r="G244" s="370">
        <v>9.9999999999999995E-7</v>
      </c>
      <c r="H244" s="370">
        <v>9.9999999999999995E-7</v>
      </c>
      <c r="I244" s="370">
        <v>9.9999999999999995E-7</v>
      </c>
      <c r="J244" s="370">
        <v>9.9999999999999995E-7</v>
      </c>
      <c r="K244" s="370">
        <v>9.9999999999999995E-7</v>
      </c>
      <c r="L244" s="370">
        <v>9.9999999999999995E-7</v>
      </c>
      <c r="M244" s="370">
        <v>9.9999999999999995E-7</v>
      </c>
      <c r="N244" s="370">
        <v>9.9999999999999995E-7</v>
      </c>
      <c r="O244" s="370">
        <v>5</v>
      </c>
      <c r="P244" s="370">
        <f t="shared" si="342"/>
        <v>-1.4</v>
      </c>
      <c r="Q244" s="370">
        <v>0.03</v>
      </c>
      <c r="R244" s="370">
        <v>-0.79</v>
      </c>
      <c r="S244" s="377"/>
      <c r="T244" s="422">
        <v>9.9999999999999995E-7</v>
      </c>
      <c r="U244" s="370">
        <v>9.9999999999999995E-7</v>
      </c>
      <c r="V244" s="370">
        <v>9.9999999999999995E-7</v>
      </c>
      <c r="W244" s="370">
        <v>9.9999999999999995E-7</v>
      </c>
      <c r="X244" s="370">
        <v>9.9999999999999995E-7</v>
      </c>
      <c r="Y244" s="370">
        <v>9.9999999999999995E-7</v>
      </c>
      <c r="Z244" s="370">
        <v>9.9999999999999995E-7</v>
      </c>
      <c r="AA244" s="370">
        <v>9.9999999999999995E-7</v>
      </c>
      <c r="AB244" s="370">
        <v>9.9999999999999995E-7</v>
      </c>
      <c r="AC244" s="370">
        <v>9.9999999999999995E-7</v>
      </c>
      <c r="AD244" s="370">
        <v>9.9999999999999995E-7</v>
      </c>
      <c r="AE244" s="370">
        <v>9.9999999999999995E-7</v>
      </c>
      <c r="AF244" s="370">
        <v>9.9999999999999995E-7</v>
      </c>
      <c r="AG244" s="371">
        <v>19</v>
      </c>
      <c r="AH244" s="370">
        <f t="shared" si="343"/>
        <v>-1.4</v>
      </c>
      <c r="AI244" s="370">
        <v>0.03</v>
      </c>
      <c r="AJ244" s="370">
        <v>-0.79</v>
      </c>
      <c r="AK244" s="377"/>
      <c r="AX244" s="417"/>
      <c r="AY244" s="417"/>
      <c r="BB244" s="382"/>
      <c r="BD244" s="417"/>
      <c r="BE244" s="417"/>
      <c r="BH244" s="382"/>
      <c r="BJ244" s="417"/>
      <c r="BK244" s="417"/>
      <c r="BN244" s="382"/>
      <c r="BP244" s="417"/>
      <c r="BQ244" s="417"/>
      <c r="BT244" s="382"/>
      <c r="BV244" s="417"/>
      <c r="BW244" s="417"/>
      <c r="BZ244" s="382"/>
    </row>
    <row r="245" spans="1:97" ht="13">
      <c r="B245" s="422">
        <v>2</v>
      </c>
      <c r="C245" s="370">
        <v>9.9999999999999995E-7</v>
      </c>
      <c r="D245" s="370">
        <v>9.9999999999999995E-7</v>
      </c>
      <c r="E245" s="370">
        <v>9.9999999999999995E-7</v>
      </c>
      <c r="F245" s="370">
        <v>9.9999999999999995E-7</v>
      </c>
      <c r="G245" s="370">
        <v>9.9999999999999995E-7</v>
      </c>
      <c r="H245" s="370">
        <v>9.9999999999999995E-7</v>
      </c>
      <c r="I245" s="370">
        <v>9.9999999999999995E-7</v>
      </c>
      <c r="J245" s="370">
        <v>9.9999999999999995E-7</v>
      </c>
      <c r="K245" s="370">
        <v>9.9999999999999995E-7</v>
      </c>
      <c r="L245" s="370">
        <v>9.9999999999999995E-7</v>
      </c>
      <c r="M245" s="370">
        <v>9.9999999999999995E-7</v>
      </c>
      <c r="N245" s="370">
        <v>9.9999999999999995E-7</v>
      </c>
      <c r="O245" s="370">
        <v>6</v>
      </c>
      <c r="P245" s="370">
        <f t="shared" si="342"/>
        <v>0</v>
      </c>
      <c r="Q245" s="370">
        <v>0.04</v>
      </c>
      <c r="R245" s="370">
        <v>-2.7</v>
      </c>
      <c r="S245" s="377"/>
      <c r="T245" s="422">
        <v>2</v>
      </c>
      <c r="U245" s="370">
        <v>9.9999999999999995E-7</v>
      </c>
      <c r="V245" s="370">
        <v>9.9999999999999995E-7</v>
      </c>
      <c r="W245" s="370">
        <v>9.9999999999999995E-7</v>
      </c>
      <c r="X245" s="370">
        <v>9.9999999999999995E-7</v>
      </c>
      <c r="Y245" s="370">
        <v>9.9999999999999995E-7</v>
      </c>
      <c r="Z245" s="370">
        <v>9.9999999999999995E-7</v>
      </c>
      <c r="AA245" s="370">
        <v>9.9999999999999995E-7</v>
      </c>
      <c r="AB245" s="370">
        <v>9.9999999999999995E-7</v>
      </c>
      <c r="AC245" s="370">
        <v>9.9999999999999995E-7</v>
      </c>
      <c r="AD245" s="370">
        <v>9.9999999999999995E-7</v>
      </c>
      <c r="AE245" s="370">
        <v>9.9999999999999995E-7</v>
      </c>
      <c r="AF245" s="370">
        <v>9.9999999999999995E-7</v>
      </c>
      <c r="AG245" s="371">
        <v>20</v>
      </c>
      <c r="AH245" s="370">
        <f t="shared" si="343"/>
        <v>0</v>
      </c>
      <c r="AI245" s="370">
        <v>0.04</v>
      </c>
      <c r="AJ245" s="370">
        <v>-2.7</v>
      </c>
      <c r="AK245" s="377"/>
      <c r="AX245" s="417"/>
      <c r="AY245" s="417"/>
      <c r="BB245" s="382"/>
      <c r="BD245" s="417"/>
      <c r="BE245" s="417"/>
      <c r="BH245" s="382"/>
      <c r="BJ245" s="417"/>
      <c r="BK245" s="417"/>
      <c r="BN245" s="382"/>
      <c r="BP245" s="417"/>
      <c r="BQ245" s="417"/>
      <c r="BT245" s="382"/>
      <c r="BV245" s="417"/>
      <c r="BW245" s="417"/>
      <c r="BZ245" s="382"/>
    </row>
    <row r="246" spans="1:97" ht="13">
      <c r="B246" s="422">
        <v>8</v>
      </c>
      <c r="C246" s="370">
        <v>9.9999999999999995E-7</v>
      </c>
      <c r="D246" s="370">
        <v>9.9999999999999995E-7</v>
      </c>
      <c r="E246" s="370">
        <v>9.9999999999999995E-7</v>
      </c>
      <c r="F246" s="370">
        <v>9.9999999999999995E-7</v>
      </c>
      <c r="G246" s="370">
        <v>9.9999999999999995E-7</v>
      </c>
      <c r="H246" s="370">
        <v>9.9999999999999995E-7</v>
      </c>
      <c r="I246" s="370">
        <v>9.9999999999999995E-7</v>
      </c>
      <c r="J246" s="370">
        <v>9.9999999999999995E-7</v>
      </c>
      <c r="K246" s="370">
        <v>9.9999999999999995E-7</v>
      </c>
      <c r="L246" s="370">
        <v>9.9999999999999995E-7</v>
      </c>
      <c r="M246" s="370">
        <v>9.9999999999999995E-7</v>
      </c>
      <c r="N246" s="370">
        <v>9.9999999999999995E-7</v>
      </c>
      <c r="O246" s="370">
        <v>7</v>
      </c>
      <c r="P246" s="370">
        <f t="shared" si="342"/>
        <v>0</v>
      </c>
      <c r="Q246" s="370">
        <v>0.08</v>
      </c>
      <c r="R246" s="370">
        <v>-0.46</v>
      </c>
      <c r="S246" s="377"/>
      <c r="T246" s="422">
        <v>8</v>
      </c>
      <c r="U246" s="370">
        <v>9.9999999999999995E-7</v>
      </c>
      <c r="V246" s="370">
        <v>9.9999999999999995E-7</v>
      </c>
      <c r="W246" s="370">
        <v>9.9999999999999995E-7</v>
      </c>
      <c r="X246" s="370">
        <v>9.9999999999999995E-7</v>
      </c>
      <c r="Y246" s="370">
        <v>9.9999999999999995E-7</v>
      </c>
      <c r="Z246" s="370">
        <v>9.9999999999999995E-7</v>
      </c>
      <c r="AA246" s="370">
        <v>9.9999999999999995E-7</v>
      </c>
      <c r="AB246" s="370">
        <v>9.9999999999999995E-7</v>
      </c>
      <c r="AC246" s="370">
        <v>9.9999999999999995E-7</v>
      </c>
      <c r="AD246" s="370">
        <v>9.9999999999999995E-7</v>
      </c>
      <c r="AE246" s="370">
        <v>9.9999999999999995E-7</v>
      </c>
      <c r="AF246" s="370">
        <v>9.9999999999999995E-7</v>
      </c>
      <c r="AG246" s="371">
        <v>21</v>
      </c>
      <c r="AH246" s="370">
        <f t="shared" si="343"/>
        <v>0</v>
      </c>
      <c r="AI246" s="370">
        <v>0.08</v>
      </c>
      <c r="AJ246" s="370">
        <v>-0.46</v>
      </c>
      <c r="AK246" s="377"/>
      <c r="AX246" s="417"/>
      <c r="AY246" s="417"/>
      <c r="BB246" s="382"/>
      <c r="BD246" s="417"/>
      <c r="BE246" s="417"/>
      <c r="BH246" s="382"/>
      <c r="BJ246" s="417"/>
      <c r="BK246" s="417"/>
      <c r="BN246" s="382"/>
      <c r="BP246" s="417"/>
      <c r="BQ246" s="417"/>
      <c r="BT246" s="382"/>
      <c r="BV246" s="417"/>
      <c r="BW246" s="417"/>
      <c r="BZ246" s="382"/>
    </row>
    <row r="247" spans="1:97" ht="13">
      <c r="B247" s="422">
        <v>37</v>
      </c>
      <c r="C247" s="370">
        <v>9.9999999999999995E-7</v>
      </c>
      <c r="D247" s="370">
        <v>9.9999999999999995E-7</v>
      </c>
      <c r="E247" s="370">
        <v>9.9999999999999995E-7</v>
      </c>
      <c r="F247" s="370">
        <v>9.9999999999999995E-7</v>
      </c>
      <c r="G247" s="370">
        <v>9.9999999999999995E-7</v>
      </c>
      <c r="H247" s="370">
        <v>9.9999999999999995E-7</v>
      </c>
      <c r="I247" s="370">
        <v>9.9999999999999995E-7</v>
      </c>
      <c r="J247" s="370">
        <v>9.9999999999999995E-7</v>
      </c>
      <c r="K247" s="370">
        <v>9.9999999999999995E-7</v>
      </c>
      <c r="L247" s="370">
        <v>9.9999999999999995E-7</v>
      </c>
      <c r="M247" s="370">
        <v>9.9999999999999995E-7</v>
      </c>
      <c r="N247" s="370">
        <v>9.9999999999999995E-7</v>
      </c>
      <c r="O247" s="370">
        <v>8</v>
      </c>
      <c r="P247" s="370">
        <f t="shared" si="342"/>
        <v>0</v>
      </c>
      <c r="Q247" s="370">
        <v>0.23</v>
      </c>
      <c r="R247" s="370">
        <v>0.42</v>
      </c>
      <c r="S247" s="377"/>
      <c r="T247" s="422">
        <v>37</v>
      </c>
      <c r="U247" s="370">
        <v>9.9999999999999995E-7</v>
      </c>
      <c r="V247" s="370">
        <v>9.9999999999999995E-7</v>
      </c>
      <c r="W247" s="370">
        <v>9.9999999999999995E-7</v>
      </c>
      <c r="X247" s="370">
        <v>9.9999999999999995E-7</v>
      </c>
      <c r="Y247" s="370">
        <v>9.9999999999999995E-7</v>
      </c>
      <c r="Z247" s="370">
        <v>9.9999999999999995E-7</v>
      </c>
      <c r="AA247" s="370">
        <v>9.9999999999999995E-7</v>
      </c>
      <c r="AB247" s="370">
        <v>9.9999999999999995E-7</v>
      </c>
      <c r="AC247" s="370">
        <v>9.9999999999999995E-7</v>
      </c>
      <c r="AD247" s="370">
        <v>9.9999999999999995E-7</v>
      </c>
      <c r="AE247" s="370">
        <v>9.9999999999999995E-7</v>
      </c>
      <c r="AF247" s="370">
        <v>9.9999999999999995E-7</v>
      </c>
      <c r="AG247" s="371">
        <v>22</v>
      </c>
      <c r="AH247" s="370">
        <f t="shared" si="343"/>
        <v>0</v>
      </c>
      <c r="AI247" s="370">
        <v>0.23</v>
      </c>
      <c r="AJ247" s="370">
        <v>0.42</v>
      </c>
      <c r="AK247" s="377"/>
      <c r="AX247" s="417"/>
      <c r="AY247" s="417"/>
      <c r="BB247" s="382"/>
      <c r="BD247" s="417"/>
      <c r="BE247" s="417"/>
      <c r="BH247" s="382"/>
      <c r="BJ247" s="417"/>
      <c r="BK247" s="417"/>
      <c r="BN247" s="382"/>
      <c r="BP247" s="417"/>
      <c r="BQ247" s="417"/>
      <c r="BT247" s="382"/>
      <c r="BV247" s="417"/>
      <c r="BW247" s="417"/>
      <c r="BZ247" s="382"/>
    </row>
    <row r="248" spans="1:97" ht="13">
      <c r="B248" s="422">
        <v>44</v>
      </c>
      <c r="C248" s="370">
        <v>9.9999999999999995E-7</v>
      </c>
      <c r="D248" s="370">
        <v>9.9999999999999995E-7</v>
      </c>
      <c r="E248" s="370">
        <v>9.9999999999999995E-7</v>
      </c>
      <c r="F248" s="370">
        <v>9.9999999999999995E-7</v>
      </c>
      <c r="G248" s="370">
        <v>9.9999999999999995E-7</v>
      </c>
      <c r="H248" s="370">
        <v>9.9999999999999995E-7</v>
      </c>
      <c r="I248" s="370">
        <v>9.9999999999999995E-7</v>
      </c>
      <c r="J248" s="370">
        <v>9.9999999999999995E-7</v>
      </c>
      <c r="K248" s="370">
        <v>9.9999999999999995E-7</v>
      </c>
      <c r="L248" s="370">
        <v>9.9999999999999995E-7</v>
      </c>
      <c r="M248" s="370">
        <v>9.9999999999999995E-7</v>
      </c>
      <c r="N248" s="370">
        <v>9.9999999999999995E-7</v>
      </c>
      <c r="O248" s="370">
        <v>9</v>
      </c>
      <c r="P248" s="370">
        <f t="shared" si="342"/>
        <v>0</v>
      </c>
      <c r="Q248" s="370">
        <v>0.25</v>
      </c>
      <c r="R248" s="370">
        <v>0.56999999999999995</v>
      </c>
      <c r="S248" s="377"/>
      <c r="T248" s="422">
        <v>44</v>
      </c>
      <c r="U248" s="370">
        <v>9.9999999999999995E-7</v>
      </c>
      <c r="V248" s="370">
        <v>9.9999999999999995E-7</v>
      </c>
      <c r="W248" s="370">
        <v>9.9999999999999995E-7</v>
      </c>
      <c r="X248" s="370">
        <v>9.9999999999999995E-7</v>
      </c>
      <c r="Y248" s="370">
        <v>9.9999999999999995E-7</v>
      </c>
      <c r="Z248" s="370">
        <v>9.9999999999999995E-7</v>
      </c>
      <c r="AA248" s="370">
        <v>9.9999999999999995E-7</v>
      </c>
      <c r="AB248" s="370">
        <v>9.9999999999999995E-7</v>
      </c>
      <c r="AC248" s="370">
        <v>9.9999999999999995E-7</v>
      </c>
      <c r="AD248" s="370">
        <v>9.9999999999999995E-7</v>
      </c>
      <c r="AE248" s="370">
        <v>9.9999999999999995E-7</v>
      </c>
      <c r="AF248" s="370">
        <v>9.9999999999999995E-7</v>
      </c>
      <c r="AG248" s="371">
        <v>23</v>
      </c>
      <c r="AH248" s="370">
        <f t="shared" si="343"/>
        <v>0</v>
      </c>
      <c r="AI248" s="370">
        <v>0.25</v>
      </c>
      <c r="AJ248" s="370">
        <v>0.56999999999999995</v>
      </c>
      <c r="AK248" s="377"/>
      <c r="AX248" s="417"/>
      <c r="AY248" s="417"/>
      <c r="BB248" s="382"/>
      <c r="BD248" s="417"/>
      <c r="BE248" s="417"/>
      <c r="BH248" s="382"/>
      <c r="BJ248" s="417"/>
      <c r="BK248" s="417"/>
      <c r="BN248" s="382"/>
      <c r="BP248" s="417"/>
      <c r="BQ248" s="417"/>
      <c r="BT248" s="382"/>
      <c r="BV248" s="417"/>
      <c r="BW248" s="417"/>
      <c r="BZ248" s="382"/>
    </row>
    <row r="249" spans="1:97" ht="13">
      <c r="B249" s="422">
        <v>50</v>
      </c>
      <c r="C249" s="370">
        <v>9.9999999999999995E-7</v>
      </c>
      <c r="D249" s="370">
        <v>9.9999999999999995E-7</v>
      </c>
      <c r="E249" s="370">
        <v>9.9999999999999995E-7</v>
      </c>
      <c r="F249" s="370">
        <v>9.9999999999999995E-7</v>
      </c>
      <c r="G249" s="370">
        <v>9.9999999999999995E-7</v>
      </c>
      <c r="H249" s="370">
        <v>9.9999999999999995E-7</v>
      </c>
      <c r="I249" s="370">
        <v>9.9999999999999995E-7</v>
      </c>
      <c r="J249" s="370">
        <v>9.9999999999999995E-7</v>
      </c>
      <c r="K249" s="370">
        <v>9.9999999999999995E-7</v>
      </c>
      <c r="L249" s="370">
        <v>9.9999999999999995E-7</v>
      </c>
      <c r="M249" s="370">
        <v>9.9999999999999995E-7</v>
      </c>
      <c r="N249" s="370">
        <v>9.9999999999999995E-7</v>
      </c>
      <c r="O249" s="370">
        <v>10</v>
      </c>
      <c r="P249" s="370">
        <f t="shared" si="342"/>
        <v>-1</v>
      </c>
      <c r="Q249" s="370">
        <v>0.27</v>
      </c>
      <c r="R249" s="370">
        <v>0.67</v>
      </c>
      <c r="S249" s="377"/>
      <c r="T249" s="422">
        <v>50</v>
      </c>
      <c r="U249" s="370">
        <v>9.9999999999999995E-7</v>
      </c>
      <c r="V249" s="370">
        <v>9.9999999999999995E-7</v>
      </c>
      <c r="W249" s="370">
        <v>9.9999999999999995E-7</v>
      </c>
      <c r="X249" s="370">
        <v>9.9999999999999995E-7</v>
      </c>
      <c r="Y249" s="370">
        <v>9.9999999999999995E-7</v>
      </c>
      <c r="Z249" s="370">
        <v>9.9999999999999995E-7</v>
      </c>
      <c r="AA249" s="370">
        <v>9.9999999999999995E-7</v>
      </c>
      <c r="AB249" s="370">
        <v>9.9999999999999995E-7</v>
      </c>
      <c r="AC249" s="370">
        <v>9.9999999999999995E-7</v>
      </c>
      <c r="AD249" s="370">
        <v>9.9999999999999995E-7</v>
      </c>
      <c r="AE249" s="370">
        <v>9.9999999999999995E-7</v>
      </c>
      <c r="AF249" s="370">
        <v>9.9999999999999995E-7</v>
      </c>
      <c r="AG249" s="371">
        <v>24</v>
      </c>
      <c r="AH249" s="370">
        <f t="shared" si="343"/>
        <v>-1</v>
      </c>
      <c r="AI249" s="370">
        <v>0.27</v>
      </c>
      <c r="AJ249" s="370">
        <v>0.67</v>
      </c>
      <c r="AK249" s="377"/>
      <c r="AX249" s="417"/>
      <c r="AY249" s="417"/>
      <c r="BB249" s="382"/>
      <c r="BD249" s="417"/>
      <c r="BE249" s="417"/>
      <c r="BH249" s="382"/>
      <c r="BJ249" s="417"/>
      <c r="BK249" s="417"/>
      <c r="BN249" s="382"/>
      <c r="BP249" s="417"/>
      <c r="BQ249" s="417"/>
      <c r="BT249" s="382"/>
      <c r="BV249" s="417"/>
      <c r="BW249" s="417"/>
      <c r="BZ249" s="382"/>
    </row>
    <row r="250" spans="1:97" ht="13">
      <c r="B250" s="422">
        <v>100</v>
      </c>
      <c r="C250" s="370">
        <v>9.9999999999999995E-7</v>
      </c>
      <c r="D250" s="370">
        <v>9.9999999999999995E-7</v>
      </c>
      <c r="E250" s="370">
        <v>9.9999999999999995E-7</v>
      </c>
      <c r="F250" s="370">
        <v>9.9999999999999995E-7</v>
      </c>
      <c r="G250" s="370">
        <v>9.9999999999999995E-7</v>
      </c>
      <c r="H250" s="370">
        <v>9.9999999999999995E-7</v>
      </c>
      <c r="I250" s="370">
        <v>9.9999999999999995E-7</v>
      </c>
      <c r="J250" s="370">
        <v>9.9999999999999995E-7</v>
      </c>
      <c r="K250" s="370">
        <v>9.9999999999999995E-7</v>
      </c>
      <c r="L250" s="370">
        <v>9.9999999999999995E-7</v>
      </c>
      <c r="M250" s="370">
        <v>9.9999999999999995E-7</v>
      </c>
      <c r="N250" s="370">
        <v>9.9999999999999995E-7</v>
      </c>
      <c r="O250" s="370">
        <v>11</v>
      </c>
      <c r="P250" s="370">
        <f t="shared" si="342"/>
        <v>-1.6</v>
      </c>
      <c r="Q250" s="370">
        <v>0.31</v>
      </c>
      <c r="R250" s="370">
        <v>0.95</v>
      </c>
      <c r="S250" s="377"/>
      <c r="T250" s="422">
        <v>100</v>
      </c>
      <c r="U250" s="370">
        <v>9.9999999999999995E-7</v>
      </c>
      <c r="V250" s="370">
        <v>9.9999999999999995E-7</v>
      </c>
      <c r="W250" s="370">
        <v>9.9999999999999995E-7</v>
      </c>
      <c r="X250" s="370">
        <v>9.9999999999999995E-7</v>
      </c>
      <c r="Y250" s="370">
        <v>9.9999999999999995E-7</v>
      </c>
      <c r="Z250" s="370">
        <v>9.9999999999999995E-7</v>
      </c>
      <c r="AA250" s="370">
        <v>9.9999999999999995E-7</v>
      </c>
      <c r="AB250" s="370">
        <v>9.9999999999999995E-7</v>
      </c>
      <c r="AC250" s="370">
        <v>9.9999999999999995E-7</v>
      </c>
      <c r="AD250" s="370">
        <v>9.9999999999999995E-7</v>
      </c>
      <c r="AE250" s="370">
        <v>9.9999999999999995E-7</v>
      </c>
      <c r="AF250" s="370">
        <v>9.9999999999999995E-7</v>
      </c>
      <c r="AG250" s="371">
        <v>25</v>
      </c>
      <c r="AH250" s="370">
        <f t="shared" si="343"/>
        <v>-1.6</v>
      </c>
      <c r="AI250" s="370">
        <v>0.31</v>
      </c>
      <c r="AJ250" s="370">
        <v>0.95</v>
      </c>
      <c r="AK250" s="377"/>
      <c r="AX250" s="417"/>
      <c r="AY250" s="417"/>
      <c r="BB250" s="382"/>
      <c r="BD250" s="417"/>
      <c r="BE250" s="417"/>
      <c r="BH250" s="382"/>
      <c r="BJ250" s="417"/>
      <c r="BK250" s="417"/>
      <c r="BN250" s="382"/>
      <c r="BP250" s="417"/>
      <c r="BQ250" s="417"/>
      <c r="BT250" s="382"/>
      <c r="BV250" s="417"/>
      <c r="BW250" s="417"/>
      <c r="BZ250" s="382"/>
    </row>
    <row r="251" spans="1:97" ht="13">
      <c r="B251" s="422">
        <v>150</v>
      </c>
      <c r="C251" s="370">
        <v>9.9999999999999995E-7</v>
      </c>
      <c r="D251" s="370">
        <v>9.9999999999999995E-7</v>
      </c>
      <c r="E251" s="370">
        <v>9.9999999999999995E-7</v>
      </c>
      <c r="F251" s="370">
        <v>9.9999999999999995E-7</v>
      </c>
      <c r="G251" s="370">
        <v>9.9999999999999995E-7</v>
      </c>
      <c r="H251" s="370">
        <v>9.9999999999999995E-7</v>
      </c>
      <c r="I251" s="370">
        <v>9.9999999999999995E-7</v>
      </c>
      <c r="J251" s="370">
        <v>9.9999999999999995E-7</v>
      </c>
      <c r="K251" s="370">
        <v>9.9999999999999995E-7</v>
      </c>
      <c r="L251" s="370">
        <v>9.9999999999999995E-7</v>
      </c>
      <c r="M251" s="370">
        <v>9.9999999999999995E-7</v>
      </c>
      <c r="N251" s="370">
        <v>9.9999999999999995E-7</v>
      </c>
      <c r="O251" s="370">
        <v>12</v>
      </c>
      <c r="P251" s="370">
        <f t="shared" si="342"/>
        <v>-1.7</v>
      </c>
      <c r="Q251" s="370">
        <v>0.3</v>
      </c>
      <c r="R251" s="370">
        <v>0.49</v>
      </c>
      <c r="S251" s="377"/>
      <c r="T251" s="422">
        <v>150</v>
      </c>
      <c r="U251" s="370">
        <v>9.9999999999999995E-7</v>
      </c>
      <c r="V251" s="370">
        <v>9.9999999999999995E-7</v>
      </c>
      <c r="W251" s="370">
        <v>9.9999999999999995E-7</v>
      </c>
      <c r="X251" s="370">
        <v>9.9999999999999995E-7</v>
      </c>
      <c r="Y251" s="370">
        <v>9.9999999999999995E-7</v>
      </c>
      <c r="Z251" s="370">
        <v>9.9999999999999995E-7</v>
      </c>
      <c r="AA251" s="370">
        <v>9.9999999999999995E-7</v>
      </c>
      <c r="AB251" s="370">
        <v>9.9999999999999995E-7</v>
      </c>
      <c r="AC251" s="370">
        <v>9.9999999999999995E-7</v>
      </c>
      <c r="AD251" s="370">
        <v>9.9999999999999995E-7</v>
      </c>
      <c r="AE251" s="370">
        <v>9.9999999999999995E-7</v>
      </c>
      <c r="AF251" s="370">
        <v>9.9999999999999995E-7</v>
      </c>
      <c r="AG251" s="371">
        <v>26</v>
      </c>
      <c r="AH251" s="370">
        <f t="shared" si="343"/>
        <v>-1.7</v>
      </c>
      <c r="AI251" s="370">
        <v>0.3</v>
      </c>
      <c r="AJ251" s="370">
        <v>0.49</v>
      </c>
      <c r="AK251" s="377"/>
      <c r="AX251" s="417"/>
      <c r="AY251" s="417"/>
      <c r="BB251" s="382"/>
      <c r="BD251" s="417"/>
      <c r="BE251" s="417"/>
      <c r="BH251" s="382"/>
      <c r="BJ251" s="417"/>
      <c r="BK251" s="417"/>
      <c r="BN251" s="382"/>
      <c r="BP251" s="417"/>
      <c r="BQ251" s="417"/>
      <c r="BT251" s="382"/>
      <c r="BV251" s="417"/>
      <c r="BW251" s="417"/>
      <c r="BZ251" s="382"/>
    </row>
    <row r="252" spans="1:97" ht="13">
      <c r="B252" s="422">
        <v>200</v>
      </c>
      <c r="C252" s="370">
        <v>9.9999999999999995E-7</v>
      </c>
      <c r="D252" s="370">
        <v>9.9999999999999995E-7</v>
      </c>
      <c r="E252" s="370">
        <v>9.9999999999999995E-7</v>
      </c>
      <c r="F252" s="370">
        <v>9.9999999999999995E-7</v>
      </c>
      <c r="G252" s="370">
        <v>9.9999999999999995E-7</v>
      </c>
      <c r="H252" s="370">
        <v>9.9999999999999995E-7</v>
      </c>
      <c r="I252" s="370">
        <v>9.9999999999999995E-7</v>
      </c>
      <c r="J252" s="370">
        <v>9.9999999999999995E-7</v>
      </c>
      <c r="K252" s="370">
        <v>9.9999999999999995E-7</v>
      </c>
      <c r="L252" s="370">
        <v>9.9999999999999995E-7</v>
      </c>
      <c r="M252" s="370">
        <v>9.9999999999999995E-7</v>
      </c>
      <c r="N252" s="370">
        <v>9.9999999999999995E-7</v>
      </c>
      <c r="O252" s="370">
        <v>13</v>
      </c>
      <c r="P252" s="370">
        <f t="shared" si="342"/>
        <v>-0.9</v>
      </c>
      <c r="Q252" s="370">
        <v>0.34</v>
      </c>
      <c r="R252" s="370">
        <v>-0.26</v>
      </c>
      <c r="S252" s="377"/>
      <c r="T252" s="422">
        <v>200</v>
      </c>
      <c r="U252" s="370">
        <v>9.9999999999999995E-7</v>
      </c>
      <c r="V252" s="370">
        <v>9.9999999999999995E-7</v>
      </c>
      <c r="W252" s="370">
        <v>9.9999999999999995E-7</v>
      </c>
      <c r="X252" s="370">
        <v>9.9999999999999995E-7</v>
      </c>
      <c r="Y252" s="370">
        <v>9.9999999999999995E-7</v>
      </c>
      <c r="Z252" s="370">
        <v>9.9999999999999995E-7</v>
      </c>
      <c r="AA252" s="370">
        <v>9.9999999999999995E-7</v>
      </c>
      <c r="AB252" s="370">
        <v>9.9999999999999995E-7</v>
      </c>
      <c r="AC252" s="370">
        <v>9.9999999999999995E-7</v>
      </c>
      <c r="AD252" s="370">
        <v>9.9999999999999995E-7</v>
      </c>
      <c r="AE252" s="370">
        <v>9.9999999999999995E-7</v>
      </c>
      <c r="AF252" s="370">
        <v>9.9999999999999995E-7</v>
      </c>
      <c r="AG252" s="371">
        <v>27</v>
      </c>
      <c r="AH252" s="370">
        <f t="shared" si="343"/>
        <v>-0.9</v>
      </c>
      <c r="AI252" s="370">
        <v>0.34</v>
      </c>
      <c r="AJ252" s="370">
        <v>-0.26</v>
      </c>
      <c r="AK252" s="377"/>
      <c r="AX252" s="417"/>
      <c r="AY252" s="417"/>
      <c r="BB252" s="382"/>
      <c r="BD252" s="417"/>
      <c r="BE252" s="417"/>
      <c r="BH252" s="382"/>
      <c r="BJ252" s="417"/>
      <c r="BK252" s="417"/>
      <c r="BN252" s="382"/>
      <c r="BP252" s="417"/>
      <c r="BQ252" s="417"/>
      <c r="BT252" s="382"/>
      <c r="BV252" s="417"/>
      <c r="BW252" s="417"/>
      <c r="BZ252" s="382"/>
    </row>
    <row r="253" spans="1:97" s="773" customFormat="1" ht="13">
      <c r="A253" s="428"/>
      <c r="B253" s="422" t="s">
        <v>397</v>
      </c>
      <c r="C253" s="716">
        <v>0.1</v>
      </c>
      <c r="D253" s="716">
        <v>0.1</v>
      </c>
      <c r="E253" s="716">
        <v>0.1</v>
      </c>
      <c r="F253" s="716">
        <v>0.1</v>
      </c>
      <c r="G253" s="716">
        <v>0.1</v>
      </c>
      <c r="H253" s="716">
        <v>0.1</v>
      </c>
      <c r="I253" s="716">
        <v>0.1</v>
      </c>
      <c r="J253" s="716">
        <v>0.1</v>
      </c>
      <c r="K253" s="716">
        <v>0.1</v>
      </c>
      <c r="L253" s="716">
        <v>0.1</v>
      </c>
      <c r="M253" s="716">
        <v>0.1</v>
      </c>
      <c r="N253" s="716">
        <v>0.1</v>
      </c>
      <c r="O253" s="716">
        <v>0.1</v>
      </c>
      <c r="P253" s="716">
        <f t="shared" si="342"/>
        <v>0.6</v>
      </c>
      <c r="Q253" s="716">
        <v>0.22</v>
      </c>
      <c r="R253" s="716">
        <v>0.77</v>
      </c>
      <c r="S253" s="428"/>
      <c r="T253" s="422" t="s">
        <v>397</v>
      </c>
      <c r="U253" s="716">
        <v>0.1</v>
      </c>
      <c r="V253" s="716">
        <v>0.1</v>
      </c>
      <c r="W253" s="716">
        <v>0.1</v>
      </c>
      <c r="X253" s="716">
        <v>0.1</v>
      </c>
      <c r="Y253" s="716">
        <v>0.1</v>
      </c>
      <c r="Z253" s="716">
        <v>0.1</v>
      </c>
      <c r="AA253" s="716">
        <v>0.1</v>
      </c>
      <c r="AB253" s="716">
        <v>0.1</v>
      </c>
      <c r="AC253" s="716">
        <v>0.1</v>
      </c>
      <c r="AD253" s="716">
        <v>0.1</v>
      </c>
      <c r="AE253" s="716">
        <v>0.1</v>
      </c>
      <c r="AF253" s="716">
        <v>0.1</v>
      </c>
      <c r="AG253" s="716">
        <v>28</v>
      </c>
      <c r="AH253" s="716">
        <f t="shared" si="343"/>
        <v>0.6</v>
      </c>
      <c r="AI253" s="716">
        <v>0.22</v>
      </c>
      <c r="AJ253" s="716">
        <v>0.77</v>
      </c>
      <c r="AK253" s="428"/>
      <c r="AN253" s="426"/>
      <c r="AP253" s="774"/>
      <c r="AT253" s="426"/>
      <c r="AV253" s="774"/>
      <c r="AX253" s="426"/>
      <c r="AY253" s="426"/>
      <c r="AZ253" s="426"/>
      <c r="BD253" s="426"/>
      <c r="BE253" s="426"/>
      <c r="BF253" s="426"/>
      <c r="BJ253" s="426"/>
      <c r="BK253" s="426"/>
      <c r="BL253" s="426"/>
      <c r="BP253" s="426"/>
      <c r="BQ253" s="426"/>
      <c r="BR253" s="426"/>
      <c r="BV253" s="426"/>
      <c r="BW253" s="426"/>
      <c r="BX253" s="426"/>
      <c r="CG253" s="428"/>
      <c r="CM253" s="428"/>
      <c r="CS253" s="428"/>
    </row>
    <row r="254" spans="1:97" s="377" customFormat="1" ht="13">
      <c r="B254" s="397"/>
      <c r="C254" s="397"/>
      <c r="D254" s="397"/>
      <c r="E254" s="378"/>
      <c r="F254" s="378"/>
      <c r="G254" s="378"/>
      <c r="H254" s="378"/>
      <c r="I254" s="378"/>
      <c r="J254" s="378"/>
      <c r="K254" s="378"/>
      <c r="L254" s="378"/>
      <c r="M254" s="378"/>
      <c r="N254" s="378"/>
      <c r="O254" s="378"/>
      <c r="R254" s="397"/>
      <c r="S254" s="397"/>
      <c r="T254" s="397"/>
      <c r="U254" s="378"/>
      <c r="V254" s="397"/>
      <c r="W254" s="397"/>
      <c r="X254" s="397"/>
      <c r="Y254" s="397"/>
      <c r="Z254" s="397"/>
      <c r="AA254" s="397"/>
      <c r="AB254" s="397"/>
      <c r="AD254" s="378"/>
      <c r="AE254" s="397"/>
      <c r="AF254" s="397"/>
      <c r="AG254" s="397"/>
      <c r="AH254" s="378"/>
      <c r="AJ254" s="379"/>
      <c r="AK254" s="397"/>
      <c r="AL254" s="397"/>
      <c r="AM254" s="397"/>
      <c r="AN254" s="378"/>
      <c r="AR254" s="397"/>
      <c r="AS254" s="397"/>
      <c r="AT254" s="378"/>
      <c r="AX254" s="397"/>
      <c r="AY254" s="397"/>
      <c r="AZ254" s="378"/>
      <c r="BD254" s="397"/>
      <c r="BE254" s="397"/>
      <c r="BF254" s="378"/>
      <c r="BJ254" s="397"/>
      <c r="BK254" s="397"/>
      <c r="BL254" s="378"/>
      <c r="BP254" s="397"/>
      <c r="BQ254" s="397"/>
      <c r="BR254" s="378"/>
      <c r="BV254" s="397"/>
      <c r="BW254" s="397"/>
      <c r="BX254" s="378"/>
    </row>
    <row r="255" spans="1:97" s="377" customFormat="1" ht="13">
      <c r="B255" s="397"/>
      <c r="C255" s="397"/>
      <c r="D255" s="397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R255" s="397"/>
      <c r="S255" s="397"/>
      <c r="T255" s="397"/>
      <c r="U255" s="378"/>
      <c r="V255" s="397"/>
      <c r="W255" s="397"/>
      <c r="X255" s="397"/>
      <c r="Y255" s="397"/>
      <c r="Z255" s="397"/>
      <c r="AA255" s="397"/>
      <c r="AB255" s="397"/>
      <c r="AD255" s="378"/>
      <c r="AE255" s="397"/>
      <c r="AF255" s="397"/>
      <c r="AG255" s="397"/>
      <c r="AH255" s="378"/>
      <c r="AJ255" s="379"/>
      <c r="AK255" s="397"/>
      <c r="AL255" s="397"/>
      <c r="AM255" s="397"/>
      <c r="AN255" s="378"/>
      <c r="AR255" s="397"/>
      <c r="AS255" s="397"/>
      <c r="AT255" s="378"/>
      <c r="AX255" s="397"/>
      <c r="AY255" s="397"/>
      <c r="AZ255" s="378"/>
      <c r="BD255" s="397"/>
      <c r="BE255" s="397"/>
      <c r="BF255" s="378"/>
      <c r="BJ255" s="397"/>
      <c r="BK255" s="397"/>
      <c r="BL255" s="378"/>
      <c r="BP255" s="397"/>
      <c r="BQ255" s="397"/>
      <c r="BR255" s="378"/>
      <c r="BV255" s="397"/>
      <c r="BW255" s="397"/>
      <c r="BX255" s="378"/>
    </row>
    <row r="256" spans="1:97" s="377" customFormat="1" ht="20.149999999999999" customHeight="1">
      <c r="T256" s="378"/>
      <c r="U256" s="378"/>
      <c r="V256" s="378"/>
      <c r="W256" s="378"/>
      <c r="X256" s="378"/>
      <c r="Y256" s="378"/>
      <c r="Z256" s="378"/>
      <c r="AA256" s="378"/>
      <c r="AB256" s="378"/>
      <c r="AH256" s="378"/>
      <c r="AJ256" s="379"/>
      <c r="AN256" s="378"/>
      <c r="AT256" s="378"/>
      <c r="AZ256" s="378"/>
      <c r="BF256" s="378"/>
      <c r="BL256" s="378"/>
      <c r="BR256" s="378"/>
      <c r="BX256" s="378"/>
    </row>
    <row r="257" spans="2:78" ht="70" customHeight="1">
      <c r="B257" s="1205" t="s">
        <v>400</v>
      </c>
      <c r="C257" s="1205"/>
      <c r="D257" s="1205"/>
      <c r="E257" s="1205"/>
      <c r="F257" s="1205"/>
      <c r="G257" s="1205"/>
      <c r="H257" s="1205"/>
      <c r="I257" s="1205"/>
      <c r="J257" s="1205"/>
      <c r="K257" s="1205"/>
      <c r="L257" s="1205"/>
      <c r="M257" s="377"/>
      <c r="N257" s="377"/>
      <c r="O257" s="377"/>
      <c r="P257" s="377"/>
      <c r="Q257" s="377"/>
      <c r="R257" s="377"/>
      <c r="AP257" s="382"/>
      <c r="AV257" s="382"/>
      <c r="BB257" s="382"/>
      <c r="BH257" s="382"/>
      <c r="BN257" s="382"/>
      <c r="BT257" s="382"/>
      <c r="BZ257" s="382"/>
    </row>
    <row r="258" spans="2:78" ht="20.149999999999999" customHeight="1">
      <c r="B258" s="1206"/>
      <c r="C258" s="1206"/>
      <c r="D258" s="1206"/>
      <c r="E258" s="1206"/>
      <c r="F258" s="1206"/>
      <c r="G258" s="1206"/>
      <c r="H258" s="1206"/>
      <c r="I258" s="1206"/>
      <c r="J258" s="1206"/>
      <c r="K258" s="1206"/>
      <c r="L258" s="1206"/>
      <c r="M258" s="377"/>
      <c r="N258" s="377"/>
      <c r="O258" s="377"/>
      <c r="P258" s="377"/>
      <c r="Q258" s="377"/>
      <c r="R258" s="377"/>
      <c r="AP258" s="382"/>
      <c r="AV258" s="382"/>
      <c r="BB258" s="382"/>
      <c r="BH258" s="382"/>
      <c r="BN258" s="382"/>
      <c r="BT258" s="382"/>
      <c r="BZ258" s="382"/>
    </row>
    <row r="259" spans="2:78" ht="84" customHeight="1">
      <c r="B259" s="442" t="str">
        <f>ID!B111</f>
        <v>Thermocouple Data Logger, Merek : MADGETECH, Model : OctTemp 2000, SN : P41878</v>
      </c>
      <c r="C259" s="443" t="s">
        <v>383</v>
      </c>
      <c r="D259" s="443" t="s">
        <v>387</v>
      </c>
      <c r="E259" s="443" t="s">
        <v>388</v>
      </c>
      <c r="F259" s="443" t="s">
        <v>389</v>
      </c>
      <c r="G259" s="443" t="s">
        <v>390</v>
      </c>
      <c r="H259" s="443" t="s">
        <v>391</v>
      </c>
      <c r="I259" s="443" t="s">
        <v>392</v>
      </c>
      <c r="J259" s="443" t="s">
        <v>393</v>
      </c>
      <c r="K259" s="443" t="s">
        <v>394</v>
      </c>
      <c r="L259" s="443" t="s">
        <v>395</v>
      </c>
      <c r="M259" s="378"/>
      <c r="N259" s="378"/>
      <c r="O259" s="378"/>
      <c r="P259" s="378"/>
      <c r="Q259" s="378"/>
      <c r="R259" s="378"/>
      <c r="AP259" s="382"/>
      <c r="AV259" s="382"/>
      <c r="BB259" s="382"/>
      <c r="BH259" s="382"/>
      <c r="BN259" s="382"/>
      <c r="BT259" s="382"/>
      <c r="BZ259" s="382"/>
    </row>
    <row r="260" spans="2:78" ht="13" hidden="1">
      <c r="B260" s="444">
        <v>-25</v>
      </c>
      <c r="C260" s="445">
        <f>HLOOKUP($B$259,$B$156:$R$170,2,0)</f>
        <v>0</v>
      </c>
      <c r="D260" s="445">
        <f>HLOOKUP($B$259,$T$156:$AJ$170,2,0)</f>
        <v>0</v>
      </c>
      <c r="E260" s="445">
        <f>HLOOKUP($B$259,$B$173:$R$187,2,0)</f>
        <v>0</v>
      </c>
      <c r="F260" s="445">
        <f>HLOOKUP($B$259,$T$173:$AJ$187,2,0)</f>
        <v>0</v>
      </c>
      <c r="G260" s="445">
        <f>HLOOKUP($B$259,$B$190:$R$204,2,0)</f>
        <v>0</v>
      </c>
      <c r="H260" s="445">
        <f>HLOOKUP($B$259,$T$190:$AJ$204,2,0)</f>
        <v>0</v>
      </c>
      <c r="I260" s="445">
        <f>HLOOKUP($B$259,$B$207:$R$221,2,0)</f>
        <v>0</v>
      </c>
      <c r="J260" s="445">
        <f>HLOOKUP($B$259,$T$207:$AJ$221,2,0)</f>
        <v>0</v>
      </c>
      <c r="K260" s="445">
        <f>HLOOKUP($B$259,$B$223:$R$237,2,0)</f>
        <v>0</v>
      </c>
      <c r="L260" s="445">
        <f t="shared" ref="L260:L272" si="344">HLOOKUP($B$259,$T$223:$AJ$237,2,0)</f>
        <v>0</v>
      </c>
      <c r="M260" s="395"/>
      <c r="N260" s="395"/>
      <c r="O260" s="395"/>
      <c r="P260" s="395"/>
      <c r="Q260" s="395"/>
      <c r="R260" s="395"/>
      <c r="AP260" s="382"/>
      <c r="AV260" s="382"/>
      <c r="BB260" s="382"/>
      <c r="BH260" s="382"/>
      <c r="BN260" s="382"/>
      <c r="BT260" s="382"/>
      <c r="BZ260" s="382"/>
    </row>
    <row r="261" spans="2:78" ht="15.5">
      <c r="B261" s="444">
        <v>-20</v>
      </c>
      <c r="C261" s="445">
        <f>HLOOKUP($B$259,$B$156:$R$170,3,0)</f>
        <v>-0.62</v>
      </c>
      <c r="D261" s="445">
        <f>HLOOKUP($B$259,$T$156:$AJ$170,3,0)</f>
        <v>-0.59</v>
      </c>
      <c r="E261" s="445">
        <f>HLOOKUP($B$259,$B$173:$R$187,3,0)</f>
        <v>-0.48</v>
      </c>
      <c r="F261" s="445">
        <f>HLOOKUP($B$259,$T$173:$AJ$187,3,0)</f>
        <v>-0.42</v>
      </c>
      <c r="G261" s="445">
        <f>HLOOKUP($B$259,$B$190:$R$204,3,0)</f>
        <v>-0.47</v>
      </c>
      <c r="H261" s="445">
        <f>HLOOKUP($B$259,$T$190:$AJ$204,3,0)</f>
        <v>-0.43</v>
      </c>
      <c r="I261" s="445">
        <f>HLOOKUP($B$259,$B$207:$R$221,3,0)</f>
        <v>-0.49</v>
      </c>
      <c r="J261" s="445">
        <f>HLOOKUP($B$259,$T$207:$AJ$221,3,0)</f>
        <v>-0.47</v>
      </c>
      <c r="K261" s="445">
        <f>HLOOKUP($B$259,$B$223:$R$237,3,0)</f>
        <v>9.9999999999999995E-7</v>
      </c>
      <c r="L261" s="445">
        <f t="shared" si="344"/>
        <v>0</v>
      </c>
      <c r="M261" s="395"/>
      <c r="N261" s="395"/>
      <c r="O261" s="395"/>
      <c r="P261" s="395"/>
      <c r="Q261" s="395"/>
      <c r="R261" s="395"/>
      <c r="V261" s="446"/>
      <c r="W261" s="446"/>
      <c r="X261" s="446"/>
      <c r="Y261" s="446"/>
      <c r="Z261" s="446"/>
      <c r="AA261" s="446"/>
      <c r="AB261" s="446"/>
      <c r="AP261" s="382"/>
      <c r="AV261" s="382"/>
      <c r="BB261" s="382"/>
      <c r="BH261" s="382"/>
      <c r="BN261" s="382"/>
      <c r="BT261" s="382"/>
      <c r="BZ261" s="382"/>
    </row>
    <row r="262" spans="2:78" ht="15.5">
      <c r="B262" s="444">
        <v>-15</v>
      </c>
      <c r="C262" s="445">
        <f>HLOOKUP($B$259,$B$156:$R$170,4,0)</f>
        <v>0.52</v>
      </c>
      <c r="D262" s="445">
        <f>HLOOKUP($B$259,$T$156:$AJ$170,4,0)</f>
        <v>-0.51</v>
      </c>
      <c r="E262" s="445">
        <f>HLOOKUP($B$259,$B$173:$R$187,4,0)</f>
        <v>-0.41</v>
      </c>
      <c r="F262" s="445">
        <f>HLOOKUP($B$259,$T$173:$AJ$187,4,0)</f>
        <v>-0.37</v>
      </c>
      <c r="G262" s="445">
        <f>HLOOKUP($B$259,$B$190:$R$204,4,0)</f>
        <v>-0.4</v>
      </c>
      <c r="H262" s="445">
        <f>HLOOKUP($B$259,$T$190:$AJ$204,4,0)</f>
        <v>-0.37</v>
      </c>
      <c r="I262" s="445">
        <f>HLOOKUP($B$259,$B$207:$R$221,4,0)</f>
        <v>-0.42</v>
      </c>
      <c r="J262" s="445">
        <f>HLOOKUP($B$259,$T$207:$AJ$221,4,0)</f>
        <v>-0.4</v>
      </c>
      <c r="K262" s="445">
        <f>HLOOKUP($B$259,$B$223:$R$237,4,0)</f>
        <v>9.9999999999999995E-7</v>
      </c>
      <c r="L262" s="445">
        <f t="shared" si="344"/>
        <v>0</v>
      </c>
      <c r="M262" s="447"/>
      <c r="N262" s="395"/>
      <c r="O262" s="395"/>
      <c r="P262" s="395"/>
      <c r="Q262" s="395"/>
      <c r="R262" s="395"/>
      <c r="V262" s="446"/>
      <c r="W262" s="446"/>
      <c r="X262" s="446"/>
      <c r="Y262" s="446"/>
      <c r="Z262" s="446"/>
      <c r="AA262" s="446"/>
      <c r="AB262" s="446"/>
      <c r="AP262" s="382"/>
      <c r="AV262" s="382"/>
      <c r="BB262" s="382"/>
      <c r="BH262" s="382"/>
      <c r="BN262" s="382"/>
      <c r="BT262" s="382"/>
      <c r="BZ262" s="382"/>
    </row>
    <row r="263" spans="2:78" ht="15.5">
      <c r="B263" s="444">
        <v>-10</v>
      </c>
      <c r="C263" s="445">
        <f>HLOOKUP($B$259,$B$156:$R$170,5,0)</f>
        <v>-0.43</v>
      </c>
      <c r="D263" s="445">
        <f>HLOOKUP($B$259,$T$156:$AJ$170,5,0)</f>
        <v>-0.42</v>
      </c>
      <c r="E263" s="445">
        <f>HLOOKUP($B$259,$B$173:$R$187,5,0)</f>
        <v>-0.35</v>
      </c>
      <c r="F263" s="445">
        <f>HLOOKUP($B$259,$T$173:$AJ$187,5,0)</f>
        <v>-0.31</v>
      </c>
      <c r="G263" s="445">
        <f>HLOOKUP($B$259,$B$190:$R$204,5,0)</f>
        <v>-0.34</v>
      </c>
      <c r="H263" s="445">
        <f>HLOOKUP($B$259,$T$190:$AJ$204,5,0)</f>
        <v>-0.31</v>
      </c>
      <c r="I263" s="445">
        <f>HLOOKUP($B$259,$B$207:$R$221,5,0)</f>
        <v>-0.35</v>
      </c>
      <c r="J263" s="445">
        <f>HLOOKUP($B$259,$T$207:$AJ$221,5,0)</f>
        <v>-0.34</v>
      </c>
      <c r="K263" s="445">
        <f>HLOOKUP($B$259,$B$223:$R$237,5,0)</f>
        <v>9.9999999999999995E-7</v>
      </c>
      <c r="L263" s="445">
        <f t="shared" si="344"/>
        <v>0</v>
      </c>
      <c r="M263" s="395"/>
      <c r="N263" s="395"/>
      <c r="O263" s="395"/>
      <c r="P263" s="395"/>
      <c r="Q263" s="395"/>
      <c r="R263" s="395"/>
      <c r="V263" s="446"/>
      <c r="W263" s="446"/>
      <c r="X263" s="446"/>
      <c r="Y263" s="446"/>
      <c r="Z263" s="446"/>
      <c r="AA263" s="446"/>
      <c r="AB263" s="446"/>
      <c r="AP263" s="382"/>
      <c r="AV263" s="382"/>
      <c r="BB263" s="382"/>
      <c r="BH263" s="382"/>
      <c r="BN263" s="382"/>
      <c r="BT263" s="382"/>
      <c r="BZ263" s="382"/>
    </row>
    <row r="264" spans="2:78" ht="15.5">
      <c r="B264" s="444">
        <v>9.9999999999999995E-7</v>
      </c>
      <c r="C264" s="445">
        <f>HLOOKUP($B$259,$B$156:$R$170,6,0)</f>
        <v>-0.26</v>
      </c>
      <c r="D264" s="445">
        <f>HLOOKUP($B$259,$T$156:$AJ$170,6,0)</f>
        <v>-0.26</v>
      </c>
      <c r="E264" s="445">
        <f>HLOOKUP($B$259,$B$173:$R$187,6,0)</f>
        <v>-0.23</v>
      </c>
      <c r="F264" s="445">
        <f>HLOOKUP($B$259,$T$173:$AJ$187,6,0)</f>
        <v>-0.2</v>
      </c>
      <c r="G264" s="445">
        <f>HLOOKUP($B$259,$B$190:$R$204,6,0)</f>
        <v>-0.22</v>
      </c>
      <c r="H264" s="445">
        <f>HLOOKUP($B$259,$T$190:$AJ$204,6,0)</f>
        <v>-0.19</v>
      </c>
      <c r="I264" s="445">
        <f>HLOOKUP($B$259,$B$207:$R$221,6,0)</f>
        <v>-0.22</v>
      </c>
      <c r="J264" s="445">
        <f>HLOOKUP($B$259,$T$207:$AJ$221,6,0)</f>
        <v>-0.21</v>
      </c>
      <c r="K264" s="445">
        <f>HLOOKUP($B$259,$B$223:$R$237,6,0)</f>
        <v>9.9999999999999995E-7</v>
      </c>
      <c r="L264" s="445">
        <f t="shared" si="344"/>
        <v>0</v>
      </c>
      <c r="M264" s="395"/>
      <c r="N264" s="395"/>
      <c r="O264" s="395"/>
      <c r="P264" s="395"/>
      <c r="Q264" s="395"/>
      <c r="R264" s="395"/>
      <c r="V264" s="60"/>
      <c r="W264" s="60"/>
      <c r="X264" s="60"/>
      <c r="Y264" s="60"/>
      <c r="Z264" s="60"/>
      <c r="AA264" s="60"/>
      <c r="AB264" s="60"/>
      <c r="AP264" s="382"/>
      <c r="AV264" s="382"/>
      <c r="BB264" s="382"/>
      <c r="BH264" s="382"/>
      <c r="BN264" s="382"/>
      <c r="BT264" s="382"/>
      <c r="BZ264" s="382"/>
    </row>
    <row r="265" spans="2:78" ht="15.5">
      <c r="B265" s="444">
        <v>2</v>
      </c>
      <c r="C265" s="445">
        <f>HLOOKUP($B$259,$B$156:$R$170,7,0)</f>
        <v>-0.23</v>
      </c>
      <c r="D265" s="445">
        <f>HLOOKUP($B$259,$T$156:$AJ$170,7,0)</f>
        <v>-0.23</v>
      </c>
      <c r="E265" s="445">
        <f>HLOOKUP($B$259,$B$173:$R$187,7,0)</f>
        <v>-0.2</v>
      </c>
      <c r="F265" s="445">
        <f>HLOOKUP($B$259,$T$173:$AJ$187,7,0)</f>
        <v>-0.18</v>
      </c>
      <c r="G265" s="445">
        <f>HLOOKUP($B$259,$B$190:$R$204,7,0)</f>
        <v>-0.19</v>
      </c>
      <c r="H265" s="445">
        <f>HLOOKUP($B$259,$T$190:$AJ$204,7,0)</f>
        <v>-0.17</v>
      </c>
      <c r="I265" s="445">
        <f>HLOOKUP($B$259,$B$207:$R$221,7,0)</f>
        <v>-0.19</v>
      </c>
      <c r="J265" s="445">
        <f>HLOOKUP($B$259,$T$207:$AJ$221,7,0)</f>
        <v>-0.19</v>
      </c>
      <c r="K265" s="445">
        <f>HLOOKUP($B$259,$B$223:$R$237,7,0)</f>
        <v>9.9999999999999995E-7</v>
      </c>
      <c r="L265" s="445">
        <f t="shared" si="344"/>
        <v>0</v>
      </c>
      <c r="M265" s="395"/>
      <c r="N265" s="395"/>
      <c r="O265" s="395"/>
      <c r="P265" s="395"/>
      <c r="Q265" s="395"/>
      <c r="R265" s="395"/>
      <c r="V265" s="60"/>
      <c r="W265" s="60"/>
      <c r="X265" s="60"/>
      <c r="Y265" s="60"/>
      <c r="Z265" s="60"/>
      <c r="AA265" s="60"/>
      <c r="AB265" s="60"/>
    </row>
    <row r="266" spans="2:78" ht="15.5">
      <c r="B266" s="444">
        <v>8</v>
      </c>
      <c r="C266" s="445">
        <f>HLOOKUP($B$259,$B$156:$R$170,8,0)</f>
        <v>-0.13</v>
      </c>
      <c r="D266" s="445">
        <f>HLOOKUP($B$259,$T$156:$AJ$170,8,0)</f>
        <v>-0.14000000000000001</v>
      </c>
      <c r="E266" s="445">
        <f>HLOOKUP($B$259,$B$173:$R$187,8,0)</f>
        <v>-0.13</v>
      </c>
      <c r="F266" s="445">
        <f>HLOOKUP($B$259,$T$173:$AJ$187,8,0)</f>
        <v>-0.12</v>
      </c>
      <c r="G266" s="445">
        <f>HLOOKUP($B$259,$B$190:$R$204,8,0)</f>
        <v>-0.12</v>
      </c>
      <c r="H266" s="445">
        <f>HLOOKUP($B$259,$T$190:$AJ$204,8,0)</f>
        <v>-0.1</v>
      </c>
      <c r="I266" s="445">
        <f>HLOOKUP($B$259,$B$207:$R$221,8,0)</f>
        <v>-0.12</v>
      </c>
      <c r="J266" s="445">
        <f>HLOOKUP($B$259,$T$207:$AJ$221,8,0)</f>
        <v>-0.12</v>
      </c>
      <c r="K266" s="445">
        <f>HLOOKUP($B$259,$B$223:$R$237,8,0)</f>
        <v>9.9999999999999995E-7</v>
      </c>
      <c r="L266" s="445">
        <f t="shared" si="344"/>
        <v>0</v>
      </c>
      <c r="M266" s="395"/>
      <c r="N266" s="395"/>
      <c r="O266" s="395"/>
      <c r="P266" s="395"/>
      <c r="Q266" s="395"/>
      <c r="R266" s="395"/>
      <c r="V266" s="60"/>
      <c r="W266" s="60"/>
      <c r="X266" s="60"/>
      <c r="Y266" s="60"/>
      <c r="Z266" s="60"/>
      <c r="AA266" s="60"/>
      <c r="AB266" s="60"/>
    </row>
    <row r="267" spans="2:78" ht="15.5">
      <c r="B267" s="444">
        <v>37</v>
      </c>
      <c r="C267" s="445">
        <f>HLOOKUP($B$259,$B$156:$R$170,9,0)</f>
        <v>0.21</v>
      </c>
      <c r="D267" s="445">
        <f>HLOOKUP($B$259,$T$156:$AJ$170,9,0)</f>
        <v>0.21</v>
      </c>
      <c r="E267" s="445">
        <f>HLOOKUP($B$259,$B$173:$R$187,9,0)</f>
        <v>0.18</v>
      </c>
      <c r="F267" s="445">
        <f>HLOOKUP($B$259,$T$173:$AJ$187,9,0)</f>
        <v>0.17</v>
      </c>
      <c r="G267" s="445">
        <f>HLOOKUP($B$259,$B$190:$R$204,9,0)</f>
        <v>0.18</v>
      </c>
      <c r="H267" s="445">
        <f>HLOOKUP($B$259,$T$190:$AJ$204,9,0)</f>
        <v>0.19</v>
      </c>
      <c r="I267" s="445">
        <f>HLOOKUP($B$259,$B$207:$R$221,9,0)</f>
        <v>0.2</v>
      </c>
      <c r="J267" s="445">
        <f>HLOOKUP($B$259,$T$207:$AJ$221,9,0)</f>
        <v>0.19</v>
      </c>
      <c r="K267" s="445">
        <f>HLOOKUP($B$259,$B$223:$R$237,9,0)</f>
        <v>9.9999999999999995E-7</v>
      </c>
      <c r="L267" s="445">
        <f t="shared" si="344"/>
        <v>0</v>
      </c>
      <c r="M267" s="395"/>
      <c r="N267" s="395"/>
      <c r="O267" s="395"/>
      <c r="P267" s="395"/>
      <c r="Q267" s="395"/>
      <c r="R267" s="395"/>
      <c r="V267" s="60"/>
      <c r="W267" s="60"/>
      <c r="X267" s="60"/>
      <c r="Y267" s="60"/>
      <c r="Z267" s="60"/>
      <c r="AA267" s="60"/>
      <c r="AB267" s="60"/>
    </row>
    <row r="268" spans="2:78" ht="15.5">
      <c r="B268" s="444">
        <v>44</v>
      </c>
      <c r="C268" s="445">
        <f>HLOOKUP($B$259,$B$156:$R$170,10,0)</f>
        <v>0.28000000000000003</v>
      </c>
      <c r="D268" s="445">
        <f>HLOOKUP($B$259,$T$156:$AJ$170,10,0)</f>
        <v>0.27</v>
      </c>
      <c r="E268" s="445">
        <f>HLOOKUP($B$259,$B$173:$R$187,10,0)</f>
        <v>0.25</v>
      </c>
      <c r="F268" s="445">
        <f>HLOOKUP($B$259,$T$173:$AJ$187,10,0)</f>
        <v>0.23</v>
      </c>
      <c r="G268" s="445">
        <f>HLOOKUP($B$259,$B$190:$R$204,10,0)</f>
        <v>0.25</v>
      </c>
      <c r="H268" s="445">
        <f>HLOOKUP($B$259,$T$190:$AJ$204,10,0)</f>
        <v>0.25</v>
      </c>
      <c r="I268" s="445">
        <f>HLOOKUP($B$259,$B$207:$R$221,10,0)</f>
        <v>0.26</v>
      </c>
      <c r="J268" s="445">
        <f>HLOOKUP($B$259,$T$207:$AJ$221,10,0)</f>
        <v>0.26</v>
      </c>
      <c r="K268" s="445">
        <f>HLOOKUP($B$259,$B$223:$R$237,10,0)</f>
        <v>9.9999999999999995E-7</v>
      </c>
      <c r="L268" s="445">
        <f t="shared" si="344"/>
        <v>0</v>
      </c>
      <c r="M268" s="395"/>
      <c r="N268" s="395"/>
      <c r="O268" s="395"/>
      <c r="P268" s="395"/>
      <c r="Q268" s="395"/>
      <c r="R268" s="395"/>
      <c r="V268" s="60"/>
      <c r="W268" s="60"/>
      <c r="X268" s="60"/>
      <c r="Y268" s="60"/>
      <c r="Z268" s="60"/>
      <c r="AA268" s="60"/>
      <c r="AB268" s="60"/>
    </row>
    <row r="269" spans="2:78" ht="15.5">
      <c r="B269" s="444">
        <v>50</v>
      </c>
      <c r="C269" s="445">
        <f>HLOOKUP($B$259,$B$156:$R$170,11,0)</f>
        <v>0.33</v>
      </c>
      <c r="D269" s="445">
        <f>HLOOKUP($B$259,$T$156:$AJ$170,11,0)</f>
        <v>0.33</v>
      </c>
      <c r="E269" s="445">
        <f>HLOOKUP($B$259,$B$173:$R$187,11,0)</f>
        <v>0.3</v>
      </c>
      <c r="F269" s="445">
        <f>HLOOKUP($B$259,$T$173:$AJ$187,11,0)</f>
        <v>0.28000000000000003</v>
      </c>
      <c r="G269" s="445">
        <f>HLOOKUP($B$259,$B$190:$R$204,11,0)</f>
        <v>0.3</v>
      </c>
      <c r="H269" s="445">
        <f>HLOOKUP($B$259,$T$190:$AJ$204,11,0)</f>
        <v>0.3</v>
      </c>
      <c r="I269" s="445">
        <f>HLOOKUP($B$259,$B$207:$R$221,11,0)</f>
        <v>0.31</v>
      </c>
      <c r="J269" s="445">
        <f>HLOOKUP($B$259,$T$207:$AJ$221,11,0)</f>
        <v>0.31</v>
      </c>
      <c r="K269" s="445">
        <f>HLOOKUP($B$259,$B$223:$R$237,11,0)</f>
        <v>9.9999999999999995E-7</v>
      </c>
      <c r="L269" s="445">
        <f t="shared" si="344"/>
        <v>0</v>
      </c>
      <c r="M269" s="395"/>
      <c r="N269" s="395"/>
      <c r="O269" s="395"/>
      <c r="P269" s="395"/>
      <c r="Q269" s="395"/>
      <c r="R269" s="395"/>
      <c r="V269" s="60"/>
      <c r="W269" s="60"/>
      <c r="X269" s="60"/>
      <c r="Y269" s="60"/>
      <c r="Z269" s="60"/>
      <c r="AA269" s="60"/>
      <c r="AB269" s="60"/>
    </row>
    <row r="270" spans="2:78" ht="15.5">
      <c r="B270" s="444">
        <v>100</v>
      </c>
      <c r="C270" s="445">
        <f>HLOOKUP($B$259,$B$156:$R$170,12,0)</f>
        <v>0.55000000000000004</v>
      </c>
      <c r="D270" s="445">
        <f>HLOOKUP($B$259,$T$156:$AJ$170,12,0)</f>
        <v>0.59</v>
      </c>
      <c r="E270" s="445">
        <f>HLOOKUP($B$259,$B$173:$R$187,12,0)</f>
        <v>0.61</v>
      </c>
      <c r="F270" s="445">
        <f>HLOOKUP($B$259,$T$173:$AJ$187,12,0)</f>
        <v>0.57999999999999996</v>
      </c>
      <c r="G270" s="445">
        <f>HLOOKUP($B$259,$B$190:$R$204,12,0)</f>
        <v>0.59</v>
      </c>
      <c r="H270" s="445">
        <f>HLOOKUP($B$259,$T$190:$AJ$204,12,0)</f>
        <v>0.57999999999999996</v>
      </c>
      <c r="I270" s="445">
        <f>HLOOKUP($B$259,$B$207:$R$221,12,0)</f>
        <v>0.56999999999999995</v>
      </c>
      <c r="J270" s="445">
        <f>HLOOKUP($B$259,$T$207:$AJ$221,12,0)</f>
        <v>0.61</v>
      </c>
      <c r="K270" s="445">
        <f>HLOOKUP($B$259,$B$223:$R$237,12,0)</f>
        <v>9.9999999999999995E-7</v>
      </c>
      <c r="L270" s="445">
        <f t="shared" si="344"/>
        <v>0</v>
      </c>
      <c r="M270" s="395"/>
      <c r="N270" s="395"/>
      <c r="O270" s="395"/>
      <c r="P270" s="395"/>
      <c r="Q270" s="395"/>
      <c r="R270" s="395"/>
      <c r="V270" s="60"/>
      <c r="W270" s="60"/>
      <c r="X270" s="60"/>
      <c r="Y270" s="60"/>
      <c r="Z270" s="60"/>
      <c r="AA270" s="60"/>
      <c r="AB270" s="60"/>
    </row>
    <row r="271" spans="2:78" ht="15.5">
      <c r="B271" s="444">
        <v>150</v>
      </c>
      <c r="C271" s="445">
        <f>HLOOKUP($B$259,$B$156:$R$170,13,0)</f>
        <v>0.53</v>
      </c>
      <c r="D271" s="445">
        <f>HLOOKUP($B$259,$T$156:$AJ$170,13,0)</f>
        <v>0.56000000000000005</v>
      </c>
      <c r="E271" s="445">
        <f>HLOOKUP($B$259,$B$173:$R$187,13,0)</f>
        <v>0.6</v>
      </c>
      <c r="F271" s="445">
        <f>HLOOKUP($B$259,$T$173:$AJ$187,13,0)</f>
        <v>0.61</v>
      </c>
      <c r="G271" s="445">
        <f>HLOOKUP($B$259,$B$190:$R$204,13,0)</f>
        <v>0.57999999999999996</v>
      </c>
      <c r="H271" s="445">
        <f>HLOOKUP($B$259,$T$190:$AJ$204,13,0)</f>
        <v>0.57999999999999996</v>
      </c>
      <c r="I271" s="445">
        <f>HLOOKUP($B$259,$B$207:$R$221,13,0)</f>
        <v>0.55000000000000004</v>
      </c>
      <c r="J271" s="445">
        <f>HLOOKUP($B$259,$T$207:$AJ$221,13,0)</f>
        <v>0.56999999999999995</v>
      </c>
      <c r="K271" s="445">
        <f>HLOOKUP($B$259,$B$223:$R$237,13,0)</f>
        <v>9.9999999999999995E-7</v>
      </c>
      <c r="L271" s="445">
        <f t="shared" si="344"/>
        <v>0</v>
      </c>
      <c r="M271" s="395"/>
      <c r="N271" s="395"/>
      <c r="O271" s="395"/>
      <c r="P271" s="395"/>
      <c r="Q271" s="395"/>
      <c r="R271" s="395"/>
      <c r="V271" s="60"/>
      <c r="W271" s="60"/>
      <c r="X271" s="60"/>
      <c r="Y271" s="60"/>
      <c r="Z271" s="60"/>
      <c r="AA271" s="60"/>
      <c r="AB271" s="60"/>
    </row>
    <row r="272" spans="2:78" ht="15.5">
      <c r="B272" s="444">
        <v>200</v>
      </c>
      <c r="C272" s="445">
        <f>HLOOKUP($B$259,$B$156:$R$170,14,0)</f>
        <v>0.39</v>
      </c>
      <c r="D272" s="445">
        <f>HLOOKUP($B$259,$T$156:$AJ$170,14,0)</f>
        <v>0.28000000000000003</v>
      </c>
      <c r="E272" s="445">
        <f>HLOOKUP($B$259,$B$173:$R$187,14,0)</f>
        <v>0.18</v>
      </c>
      <c r="F272" s="445">
        <f>HLOOKUP($B$259,$T$173:$AJ$187,14,0)</f>
        <v>0.25</v>
      </c>
      <c r="G272" s="445">
        <f>HLOOKUP($B$259,$B$190:$R$204,14,0)</f>
        <v>0.19</v>
      </c>
      <c r="H272" s="445">
        <f>HLOOKUP($B$259,$T$190:$AJ$204,14,0)</f>
        <v>0.26</v>
      </c>
      <c r="I272" s="445">
        <f>HLOOKUP($B$259,$B$207:$R$221,14,0)</f>
        <v>0.24</v>
      </c>
      <c r="J272" s="445">
        <f>HLOOKUP($B$259,$T$207:$AJ$221,14,0)</f>
        <v>0.11</v>
      </c>
      <c r="K272" s="445">
        <f>HLOOKUP($B$259,$B$223:$R$237,14,0)</f>
        <v>9.9999999999999995E-7</v>
      </c>
      <c r="L272" s="445">
        <f t="shared" si="344"/>
        <v>0</v>
      </c>
      <c r="M272" s="395"/>
      <c r="N272" s="395"/>
      <c r="O272" s="395"/>
      <c r="P272" s="395"/>
      <c r="Q272" s="395"/>
      <c r="R272" s="395"/>
      <c r="V272" s="60"/>
      <c r="W272" s="60"/>
      <c r="X272" s="60"/>
      <c r="Y272" s="60"/>
      <c r="Z272" s="60"/>
      <c r="AA272" s="60"/>
      <c r="AB272" s="60"/>
    </row>
    <row r="273" spans="1:97" ht="15.5">
      <c r="B273" s="444" t="s">
        <v>397</v>
      </c>
      <c r="C273" s="753">
        <f>HLOOKUP($B$259,$B$156:$R$170,15,0)</f>
        <v>0.56000000000000005</v>
      </c>
      <c r="D273" s="448">
        <f>HLOOKUP($B$259,$T$156:$AJ$170,15,0)</f>
        <v>0.56000000000000005</v>
      </c>
      <c r="E273" s="448">
        <f>HLOOKUP($B$259,$B$173:$R$187,15,0)</f>
        <v>0.56000000000000005</v>
      </c>
      <c r="F273" s="448">
        <f>HLOOKUP($B$259,$T$173:$AJ$187,15,0)</f>
        <v>0.56000000000000005</v>
      </c>
      <c r="G273" s="448">
        <f>HLOOKUP($B$259,$B$190:$R$204,15,0)</f>
        <v>0.56000000000000005</v>
      </c>
      <c r="H273" s="448">
        <f>HLOOKUP($B$259,$T$190:$AJ$204,15,0)</f>
        <v>0.56000000000000005</v>
      </c>
      <c r="I273" s="448">
        <f>HLOOKUP($B$259,$B$207:$R$221,15,0)</f>
        <v>0.56000000000000005</v>
      </c>
      <c r="J273" s="448">
        <f>HLOOKUP($B$259,$T$207:$AJ$221,15,0)</f>
        <v>0.56000000000000005</v>
      </c>
      <c r="K273" s="448">
        <f>HLOOKUP($B$259,$B$223:$R$237,15,0)</f>
        <v>0.1</v>
      </c>
      <c r="L273" s="448">
        <f>HLOOKUP($B$259,$T$223:$AJ$237,15,0)</f>
        <v>0.1</v>
      </c>
      <c r="M273" s="395"/>
      <c r="N273" s="395"/>
      <c r="O273" s="395"/>
      <c r="P273" s="395"/>
      <c r="Q273" s="395"/>
      <c r="R273" s="395"/>
      <c r="V273" s="60"/>
      <c r="W273" s="60"/>
      <c r="X273" s="60"/>
      <c r="Y273" s="60"/>
      <c r="Z273" s="60"/>
      <c r="AA273" s="60"/>
      <c r="AB273" s="60"/>
    </row>
    <row r="274" spans="1:97" ht="15.5">
      <c r="B274" s="449" t="s">
        <v>401</v>
      </c>
      <c r="C274" s="930">
        <f ca="1">HLOOKUP($B$259,$B$279:$R$289,2,0)</f>
        <v>0.17135714285714282</v>
      </c>
      <c r="D274" s="930">
        <f ca="1">HLOOKUP($B$259,$B$279:$R$289,3,0)</f>
        <v>9.0814285714285709E-2</v>
      </c>
      <c r="E274" s="930">
        <f ca="1">HLOOKUP($B$259,$B$279:$R$289,4,0)</f>
        <v>1.0814285714285686E-2</v>
      </c>
      <c r="F274" s="930">
        <f ca="1">HLOOKUP($B$259,$B$279:$R$289,5,0)</f>
        <v>1.0814285714285714E-2</v>
      </c>
      <c r="G274" s="930">
        <f ca="1">HLOOKUP($B$259,$B$279:$R$289,6,0)</f>
        <v>1.1357142857142823E-2</v>
      </c>
      <c r="H274" s="930">
        <f ca="1">HLOOKUP($B$259,$B$279:$R$289,7,0)</f>
        <v>1.0814285714285714E-2</v>
      </c>
      <c r="I274" s="930">
        <f ca="1">HLOOKUP($B$259,$B$279:$R$289,8,0)</f>
        <v>4.0814285714285713E-2</v>
      </c>
      <c r="J274" s="930">
        <f ca="1">HLOOKUP($B$259,$B$279:$R$289,9,0)</f>
        <v>5.0814285714285694E-2</v>
      </c>
      <c r="K274" s="930">
        <f ca="1">HLOOKUP($B$259,$B$279:$R$289,10,0)</f>
        <v>9.9999999999999995E-7</v>
      </c>
      <c r="L274" s="930">
        <f ca="1">HLOOKUP($B$259,$B$279:$R$289,11,0)</f>
        <v>9.9999999999999995E-7</v>
      </c>
      <c r="M274" s="395"/>
      <c r="N274" s="395"/>
      <c r="O274" s="395"/>
      <c r="P274" s="395"/>
      <c r="Q274" s="395"/>
      <c r="R274" s="395"/>
      <c r="V274" s="60"/>
      <c r="W274" s="60"/>
      <c r="X274" s="60"/>
      <c r="Y274" s="60"/>
      <c r="Z274" s="60"/>
      <c r="AA274" s="60"/>
      <c r="AB274" s="60"/>
    </row>
    <row r="275" spans="1:97" s="377" customFormat="1" ht="15.5">
      <c r="C275" s="450"/>
      <c r="D275" s="450"/>
      <c r="E275" s="450"/>
      <c r="F275" s="450"/>
      <c r="G275" s="450"/>
      <c r="H275" s="450"/>
      <c r="I275" s="450"/>
      <c r="J275" s="450"/>
      <c r="K275" s="450"/>
      <c r="L275" s="450"/>
      <c r="V275" s="451"/>
      <c r="W275" s="451"/>
      <c r="X275" s="451"/>
      <c r="Y275" s="451"/>
      <c r="Z275" s="451"/>
      <c r="AA275" s="451"/>
      <c r="AB275" s="451"/>
      <c r="AH275" s="378"/>
      <c r="AJ275" s="379"/>
      <c r="AN275" s="378"/>
      <c r="AP275" s="379"/>
      <c r="AT275" s="378"/>
      <c r="AV275" s="379"/>
      <c r="AZ275" s="378"/>
      <c r="BB275" s="379"/>
      <c r="BF275" s="378"/>
      <c r="BH275" s="379"/>
      <c r="BL275" s="378"/>
      <c r="BN275" s="379"/>
      <c r="BR275" s="378"/>
      <c r="BT275" s="379"/>
      <c r="BX275" s="378"/>
      <c r="BZ275" s="379"/>
    </row>
    <row r="276" spans="1:97" s="377" customFormat="1" ht="15.5">
      <c r="V276" s="451"/>
      <c r="W276" s="451"/>
      <c r="X276" s="451"/>
      <c r="Y276" s="451"/>
      <c r="Z276" s="451"/>
      <c r="AA276" s="451"/>
      <c r="AB276" s="451"/>
      <c r="AH276" s="378"/>
      <c r="AJ276" s="379"/>
      <c r="AN276" s="378"/>
      <c r="AP276" s="379"/>
      <c r="AT276" s="378"/>
      <c r="AV276" s="379"/>
      <c r="AZ276" s="378"/>
      <c r="BB276" s="379"/>
      <c r="BF276" s="378"/>
      <c r="BH276" s="379"/>
      <c r="BL276" s="378"/>
      <c r="BN276" s="379"/>
      <c r="BR276" s="378"/>
      <c r="BT276" s="379"/>
      <c r="BX276" s="378"/>
      <c r="BZ276" s="379"/>
    </row>
    <row r="277" spans="1:97" s="377" customFormat="1" ht="15.5">
      <c r="V277" s="451"/>
      <c r="W277" s="451"/>
      <c r="X277" s="451"/>
      <c r="Y277" s="451"/>
      <c r="Z277" s="451"/>
      <c r="AA277" s="451"/>
      <c r="AB277" s="451"/>
      <c r="AH277" s="378"/>
      <c r="AJ277" s="379"/>
      <c r="AN277" s="378"/>
      <c r="AP277" s="379"/>
      <c r="AT277" s="378"/>
      <c r="AV277" s="379"/>
      <c r="AZ277" s="378"/>
      <c r="BB277" s="379"/>
      <c r="BF277" s="378"/>
      <c r="BH277" s="379"/>
      <c r="BL277" s="378"/>
      <c r="BN277" s="379"/>
      <c r="BR277" s="378"/>
      <c r="BT277" s="379"/>
      <c r="BX277" s="378"/>
      <c r="BZ277" s="379"/>
    </row>
    <row r="278" spans="1:97" s="377" customFormat="1" ht="30" customHeight="1">
      <c r="B278" s="1204" t="s">
        <v>402</v>
      </c>
      <c r="C278" s="1204"/>
      <c r="D278" s="1204"/>
      <c r="E278" s="1204"/>
      <c r="F278" s="1204"/>
      <c r="G278" s="1204"/>
      <c r="H278" s="1204"/>
      <c r="I278" s="1204"/>
      <c r="J278" s="1204"/>
      <c r="K278" s="1204"/>
      <c r="L278" s="1204"/>
      <c r="M278" s="1204"/>
      <c r="N278" s="1204"/>
      <c r="O278" s="1204"/>
      <c r="P278" s="1204"/>
      <c r="Q278" s="1204"/>
      <c r="R278" s="1204"/>
      <c r="V278" s="451"/>
      <c r="W278" s="451"/>
      <c r="X278" s="451"/>
      <c r="Y278" s="451"/>
      <c r="Z278" s="451"/>
      <c r="AA278" s="451"/>
      <c r="AB278" s="451"/>
      <c r="AH278" s="378"/>
      <c r="AJ278" s="379"/>
      <c r="AN278" s="378"/>
      <c r="AP278" s="379"/>
      <c r="AT278" s="378"/>
      <c r="AV278" s="379"/>
      <c r="AZ278" s="378"/>
      <c r="BB278" s="379"/>
      <c r="BF278" s="378"/>
      <c r="BH278" s="379"/>
      <c r="BL278" s="378"/>
      <c r="BN278" s="379"/>
      <c r="BR278" s="378"/>
      <c r="BT278" s="379"/>
      <c r="BX278" s="378"/>
      <c r="BZ278" s="379"/>
    </row>
    <row r="279" spans="1:97" ht="93">
      <c r="B279" s="452" t="s">
        <v>403</v>
      </c>
      <c r="C279" s="453" t="str">
        <f t="shared" ref="C279:O279" si="345">C239</f>
        <v>Thermocouple Data Logger, Merek : MADGETECH, Model : OctTemp 2000, SN : P40270</v>
      </c>
      <c r="D279" s="453" t="str">
        <f t="shared" si="345"/>
        <v>Thermocouple Data Logger, Merek : MADGETECH, Model : OctTemp 2000, SN : P41878</v>
      </c>
      <c r="E279" s="453" t="str">
        <f t="shared" si="345"/>
        <v>Mobile Corder, Merek : Yokogawa, Model : GP 10, SN : S5T810599</v>
      </c>
      <c r="F279" s="453" t="str">
        <f t="shared" si="345"/>
        <v>Wireless Temperature Recorder, Merek : HIOKI, Model : LR 8510, SN : 200936000</v>
      </c>
      <c r="G279" s="453" t="str">
        <f t="shared" si="345"/>
        <v>Wireless Temperature Recorder, Merek : HIOKI, Model : LR 8510, SN : 200936001</v>
      </c>
      <c r="H279" s="453" t="str">
        <f t="shared" si="345"/>
        <v>Wireless Temperature Recorder, Merek : HIOKI, Model : LR 8510, SN : 200821397</v>
      </c>
      <c r="I279" s="453" t="str">
        <f t="shared" si="345"/>
        <v>Wireless Temperature Recorder, Merek : HIOKI, Model : LR 8510, SN : 210411983</v>
      </c>
      <c r="J279" s="453" t="str">
        <f t="shared" si="345"/>
        <v>Wireless Temperature Recorder, Merek : HIOKI, Model : LR 8510, SN : 210411984</v>
      </c>
      <c r="K279" s="453" t="str">
        <f t="shared" si="345"/>
        <v>Wireless Temperature Recorder, Merek : HIOKI, Model : LR 8510, SN : 210411985</v>
      </c>
      <c r="L279" s="453" t="str">
        <f t="shared" si="345"/>
        <v>Wireless Temperature Recorder, Merek : HIOKI, Model : LR 8510, SN : 210746054</v>
      </c>
      <c r="M279" s="453" t="str">
        <f t="shared" si="345"/>
        <v>Wireless Temperature Recorder, Merek : HIOKI, Model : LR 8510, SN : 210746055</v>
      </c>
      <c r="N279" s="453" t="str">
        <f t="shared" si="345"/>
        <v>Wireless Temperature Recorder, Merek : HIOKI, Model : LR 8510, SN : 210746056</v>
      </c>
      <c r="O279" s="453" t="str">
        <f t="shared" si="345"/>
        <v>Wireless Temperature Recorder, Merek : HIOKI, Model : LR 8510, SN : 200821396</v>
      </c>
      <c r="P279" s="454" t="s">
        <v>404</v>
      </c>
      <c r="Q279" s="454" t="s">
        <v>405</v>
      </c>
      <c r="R279" s="454" t="s">
        <v>406</v>
      </c>
      <c r="S279" s="377"/>
      <c r="T279" s="382"/>
      <c r="U279" s="382"/>
      <c r="V279" s="60"/>
      <c r="W279" s="60"/>
      <c r="X279" s="60"/>
      <c r="Y279" s="60"/>
      <c r="Z279" s="60"/>
      <c r="AA279" s="60"/>
      <c r="AB279" s="60"/>
      <c r="AH279" s="382"/>
      <c r="AJ279" s="382"/>
      <c r="AN279" s="382"/>
      <c r="AP279" s="455"/>
      <c r="AQ279" s="426"/>
      <c r="AR279" s="455"/>
      <c r="AS279" s="417"/>
      <c r="AT279" s="418"/>
      <c r="AV279" s="455"/>
      <c r="AW279" s="455"/>
      <c r="AX279" s="455"/>
      <c r="AY279" s="417"/>
      <c r="AZ279" s="418"/>
      <c r="BB279" s="455"/>
      <c r="BC279" s="417"/>
      <c r="BD279" s="455"/>
      <c r="BE279" s="417"/>
      <c r="BF279" s="418"/>
      <c r="BH279" s="455"/>
      <c r="BI279" s="417"/>
      <c r="BJ279" s="455"/>
      <c r="BK279" s="417"/>
      <c r="BL279" s="418"/>
      <c r="BN279" s="455"/>
      <c r="BO279" s="417"/>
      <c r="BP279" s="455"/>
      <c r="BQ279" s="417"/>
      <c r="BR279" s="418"/>
      <c r="BT279" s="455"/>
      <c r="BU279" s="417"/>
      <c r="BV279" s="455"/>
      <c r="BW279" s="417"/>
      <c r="BX279" s="418"/>
      <c r="BZ279" s="455"/>
      <c r="CA279" s="417"/>
      <c r="CB279" s="418"/>
      <c r="CD279" s="455"/>
      <c r="CE279" s="426"/>
      <c r="CF279" s="455"/>
      <c r="CG279" s="378"/>
      <c r="CH279" s="418"/>
    </row>
    <row r="280" spans="1:97" s="417" customFormat="1" ht="13.9" customHeight="1">
      <c r="A280" s="378"/>
      <c r="B280" s="456" t="s">
        <v>383</v>
      </c>
      <c r="C280" s="929">
        <f ca="1">F13</f>
        <v>0.11758571428571424</v>
      </c>
      <c r="D280" s="929">
        <f ca="1">L13</f>
        <v>0.17135714285714282</v>
      </c>
      <c r="E280" s="929">
        <f ca="1">R13</f>
        <v>9.6228571428571399E-2</v>
      </c>
      <c r="F280" s="929">
        <f ca="1">X13</f>
        <v>8.3333333333333329E-2</v>
      </c>
      <c r="G280" s="929">
        <f ca="1">AD13</f>
        <v>0.51135714285714284</v>
      </c>
      <c r="H280" s="929">
        <f ca="1">AJ13</f>
        <v>0.67054285714285711</v>
      </c>
      <c r="I280" s="929">
        <f ca="1">AP13</f>
        <v>8.3333333333333329E-2</v>
      </c>
      <c r="J280" s="929">
        <f ca="1">AV13</f>
        <v>0.08</v>
      </c>
      <c r="K280" s="929">
        <f ca="1">BB13</f>
        <v>0.26333333333333336</v>
      </c>
      <c r="L280" s="929">
        <f ca="1">BH13</f>
        <v>9.0000000000000011E-2</v>
      </c>
      <c r="M280" s="929">
        <f ca="1">BN13</f>
        <v>0.26333333333333336</v>
      </c>
      <c r="N280" s="929">
        <f ca="1">BT13</f>
        <v>8.666666666666667E-2</v>
      </c>
      <c r="O280" s="929">
        <f ca="1">BZ13</f>
        <v>9.0000000000000011E-2</v>
      </c>
      <c r="P280" s="929">
        <f ca="1">CF13</f>
        <v>0.19999999999999998</v>
      </c>
      <c r="Q280" s="929">
        <f ca="1">CL13</f>
        <v>4.0000000000000008E-2</v>
      </c>
      <c r="R280" s="929">
        <f ca="1">CR13</f>
        <v>3.054285714285716E-2</v>
      </c>
      <c r="S280" s="378"/>
      <c r="AP280" s="457"/>
      <c r="AT280" s="418"/>
      <c r="AV280" s="457"/>
      <c r="AZ280" s="418"/>
      <c r="BB280" s="457"/>
      <c r="BF280" s="418"/>
      <c r="BH280" s="457"/>
      <c r="BL280" s="418"/>
      <c r="BN280" s="457"/>
      <c r="BR280" s="418"/>
      <c r="BT280" s="457"/>
      <c r="BX280" s="418"/>
      <c r="BZ280" s="457"/>
      <c r="CB280" s="418"/>
      <c r="CD280" s="457"/>
      <c r="CG280" s="378"/>
      <c r="CH280" s="418"/>
      <c r="CM280" s="378"/>
      <c r="CS280" s="378"/>
    </row>
    <row r="281" spans="1:97" s="417" customFormat="1" ht="13.9" customHeight="1">
      <c r="A281" s="378"/>
      <c r="B281" s="456" t="s">
        <v>387</v>
      </c>
      <c r="C281" s="929">
        <f ca="1">F28</f>
        <v>8.1628571428571411E-2</v>
      </c>
      <c r="D281" s="929">
        <f ca="1">L28</f>
        <v>9.0814285714285709E-2</v>
      </c>
      <c r="E281" s="929">
        <f ca="1">R28</f>
        <v>0.18108571428571429</v>
      </c>
      <c r="F281" s="929">
        <f ca="1">X28</f>
        <v>9.0000000000000011E-2</v>
      </c>
      <c r="G281" s="929">
        <f ca="1">AD28</f>
        <v>0.39135714285714279</v>
      </c>
      <c r="H281" s="929">
        <f ca="1">AJ28</f>
        <v>0.60054285714285716</v>
      </c>
      <c r="I281" s="929">
        <f ca="1">AP28</f>
        <v>8.3333333333333329E-2</v>
      </c>
      <c r="J281" s="929">
        <f ca="1">AV28</f>
        <v>0.08</v>
      </c>
      <c r="K281" s="929">
        <f ca="1">BB28</f>
        <v>0.26333333333333336</v>
      </c>
      <c r="L281" s="929">
        <f ca="1">BH28</f>
        <v>9.3333333333333338E-2</v>
      </c>
      <c r="M281" s="929">
        <f ca="1">BN28</f>
        <v>0.26333333333333336</v>
      </c>
      <c r="N281" s="929">
        <f ca="1">BT28</f>
        <v>8.3333333333333329E-2</v>
      </c>
      <c r="O281" s="929">
        <f ca="1">BZ28</f>
        <v>9.0000000000000011E-2</v>
      </c>
      <c r="P281" s="929">
        <f ca="1">CF28</f>
        <v>0.19999999999999998</v>
      </c>
      <c r="Q281" s="929">
        <f ca="1">CL28</f>
        <v>4.0000000000000008E-2</v>
      </c>
      <c r="R281" s="929">
        <f ca="1">CR28</f>
        <v>3.054285714285716E-2</v>
      </c>
      <c r="S281" s="378"/>
      <c r="AP281" s="457"/>
      <c r="AT281" s="418"/>
      <c r="AV281" s="457"/>
      <c r="AZ281" s="418"/>
      <c r="BB281" s="457"/>
      <c r="BF281" s="418"/>
      <c r="BH281" s="457"/>
      <c r="BL281" s="418"/>
      <c r="BN281" s="457"/>
      <c r="BR281" s="418"/>
      <c r="BT281" s="457"/>
      <c r="BX281" s="418"/>
      <c r="BZ281" s="457"/>
      <c r="CB281" s="418"/>
      <c r="CD281" s="457"/>
      <c r="CG281" s="378"/>
      <c r="CH281" s="418"/>
      <c r="CM281" s="378"/>
      <c r="CS281" s="378"/>
    </row>
    <row r="282" spans="1:97" s="417" customFormat="1" ht="13.9" customHeight="1">
      <c r="A282" s="378"/>
      <c r="B282" s="456" t="s">
        <v>388</v>
      </c>
      <c r="C282" s="929">
        <f ca="1">F43</f>
        <v>1.3571428571428413E-3</v>
      </c>
      <c r="D282" s="929">
        <f ca="1">L43</f>
        <v>1.0814285714285686E-2</v>
      </c>
      <c r="E282" s="929">
        <f ca="1">R43</f>
        <v>9.3333333333333338E-2</v>
      </c>
      <c r="F282" s="929">
        <f ca="1">X43</f>
        <v>8.3333333333333329E-2</v>
      </c>
      <c r="G282" s="929">
        <f ca="1">AD43</f>
        <v>0.46108571428571432</v>
      </c>
      <c r="H282" s="929">
        <f ca="1">AJ43</f>
        <v>0.52</v>
      </c>
      <c r="I282" s="929">
        <f ca="1">AP43</f>
        <v>0.08</v>
      </c>
      <c r="J282" s="929">
        <f ca="1">AV43</f>
        <v>0.08</v>
      </c>
      <c r="K282" s="929">
        <f ca="1">BB43</f>
        <v>0.26333333333333336</v>
      </c>
      <c r="L282" s="929">
        <f ca="1">BH43</f>
        <v>9.0000000000000011E-2</v>
      </c>
      <c r="M282" s="929">
        <f ca="1">BN43</f>
        <v>0.26333333333333336</v>
      </c>
      <c r="N282" s="929">
        <f ca="1">BT43</f>
        <v>8.3333333333333329E-2</v>
      </c>
      <c r="O282" s="929">
        <f ca="1">BZ43</f>
        <v>9.0000000000000011E-2</v>
      </c>
      <c r="P282" s="929">
        <f ca="1">CF43</f>
        <v>0.19999999999999998</v>
      </c>
      <c r="Q282" s="929">
        <f ca="1">CL43</f>
        <v>4.0000000000000008E-2</v>
      </c>
      <c r="R282" s="929">
        <f ca="1">CR43</f>
        <v>3.054285714285716E-2</v>
      </c>
      <c r="S282" s="378"/>
      <c r="AP282" s="457"/>
      <c r="AT282" s="418"/>
      <c r="AV282" s="457"/>
      <c r="AZ282" s="418"/>
      <c r="BB282" s="457"/>
      <c r="BF282" s="418"/>
      <c r="BH282" s="457"/>
      <c r="BL282" s="418"/>
      <c r="BN282" s="457"/>
      <c r="BR282" s="418"/>
      <c r="BT282" s="457"/>
      <c r="BX282" s="418"/>
      <c r="BZ282" s="457"/>
      <c r="CB282" s="418"/>
      <c r="CD282" s="457"/>
      <c r="CG282" s="378"/>
      <c r="CH282" s="418"/>
      <c r="CM282" s="378"/>
      <c r="CS282" s="378"/>
    </row>
    <row r="283" spans="1:97" s="417" customFormat="1" ht="13.9" customHeight="1">
      <c r="A283" s="378"/>
      <c r="B283" s="456" t="s">
        <v>389</v>
      </c>
      <c r="C283" s="929">
        <f ca="1">F58</f>
        <v>8.1899999999999987E-2</v>
      </c>
      <c r="D283" s="929">
        <f ca="1">L58</f>
        <v>1.0814285714285714E-2</v>
      </c>
      <c r="E283" s="929">
        <f ca="1">R58</f>
        <v>0.12054285714285713</v>
      </c>
      <c r="F283" s="929">
        <f ca="1">X58</f>
        <v>8.666666666666667E-2</v>
      </c>
      <c r="G283" s="929">
        <f ca="1">AD58</f>
        <v>0.30189999999999995</v>
      </c>
      <c r="H283" s="929">
        <f ca="1">AJ58</f>
        <v>0.50027142857142859</v>
      </c>
      <c r="I283" s="929">
        <f ca="1">AP58</f>
        <v>8.3333333333333329E-2</v>
      </c>
      <c r="J283" s="929">
        <f ca="1">AV58</f>
        <v>0.08</v>
      </c>
      <c r="K283" s="929">
        <f ca="1">BB58</f>
        <v>0.26333333333333336</v>
      </c>
      <c r="L283" s="929">
        <f ca="1">BH58</f>
        <v>9.0000000000000011E-2</v>
      </c>
      <c r="M283" s="929">
        <f ca="1">BN58</f>
        <v>0.26333333333333336</v>
      </c>
      <c r="N283" s="929">
        <f ca="1">BT58</f>
        <v>8.3333333333333329E-2</v>
      </c>
      <c r="O283" s="929">
        <f ca="1">BZ58</f>
        <v>8.666666666666667E-2</v>
      </c>
      <c r="P283" s="929">
        <f ca="1">CF58</f>
        <v>0.19999999999999998</v>
      </c>
      <c r="Q283" s="929">
        <f ca="1">CL58</f>
        <v>4.0000000000000008E-2</v>
      </c>
      <c r="R283" s="929">
        <f ca="1">CR58</f>
        <v>3.054285714285716E-2</v>
      </c>
      <c r="S283" s="378"/>
      <c r="AP283" s="457"/>
      <c r="AT283" s="418"/>
      <c r="AV283" s="457"/>
      <c r="AZ283" s="418"/>
      <c r="BB283" s="457"/>
      <c r="BF283" s="418"/>
      <c r="BH283" s="457"/>
      <c r="BL283" s="418"/>
      <c r="BN283" s="457"/>
      <c r="BR283" s="418"/>
      <c r="BT283" s="457"/>
      <c r="BX283" s="418"/>
      <c r="BZ283" s="457"/>
      <c r="CB283" s="418"/>
      <c r="CD283" s="457"/>
      <c r="CG283" s="378"/>
      <c r="CH283" s="418"/>
      <c r="CM283" s="378"/>
      <c r="CS283" s="378"/>
    </row>
    <row r="284" spans="1:97" s="417" customFormat="1" ht="13.9" customHeight="1">
      <c r="A284" s="378"/>
      <c r="B284" s="456" t="s">
        <v>390</v>
      </c>
      <c r="C284" s="929">
        <f ca="1">F73</f>
        <v>6.1628571428571408E-2</v>
      </c>
      <c r="D284" s="929">
        <f ca="1">L73</f>
        <v>1.1357142857142823E-2</v>
      </c>
      <c r="E284" s="929">
        <f ca="1">R73</f>
        <v>0.15162857142857139</v>
      </c>
      <c r="F284" s="929">
        <f ca="1">X73</f>
        <v>8.666666666666667E-2</v>
      </c>
      <c r="G284" s="929">
        <f ca="1">AD73</f>
        <v>0.38081428571428572</v>
      </c>
      <c r="H284" s="929">
        <f ca="1">AJ73</f>
        <v>0.51081428571428567</v>
      </c>
      <c r="I284" s="929">
        <f ca="1">AP73</f>
        <v>8.3333333333333329E-2</v>
      </c>
      <c r="J284" s="929">
        <f ca="1">AV73</f>
        <v>8.3333333333333329E-2</v>
      </c>
      <c r="K284" s="929">
        <f ca="1">BB73</f>
        <v>0.26333333333333336</v>
      </c>
      <c r="L284" s="929">
        <f ca="1">BH73</f>
        <v>8.666666666666667E-2</v>
      </c>
      <c r="M284" s="929">
        <f ca="1">BN73</f>
        <v>0.26333333333333336</v>
      </c>
      <c r="N284" s="929">
        <f ca="1">BT73</f>
        <v>8.666666666666667E-2</v>
      </c>
      <c r="O284" s="929">
        <f ca="1">BZ73</f>
        <v>8.3333333333333329E-2</v>
      </c>
      <c r="P284" s="929">
        <f ca="1">CF73</f>
        <v>0.19999999999999998</v>
      </c>
      <c r="Q284" s="929">
        <f ca="1">CL73</f>
        <v>4.0000000000000008E-2</v>
      </c>
      <c r="R284" s="929">
        <f ca="1">CR73</f>
        <v>3.054285714285716E-2</v>
      </c>
      <c r="S284" s="378"/>
      <c r="AP284" s="457"/>
      <c r="AT284" s="418"/>
      <c r="AV284" s="457"/>
      <c r="AZ284" s="418"/>
      <c r="BB284" s="457"/>
      <c r="BF284" s="418"/>
      <c r="BH284" s="457"/>
      <c r="BL284" s="418"/>
      <c r="BN284" s="457"/>
      <c r="BR284" s="418"/>
      <c r="BT284" s="457"/>
      <c r="BX284" s="418"/>
      <c r="BZ284" s="457"/>
      <c r="CB284" s="418"/>
      <c r="CD284" s="457"/>
      <c r="CG284" s="378"/>
      <c r="CH284" s="418"/>
      <c r="CM284" s="378"/>
      <c r="CS284" s="378"/>
    </row>
    <row r="285" spans="1:97" s="417" customFormat="1" ht="13.9" customHeight="1">
      <c r="A285" s="378"/>
      <c r="B285" s="456" t="s">
        <v>391</v>
      </c>
      <c r="C285" s="929">
        <f ca="1">F88</f>
        <v>0.15162857142857139</v>
      </c>
      <c r="D285" s="929">
        <f ca="1">L88</f>
        <v>1.0814285714285714E-2</v>
      </c>
      <c r="E285" s="929">
        <f ca="1">R88</f>
        <v>0.28592857142857148</v>
      </c>
      <c r="F285" s="929">
        <f ca="1">X88</f>
        <v>8.666666666666667E-2</v>
      </c>
      <c r="G285" s="929">
        <f ca="1">AD88</f>
        <v>0.30162857142857141</v>
      </c>
      <c r="H285" s="929">
        <f ca="1">AJ88</f>
        <v>0.56081428571428571</v>
      </c>
      <c r="I285" s="929">
        <f ca="1">AP88</f>
        <v>0.08</v>
      </c>
      <c r="J285" s="929">
        <f ca="1">AV88</f>
        <v>8.3333333333333329E-2</v>
      </c>
      <c r="K285" s="929">
        <f ca="1">BB88</f>
        <v>0.26333333333333336</v>
      </c>
      <c r="L285" s="929">
        <f ca="1">BH88</f>
        <v>9.0000000000000011E-2</v>
      </c>
      <c r="M285" s="929">
        <f ca="1">BN88</f>
        <v>0.26333333333333336</v>
      </c>
      <c r="N285" s="929">
        <f ca="1">BT88</f>
        <v>8.666666666666667E-2</v>
      </c>
      <c r="O285" s="929">
        <f ca="1">BZ88</f>
        <v>8.3333333333333329E-2</v>
      </c>
      <c r="P285" s="929">
        <f ca="1">CF88</f>
        <v>0.19999999999999998</v>
      </c>
      <c r="Q285" s="929">
        <f ca="1">CL88</f>
        <v>4.0000000000000008E-2</v>
      </c>
      <c r="R285" s="929">
        <f ca="1">CR88</f>
        <v>3.054285714285716E-2</v>
      </c>
      <c r="S285" s="378"/>
      <c r="AP285" s="457"/>
      <c r="AT285" s="418"/>
      <c r="AV285" s="457"/>
      <c r="AZ285" s="418"/>
      <c r="BB285" s="457"/>
      <c r="BF285" s="418"/>
      <c r="BH285" s="457"/>
      <c r="BL285" s="418"/>
      <c r="BN285" s="457"/>
      <c r="BR285" s="418"/>
      <c r="BT285" s="457"/>
      <c r="BX285" s="418"/>
      <c r="BZ285" s="457"/>
      <c r="CB285" s="418"/>
      <c r="CD285" s="457"/>
      <c r="CG285" s="378"/>
      <c r="CH285" s="418"/>
      <c r="CM285" s="378"/>
      <c r="CS285" s="378"/>
    </row>
    <row r="286" spans="1:97" s="417" customFormat="1" ht="13.9" customHeight="1">
      <c r="A286" s="378"/>
      <c r="B286" s="456" t="s">
        <v>392</v>
      </c>
      <c r="C286" s="929">
        <f ca="1">F103</f>
        <v>0.14162857142857138</v>
      </c>
      <c r="D286" s="929">
        <f ca="1">L103</f>
        <v>4.0814285714285713E-2</v>
      </c>
      <c r="E286" s="929">
        <f ca="1">R103</f>
        <v>5.0542857142857132E-2</v>
      </c>
      <c r="F286" s="929">
        <f ca="1">X103</f>
        <v>8.3333333333333329E-2</v>
      </c>
      <c r="G286" s="929">
        <f ca="1">AD103</f>
        <v>0.40162857142857139</v>
      </c>
      <c r="H286" s="929">
        <f ca="1">AJ103</f>
        <v>0.46081428571428579</v>
      </c>
      <c r="I286" s="929">
        <f ca="1">AP103</f>
        <v>8.3333333333333329E-2</v>
      </c>
      <c r="J286" s="929">
        <f ca="1">AV103</f>
        <v>8.3333333333333329E-2</v>
      </c>
      <c r="K286" s="929">
        <f ca="1">BB103</f>
        <v>0.26333333333333336</v>
      </c>
      <c r="L286" s="929">
        <f ca="1">BH103</f>
        <v>9.0000000000000011E-2</v>
      </c>
      <c r="M286" s="929">
        <f ca="1">BN103</f>
        <v>0.26333333333333336</v>
      </c>
      <c r="N286" s="929">
        <f ca="1">BT103</f>
        <v>8.666666666666667E-2</v>
      </c>
      <c r="O286" s="929">
        <f ca="1">BZ103</f>
        <v>9.0000000000000011E-2</v>
      </c>
      <c r="P286" s="929">
        <f ca="1">CF103</f>
        <v>0.19999999999999998</v>
      </c>
      <c r="Q286" s="929">
        <f ca="1">CL103</f>
        <v>4.0000000000000008E-2</v>
      </c>
      <c r="R286" s="929">
        <f ca="1">CR103</f>
        <v>3.054285714285716E-2</v>
      </c>
      <c r="S286" s="378"/>
      <c r="AP286" s="457"/>
      <c r="AT286" s="418"/>
      <c r="AV286" s="457"/>
      <c r="AZ286" s="418"/>
      <c r="BB286" s="457"/>
      <c r="BF286" s="418"/>
      <c r="BH286" s="457"/>
      <c r="BL286" s="418"/>
      <c r="BN286" s="457"/>
      <c r="BR286" s="418"/>
      <c r="BT286" s="457"/>
      <c r="BX286" s="418"/>
      <c r="BZ286" s="457"/>
      <c r="CB286" s="418"/>
      <c r="CD286" s="457"/>
      <c r="CG286" s="378"/>
      <c r="CH286" s="418"/>
      <c r="CM286" s="378"/>
      <c r="CS286" s="378"/>
    </row>
    <row r="287" spans="1:97" s="417" customFormat="1" ht="13.9" customHeight="1">
      <c r="A287" s="378"/>
      <c r="B287" s="456" t="s">
        <v>393</v>
      </c>
      <c r="C287" s="929">
        <f ca="1">F118</f>
        <v>5.1357142857142844E-2</v>
      </c>
      <c r="D287" s="929">
        <f ca="1">L118</f>
        <v>5.0814285714285694E-2</v>
      </c>
      <c r="E287" s="929">
        <f ca="1">R118</f>
        <v>9.1357142857142845E-2</v>
      </c>
      <c r="F287" s="929">
        <f ca="1">X118</f>
        <v>8.666666666666667E-2</v>
      </c>
      <c r="G287" s="929">
        <f ca="1">AD118</f>
        <v>0.37217142857142854</v>
      </c>
      <c r="H287" s="929">
        <f ca="1">AJ118</f>
        <v>0.4908142857142857</v>
      </c>
      <c r="I287" s="929">
        <f ca="1">AP118</f>
        <v>8.3333333333333329E-2</v>
      </c>
      <c r="J287" s="929">
        <f ca="1">AV118</f>
        <v>8.3333333333333329E-2</v>
      </c>
      <c r="K287" s="929">
        <f ca="1">BB118</f>
        <v>0.26333333333333336</v>
      </c>
      <c r="L287" s="929">
        <f ca="1">BH118</f>
        <v>9.0000000000000011E-2</v>
      </c>
      <c r="M287" s="929">
        <f ca="1">BN118</f>
        <v>0.26333333333333336</v>
      </c>
      <c r="N287" s="929">
        <f ca="1">BT118</f>
        <v>8.666666666666667E-2</v>
      </c>
      <c r="O287" s="929">
        <f ca="1">BZ118</f>
        <v>9.3333333333333338E-2</v>
      </c>
      <c r="P287" s="929">
        <f ca="1">CF118</f>
        <v>0.19999999999999998</v>
      </c>
      <c r="Q287" s="929">
        <f ca="1">CL118</f>
        <v>4.0000000000000008E-2</v>
      </c>
      <c r="R287" s="929">
        <f ca="1">CR118</f>
        <v>3.054285714285716E-2</v>
      </c>
      <c r="S287" s="378"/>
      <c r="AP287" s="457"/>
      <c r="AT287" s="418"/>
      <c r="AV287" s="457"/>
      <c r="AZ287" s="418"/>
      <c r="BB287" s="457"/>
      <c r="BF287" s="418"/>
      <c r="BH287" s="457"/>
      <c r="BL287" s="418"/>
      <c r="BN287" s="457"/>
      <c r="BR287" s="418"/>
      <c r="BT287" s="457"/>
      <c r="BX287" s="418"/>
      <c r="BZ287" s="457"/>
      <c r="CB287" s="418"/>
      <c r="CD287" s="457"/>
      <c r="CG287" s="378"/>
      <c r="CH287" s="418"/>
      <c r="CM287" s="378"/>
      <c r="CS287" s="378"/>
    </row>
    <row r="288" spans="1:97" s="417" customFormat="1" ht="13.9" customHeight="1">
      <c r="A288" s="378"/>
      <c r="B288" s="436" t="s">
        <v>394</v>
      </c>
      <c r="C288" s="929">
        <f ca="1">F133</f>
        <v>9.9999999999999995E-7</v>
      </c>
      <c r="D288" s="929">
        <f ca="1">L133</f>
        <v>9.9999999999999995E-7</v>
      </c>
      <c r="E288" s="929">
        <f ca="1">R133</f>
        <v>4.0001000000000002E-2</v>
      </c>
      <c r="F288" s="929">
        <f ca="1">X133</f>
        <v>8.3333333333333329E-2</v>
      </c>
      <c r="G288" s="929">
        <f ca="1">AD133</f>
        <v>8.666666666666667E-2</v>
      </c>
      <c r="H288" s="929">
        <f ca="1">AJ133</f>
        <v>9.0000000000000011E-2</v>
      </c>
      <c r="I288" s="929">
        <f ca="1">AP133</f>
        <v>8.3333333333333329E-2</v>
      </c>
      <c r="J288" s="929">
        <f ca="1">AV133</f>
        <v>8.3333333333333329E-2</v>
      </c>
      <c r="K288" s="929">
        <f ca="1">BB133</f>
        <v>0.26333333333333336</v>
      </c>
      <c r="L288" s="929">
        <f ca="1">BH133</f>
        <v>9.3333333333333338E-2</v>
      </c>
      <c r="M288" s="929">
        <f ca="1">BN133</f>
        <v>0.26333333333333336</v>
      </c>
      <c r="N288" s="929">
        <f ca="1">BT133</f>
        <v>8.3333333333333329E-2</v>
      </c>
      <c r="O288" s="929">
        <f ca="1">BZ133</f>
        <v>9.0000000000000011E-2</v>
      </c>
      <c r="P288" s="929">
        <f ca="1">CF133</f>
        <v>0.19999999999999998</v>
      </c>
      <c r="Q288" s="929">
        <f ca="1">CL133</f>
        <v>4.0000000000000008E-2</v>
      </c>
      <c r="R288" s="929">
        <f ca="1">CR133</f>
        <v>3.054285714285716E-2</v>
      </c>
      <c r="S288" s="378"/>
      <c r="AE288" s="457"/>
      <c r="AF288" s="457"/>
      <c r="AG288" s="457"/>
      <c r="AH288" s="457"/>
      <c r="AN288" s="418"/>
      <c r="AT288" s="418"/>
      <c r="AZ288" s="418"/>
      <c r="BF288" s="418"/>
      <c r="BL288" s="418"/>
      <c r="BR288" s="418"/>
      <c r="BX288" s="418"/>
      <c r="CB288" s="418"/>
      <c r="CG288" s="378"/>
      <c r="CH288" s="418"/>
      <c r="CM288" s="378"/>
      <c r="CS288" s="378"/>
    </row>
    <row r="289" spans="1:97" s="417" customFormat="1" ht="13.9" customHeight="1">
      <c r="A289" s="378"/>
      <c r="B289" s="436" t="s">
        <v>395</v>
      </c>
      <c r="C289" s="929">
        <f ca="1">F148</f>
        <v>9.9999999999999995E-7</v>
      </c>
      <c r="D289" s="929">
        <f ca="1">L148</f>
        <v>9.9999999999999995E-7</v>
      </c>
      <c r="E289" s="929">
        <f ca="1">R148</f>
        <v>3.0001E-2</v>
      </c>
      <c r="F289" s="929">
        <f ca="1">X148</f>
        <v>8.666666666666667E-2</v>
      </c>
      <c r="G289" s="929">
        <f ca="1">AD148</f>
        <v>8.666666666666667E-2</v>
      </c>
      <c r="H289" s="929">
        <f ca="1">AJ148</f>
        <v>9.3333333333333338E-2</v>
      </c>
      <c r="I289" s="929">
        <f ca="1">AP148</f>
        <v>0.08</v>
      </c>
      <c r="J289" s="929">
        <f ca="1">AV148</f>
        <v>8.3333333333333329E-2</v>
      </c>
      <c r="K289" s="929">
        <f ca="1">BB148</f>
        <v>0.26333333333333336</v>
      </c>
      <c r="L289" s="929">
        <f ca="1">BH148</f>
        <v>9.0000000000000011E-2</v>
      </c>
      <c r="M289" s="929">
        <f ca="1">BN148</f>
        <v>0.26333333333333336</v>
      </c>
      <c r="N289" s="929">
        <f ca="1">BT148</f>
        <v>8.3333333333333329E-2</v>
      </c>
      <c r="O289" s="929">
        <f ca="1">BZ148</f>
        <v>9.0000000000000011E-2</v>
      </c>
      <c r="P289" s="929">
        <f ca="1">CF148</f>
        <v>0.19999999999999998</v>
      </c>
      <c r="Q289" s="929">
        <f ca="1">CL148</f>
        <v>4.0000000000000008E-2</v>
      </c>
      <c r="R289" s="929">
        <f ca="1">CR148</f>
        <v>3.054285714285716E-2</v>
      </c>
      <c r="S289" s="378"/>
      <c r="AE289" s="426"/>
      <c r="AF289" s="455"/>
      <c r="AH289" s="418"/>
      <c r="AJ289" s="455"/>
      <c r="AK289" s="426"/>
      <c r="AL289" s="458"/>
      <c r="AN289" s="418"/>
      <c r="AP289" s="455"/>
      <c r="AQ289" s="426"/>
      <c r="AR289" s="458"/>
      <c r="AT289" s="418"/>
      <c r="AV289" s="455"/>
      <c r="AW289" s="458"/>
      <c r="AX289" s="458"/>
      <c r="AZ289" s="418"/>
      <c r="BB289" s="455"/>
      <c r="BD289" s="458"/>
      <c r="BF289" s="418"/>
      <c r="BH289" s="455"/>
      <c r="BJ289" s="458"/>
      <c r="BL289" s="418"/>
      <c r="BN289" s="455"/>
      <c r="BP289" s="458"/>
      <c r="BR289" s="418"/>
      <c r="BT289" s="455"/>
      <c r="BV289" s="458"/>
      <c r="BX289" s="418"/>
      <c r="BZ289" s="455"/>
      <c r="CB289" s="418"/>
      <c r="CD289" s="455"/>
      <c r="CE289" s="426"/>
      <c r="CF289" s="458"/>
      <c r="CG289" s="378"/>
      <c r="CH289" s="418"/>
      <c r="CM289" s="378"/>
      <c r="CS289" s="378"/>
    </row>
    <row r="290" spans="1:97">
      <c r="B290" s="459">
        <f ca="1">ID!L96</f>
        <v>37.19</v>
      </c>
      <c r="C290" s="377"/>
      <c r="D290" s="377"/>
      <c r="E290" s="377"/>
      <c r="F290" s="377"/>
      <c r="G290" s="928"/>
      <c r="H290" s="377"/>
      <c r="I290" s="377"/>
      <c r="J290" s="377"/>
      <c r="K290" s="377"/>
      <c r="L290" s="377"/>
      <c r="M290" s="378"/>
      <c r="N290" s="377"/>
      <c r="O290" s="377"/>
      <c r="P290" s="377"/>
      <c r="Q290" s="377"/>
      <c r="R290" s="377"/>
      <c r="S290" s="377"/>
      <c r="AE290" s="417"/>
      <c r="AF290" s="417"/>
      <c r="AG290" s="417"/>
      <c r="AH290" s="418"/>
      <c r="AJ290" s="375"/>
      <c r="AK290" s="417"/>
      <c r="AL290" s="417"/>
      <c r="AM290" s="417"/>
      <c r="AN290" s="418"/>
      <c r="AP290" s="375"/>
      <c r="AQ290" s="417"/>
      <c r="AR290" s="417"/>
      <c r="AS290" s="417"/>
      <c r="AT290" s="418"/>
      <c r="AV290" s="375"/>
      <c r="AW290" s="417"/>
      <c r="AX290" s="417"/>
      <c r="AY290" s="417"/>
      <c r="AZ290" s="418"/>
      <c r="BB290" s="375"/>
      <c r="BC290" s="417"/>
      <c r="BD290" s="417"/>
      <c r="BE290" s="417"/>
      <c r="BF290" s="418"/>
      <c r="BH290" s="375"/>
      <c r="BI290" s="417"/>
      <c r="BJ290" s="417"/>
      <c r="BK290" s="417"/>
      <c r="BL290" s="418"/>
      <c r="BN290" s="375"/>
      <c r="BO290" s="417"/>
      <c r="BP290" s="417"/>
      <c r="BQ290" s="417"/>
      <c r="BR290" s="418"/>
      <c r="BT290" s="375"/>
      <c r="BU290" s="417"/>
      <c r="BV290" s="417"/>
      <c r="BW290" s="417"/>
      <c r="BX290" s="418"/>
      <c r="BZ290" s="375"/>
      <c r="CA290" s="417"/>
      <c r="CB290" s="418"/>
      <c r="CD290" s="375"/>
      <c r="CE290" s="417"/>
      <c r="CF290" s="417"/>
      <c r="CG290" s="378"/>
      <c r="CH290" s="418"/>
    </row>
    <row r="291" spans="1:97">
      <c r="B291" s="460" t="s">
        <v>407</v>
      </c>
      <c r="C291" s="931">
        <f ca="1">MAX(C274:R274)</f>
        <v>0.17135714285714282</v>
      </c>
      <c r="D291" s="377"/>
      <c r="E291" s="377"/>
      <c r="F291" s="377"/>
      <c r="G291" s="928"/>
      <c r="H291" s="377"/>
      <c r="I291" s="377"/>
      <c r="J291" s="377"/>
      <c r="K291" s="377"/>
      <c r="L291" s="377"/>
      <c r="M291" s="378"/>
      <c r="N291" s="377"/>
      <c r="O291" s="377"/>
      <c r="P291" s="377"/>
      <c r="Q291" s="377"/>
      <c r="R291" s="377"/>
      <c r="S291" s="377"/>
      <c r="AE291" s="417"/>
      <c r="AF291" s="417"/>
      <c r="AG291" s="417"/>
      <c r="AH291" s="418"/>
      <c r="AJ291" s="375"/>
      <c r="AK291" s="417"/>
      <c r="AL291" s="417"/>
      <c r="AM291" s="417"/>
      <c r="AN291" s="418"/>
      <c r="AP291" s="375"/>
      <c r="AQ291" s="417"/>
      <c r="AR291" s="417"/>
      <c r="AS291" s="417"/>
      <c r="AT291" s="418"/>
      <c r="AV291" s="375"/>
      <c r="AW291" s="417"/>
      <c r="AX291" s="417"/>
      <c r="AY291" s="417"/>
      <c r="AZ291" s="418"/>
      <c r="BB291" s="375"/>
      <c r="BC291" s="417"/>
      <c r="BD291" s="417"/>
      <c r="BE291" s="417"/>
      <c r="BF291" s="418"/>
      <c r="BH291" s="375"/>
      <c r="BI291" s="417"/>
      <c r="BJ291" s="417"/>
      <c r="BK291" s="417"/>
      <c r="BL291" s="418"/>
      <c r="BN291" s="375"/>
      <c r="BO291" s="417"/>
      <c r="BP291" s="417"/>
      <c r="BQ291" s="417"/>
      <c r="BR291" s="418"/>
      <c r="BT291" s="375"/>
      <c r="BU291" s="417"/>
      <c r="BV291" s="417"/>
      <c r="BW291" s="417"/>
      <c r="BX291" s="418"/>
      <c r="BZ291" s="375"/>
      <c r="CA291" s="417"/>
      <c r="CB291" s="418"/>
      <c r="CD291" s="375"/>
      <c r="CE291" s="417"/>
      <c r="CF291" s="417"/>
      <c r="CG291" s="378"/>
      <c r="CH291" s="418"/>
    </row>
    <row r="292" spans="1:97">
      <c r="B292" s="460" t="s">
        <v>408</v>
      </c>
      <c r="C292" s="460">
        <f>MAX(C273:R273)</f>
        <v>0.56000000000000005</v>
      </c>
      <c r="D292" s="377"/>
      <c r="E292" s="377"/>
      <c r="F292" s="377"/>
      <c r="G292" s="928"/>
      <c r="H292" s="377"/>
      <c r="I292" s="377"/>
      <c r="J292" s="377"/>
      <c r="K292" s="377"/>
      <c r="L292" s="377"/>
      <c r="M292" s="378"/>
      <c r="N292" s="377"/>
      <c r="O292" s="377"/>
      <c r="P292" s="377"/>
      <c r="Q292" s="377"/>
      <c r="R292" s="377"/>
      <c r="S292" s="377"/>
      <c r="AE292" s="417"/>
      <c r="AF292" s="417"/>
      <c r="AG292" s="417"/>
      <c r="AH292" s="418"/>
      <c r="AJ292" s="375"/>
      <c r="AK292" s="417"/>
      <c r="AL292" s="417"/>
      <c r="AM292" s="417"/>
      <c r="AN292" s="418"/>
      <c r="AP292" s="375"/>
      <c r="AQ292" s="417"/>
      <c r="AR292" s="417"/>
      <c r="AS292" s="417"/>
      <c r="AT292" s="418"/>
      <c r="AV292" s="375"/>
      <c r="AW292" s="417"/>
      <c r="AX292" s="417"/>
      <c r="AY292" s="417"/>
      <c r="AZ292" s="418"/>
      <c r="BB292" s="375"/>
      <c r="BC292" s="417"/>
      <c r="BD292" s="417"/>
      <c r="BE292" s="417"/>
      <c r="BF292" s="418"/>
      <c r="BH292" s="375"/>
      <c r="BI292" s="417"/>
      <c r="BJ292" s="417"/>
      <c r="BK292" s="417"/>
      <c r="BL292" s="418"/>
      <c r="BN292" s="375"/>
      <c r="BO292" s="417"/>
      <c r="BP292" s="417"/>
      <c r="BQ292" s="417"/>
      <c r="BR292" s="418"/>
      <c r="BT292" s="375"/>
      <c r="BU292" s="417"/>
      <c r="BV292" s="417"/>
      <c r="BW292" s="417"/>
      <c r="BX292" s="418"/>
      <c r="BZ292" s="375"/>
      <c r="CA292" s="417"/>
      <c r="CB292" s="418"/>
      <c r="CD292" s="375"/>
      <c r="CE292" s="417"/>
      <c r="CF292" s="417"/>
      <c r="CG292" s="378"/>
      <c r="CH292" s="418"/>
    </row>
    <row r="293" spans="1:97">
      <c r="B293" s="377"/>
      <c r="C293" s="377"/>
      <c r="D293" s="377"/>
      <c r="E293" s="377"/>
      <c r="F293" s="377"/>
      <c r="G293" s="928"/>
      <c r="H293" s="377"/>
      <c r="I293" s="377"/>
      <c r="J293" s="377"/>
      <c r="K293" s="377"/>
      <c r="L293" s="377"/>
      <c r="M293" s="378"/>
      <c r="N293" s="377"/>
      <c r="O293" s="377"/>
      <c r="P293" s="377"/>
      <c r="Q293" s="377"/>
      <c r="R293" s="377"/>
      <c r="S293" s="377"/>
      <c r="AE293" s="417"/>
      <c r="AF293" s="417"/>
      <c r="AG293" s="417"/>
      <c r="AH293" s="418"/>
      <c r="AJ293" s="375"/>
      <c r="AK293" s="417"/>
      <c r="AL293" s="417"/>
      <c r="AM293" s="417"/>
      <c r="AN293" s="418"/>
      <c r="AP293" s="375"/>
      <c r="AQ293" s="417"/>
      <c r="AR293" s="417"/>
      <c r="AS293" s="417"/>
      <c r="AT293" s="418"/>
      <c r="AV293" s="375"/>
      <c r="AW293" s="417"/>
      <c r="AX293" s="417"/>
      <c r="AY293" s="417"/>
      <c r="AZ293" s="418"/>
      <c r="BB293" s="375"/>
      <c r="BC293" s="417"/>
      <c r="BD293" s="417"/>
      <c r="BE293" s="417"/>
      <c r="BF293" s="418"/>
      <c r="BH293" s="375"/>
      <c r="BI293" s="417"/>
      <c r="BJ293" s="417"/>
      <c r="BK293" s="417"/>
      <c r="BL293" s="418"/>
      <c r="BN293" s="375"/>
      <c r="BO293" s="417"/>
      <c r="BP293" s="417"/>
      <c r="BQ293" s="417"/>
      <c r="BR293" s="418"/>
      <c r="BT293" s="375"/>
      <c r="BU293" s="417"/>
      <c r="BV293" s="417"/>
      <c r="BW293" s="417"/>
      <c r="BX293" s="418"/>
      <c r="BZ293" s="375"/>
      <c r="CA293" s="417"/>
      <c r="CB293" s="418"/>
      <c r="CD293" s="375"/>
      <c r="CE293" s="417"/>
      <c r="CF293" s="417"/>
      <c r="CG293" s="378"/>
      <c r="CH293" s="418"/>
    </row>
    <row r="294" spans="1:97" s="377" customFormat="1">
      <c r="G294" s="928"/>
      <c r="M294" s="378"/>
      <c r="T294" s="378"/>
      <c r="U294" s="378"/>
      <c r="V294" s="378"/>
      <c r="W294" s="378"/>
      <c r="X294" s="378"/>
      <c r="Y294" s="378"/>
      <c r="Z294" s="378"/>
      <c r="AA294" s="378"/>
      <c r="AB294" s="378"/>
      <c r="AE294" s="378"/>
      <c r="AF294" s="378"/>
      <c r="AG294" s="378"/>
      <c r="AH294" s="379"/>
      <c r="AJ294" s="396"/>
      <c r="AK294" s="378"/>
      <c r="AL294" s="378"/>
      <c r="AM294" s="378"/>
      <c r="AN294" s="379"/>
      <c r="AP294" s="396"/>
      <c r="AQ294" s="378"/>
      <c r="AR294" s="378"/>
      <c r="AS294" s="378"/>
      <c r="AT294" s="379"/>
      <c r="AV294" s="396"/>
      <c r="AW294" s="378"/>
      <c r="AX294" s="378"/>
      <c r="AY294" s="378"/>
      <c r="AZ294" s="379"/>
      <c r="BB294" s="396"/>
      <c r="BC294" s="378"/>
      <c r="BD294" s="378"/>
      <c r="BE294" s="378"/>
      <c r="BF294" s="379"/>
      <c r="BH294" s="396"/>
      <c r="BI294" s="378"/>
      <c r="BJ294" s="378"/>
      <c r="BK294" s="378"/>
      <c r="BL294" s="379"/>
      <c r="BN294" s="396"/>
      <c r="BO294" s="378"/>
      <c r="BP294" s="378"/>
      <c r="BQ294" s="378"/>
      <c r="BR294" s="379"/>
      <c r="BT294" s="396"/>
      <c r="BU294" s="378"/>
      <c r="BV294" s="378"/>
      <c r="BW294" s="378"/>
      <c r="BX294" s="379"/>
      <c r="BZ294" s="396"/>
      <c r="CA294" s="378"/>
      <c r="CB294" s="379"/>
      <c r="CD294" s="396"/>
      <c r="CE294" s="378"/>
      <c r="CF294" s="378"/>
      <c r="CG294" s="378"/>
      <c r="CH294" s="379"/>
    </row>
    <row r="295" spans="1:97" s="377" customFormat="1">
      <c r="G295" s="928"/>
      <c r="M295" s="378"/>
      <c r="T295" s="378"/>
      <c r="U295" s="378"/>
      <c r="V295" s="378"/>
      <c r="W295" s="378"/>
      <c r="X295" s="378"/>
      <c r="Y295" s="378"/>
      <c r="Z295" s="378"/>
      <c r="AA295" s="378"/>
      <c r="AB295" s="378"/>
      <c r="AE295" s="378"/>
      <c r="AF295" s="378"/>
      <c r="AG295" s="378"/>
      <c r="AH295" s="379"/>
      <c r="AJ295" s="396"/>
      <c r="AK295" s="378"/>
      <c r="AL295" s="378"/>
      <c r="AM295" s="378"/>
      <c r="AN295" s="379"/>
      <c r="AP295" s="396"/>
      <c r="AQ295" s="378"/>
      <c r="AR295" s="378"/>
      <c r="AS295" s="378"/>
      <c r="AT295" s="379"/>
      <c r="AV295" s="396"/>
      <c r="AW295" s="378"/>
      <c r="AX295" s="378"/>
      <c r="AY295" s="378"/>
      <c r="AZ295" s="379"/>
      <c r="BB295" s="396"/>
      <c r="BC295" s="378"/>
      <c r="BD295" s="378"/>
      <c r="BE295" s="378"/>
      <c r="BF295" s="379"/>
      <c r="BH295" s="396"/>
      <c r="BI295" s="378"/>
      <c r="BJ295" s="378"/>
      <c r="BK295" s="378"/>
      <c r="BL295" s="379"/>
      <c r="BN295" s="396"/>
      <c r="BO295" s="378"/>
      <c r="BP295" s="378"/>
      <c r="BQ295" s="378"/>
      <c r="BR295" s="379"/>
      <c r="BT295" s="396"/>
      <c r="BU295" s="378"/>
      <c r="BV295" s="378"/>
      <c r="BW295" s="378"/>
      <c r="BX295" s="379"/>
      <c r="BZ295" s="396"/>
      <c r="CA295" s="378"/>
      <c r="CB295" s="379"/>
      <c r="CD295" s="396"/>
      <c r="CE295" s="378"/>
      <c r="CF295" s="378"/>
      <c r="CG295" s="378"/>
      <c r="CH295" s="379"/>
    </row>
    <row r="296" spans="1:97" s="377" customFormat="1">
      <c r="G296" s="928"/>
      <c r="M296" s="378"/>
      <c r="T296" s="378"/>
      <c r="U296" s="378"/>
      <c r="V296" s="378"/>
      <c r="W296" s="378"/>
      <c r="X296" s="378"/>
      <c r="Y296" s="378"/>
      <c r="Z296" s="378"/>
      <c r="AA296" s="378"/>
      <c r="AB296" s="378"/>
      <c r="AE296" s="378"/>
      <c r="AF296" s="378"/>
      <c r="AG296" s="378"/>
      <c r="AH296" s="379"/>
      <c r="AJ296" s="396"/>
      <c r="AK296" s="378"/>
      <c r="AL296" s="378"/>
      <c r="AM296" s="378"/>
      <c r="AN296" s="379"/>
      <c r="AP296" s="396"/>
      <c r="AQ296" s="378"/>
      <c r="AR296" s="378"/>
      <c r="AS296" s="378"/>
      <c r="AT296" s="379"/>
      <c r="AV296" s="396"/>
      <c r="AW296" s="378"/>
      <c r="AX296" s="378"/>
      <c r="AY296" s="378"/>
      <c r="AZ296" s="379"/>
      <c r="BB296" s="396"/>
      <c r="BC296" s="378"/>
      <c r="BD296" s="378"/>
      <c r="BE296" s="378"/>
      <c r="BF296" s="379"/>
      <c r="BH296" s="396"/>
      <c r="BI296" s="378"/>
      <c r="BJ296" s="378"/>
      <c r="BK296" s="378"/>
      <c r="BL296" s="379"/>
      <c r="BN296" s="396"/>
      <c r="BO296" s="378"/>
      <c r="BP296" s="378"/>
      <c r="BQ296" s="378"/>
      <c r="BR296" s="379"/>
      <c r="BT296" s="396"/>
      <c r="BU296" s="378"/>
      <c r="BV296" s="378"/>
      <c r="BW296" s="378"/>
      <c r="BX296" s="379"/>
      <c r="BZ296" s="396"/>
      <c r="CA296" s="378"/>
      <c r="CB296" s="379"/>
      <c r="CD296" s="396"/>
      <c r="CE296" s="378"/>
      <c r="CF296" s="378"/>
      <c r="CG296" s="378"/>
      <c r="CH296" s="379"/>
    </row>
    <row r="297" spans="1:97" ht="27" customHeight="1">
      <c r="B297" s="461" t="s">
        <v>409</v>
      </c>
      <c r="C297" s="422" t="s">
        <v>410</v>
      </c>
      <c r="D297" s="461" t="s">
        <v>411</v>
      </c>
      <c r="E297" s="425" t="s">
        <v>343</v>
      </c>
      <c r="F297" s="462" t="s">
        <v>412</v>
      </c>
      <c r="G297" s="928"/>
      <c r="H297" s="461" t="s">
        <v>413</v>
      </c>
      <c r="I297" s="422" t="s">
        <v>410</v>
      </c>
      <c r="J297" s="461" t="s">
        <v>411</v>
      </c>
      <c r="K297" s="425" t="s">
        <v>343</v>
      </c>
      <c r="L297" s="462" t="s">
        <v>412</v>
      </c>
      <c r="M297" s="378"/>
      <c r="AE297" s="417"/>
      <c r="AF297" s="417"/>
      <c r="AG297" s="417"/>
      <c r="AH297" s="418"/>
      <c r="AJ297" s="375"/>
      <c r="AK297" s="417"/>
      <c r="AL297" s="417"/>
      <c r="AM297" s="417"/>
      <c r="AN297" s="418"/>
      <c r="AP297" s="375"/>
      <c r="AQ297" s="417"/>
      <c r="AR297" s="417"/>
      <c r="AS297" s="417"/>
      <c r="AT297" s="418"/>
      <c r="AV297" s="375"/>
      <c r="AW297" s="417"/>
      <c r="AX297" s="417"/>
      <c r="AY297" s="417"/>
      <c r="AZ297" s="418"/>
      <c r="BB297" s="375"/>
      <c r="BC297" s="417"/>
      <c r="BD297" s="417"/>
      <c r="BE297" s="417"/>
      <c r="BF297" s="418"/>
      <c r="BH297" s="375"/>
      <c r="BI297" s="417"/>
      <c r="BJ297" s="417"/>
      <c r="BK297" s="417"/>
      <c r="BL297" s="418"/>
      <c r="BN297" s="375"/>
      <c r="BO297" s="417"/>
      <c r="BP297" s="417"/>
      <c r="BQ297" s="417"/>
      <c r="BR297" s="418"/>
      <c r="BT297" s="375"/>
      <c r="BU297" s="417"/>
      <c r="BV297" s="417"/>
      <c r="BW297" s="417"/>
      <c r="BX297" s="418"/>
      <c r="BZ297" s="375"/>
      <c r="CA297" s="417"/>
      <c r="CB297" s="418"/>
      <c r="CD297" s="375"/>
      <c r="CE297" s="417"/>
      <c r="CF297" s="417"/>
      <c r="CG297" s="378"/>
      <c r="CH297" s="418"/>
    </row>
    <row r="298" spans="1:97" ht="13.9" customHeight="1">
      <c r="B298" s="463" t="s">
        <v>414</v>
      </c>
      <c r="C298" s="425">
        <f>ID!D72</f>
        <v>37</v>
      </c>
      <c r="D298" s="425">
        <f ca="1">(FORECAST(C298,OFFSET($C$260:$C$272,MATCH($C$298,$B$260:$B$272,1)-1,0,2),OFFSET($B$260:$B$272,MATCH(C298,$B$260:$B$272,1)-1,0,2)))+C298</f>
        <v>37.21</v>
      </c>
      <c r="E298" s="425">
        <f t="shared" ref="E298:E305" ca="1" si="346">D298-C298</f>
        <v>0.21000000000000085</v>
      </c>
      <c r="F298" s="462">
        <f>AQ369</f>
        <v>0</v>
      </c>
      <c r="G298" s="928"/>
      <c r="H298" s="463" t="s">
        <v>414</v>
      </c>
      <c r="I298" s="425">
        <f>ID!E72</f>
        <v>37</v>
      </c>
      <c r="J298" s="425">
        <f ca="1">(FORECAST(I298,OFFSET($C$260:$C$272,MATCH($I$298,$B$260:$B$272,1)-1,0,2),OFFSET($B$260:$B$272,MATCH(I298,$B$260:$B$272,1)-1,0,2)))+I298</f>
        <v>37.21</v>
      </c>
      <c r="K298" s="425">
        <f t="shared" ref="K298:K305" ca="1" si="347">J298-I298</f>
        <v>0.21000000000000085</v>
      </c>
      <c r="L298" s="462">
        <f>AW369</f>
        <v>0</v>
      </c>
      <c r="M298" s="378"/>
      <c r="AE298" s="417"/>
      <c r="AF298" s="417"/>
      <c r="AG298" s="417"/>
      <c r="AH298" s="418"/>
      <c r="AJ298" s="375"/>
      <c r="AK298" s="417"/>
      <c r="AL298" s="417"/>
      <c r="AM298" s="417"/>
      <c r="AN298" s="418"/>
      <c r="AP298" s="375"/>
      <c r="AQ298" s="417"/>
      <c r="AR298" s="417"/>
      <c r="AS298" s="417"/>
      <c r="AT298" s="418"/>
      <c r="AV298" s="375"/>
      <c r="AW298" s="417"/>
      <c r="AX298" s="417"/>
      <c r="AY298" s="417"/>
      <c r="AZ298" s="418"/>
      <c r="BB298" s="375"/>
      <c r="BC298" s="417"/>
      <c r="BD298" s="417"/>
      <c r="BE298" s="417"/>
      <c r="BF298" s="418"/>
      <c r="BH298" s="375"/>
      <c r="BI298" s="417"/>
      <c r="BJ298" s="417"/>
      <c r="BK298" s="417"/>
      <c r="BL298" s="418"/>
      <c r="BN298" s="375"/>
      <c r="BO298" s="417"/>
      <c r="BP298" s="417"/>
      <c r="BQ298" s="417"/>
      <c r="BR298" s="418"/>
      <c r="BT298" s="375"/>
      <c r="BU298" s="417"/>
      <c r="BV298" s="417"/>
      <c r="BW298" s="417"/>
      <c r="BX298" s="418"/>
      <c r="BZ298" s="375"/>
      <c r="CA298" s="417"/>
      <c r="CB298" s="418"/>
      <c r="CD298" s="375"/>
      <c r="CE298" s="417"/>
      <c r="CF298" s="417"/>
      <c r="CG298" s="378"/>
      <c r="CH298" s="418"/>
    </row>
    <row r="299" spans="1:97" ht="13.9" customHeight="1">
      <c r="B299" s="463" t="s">
        <v>415</v>
      </c>
      <c r="C299" s="425">
        <f>ID!D73</f>
        <v>37</v>
      </c>
      <c r="D299" s="425">
        <f ca="1">(FORECAST(C299,OFFSET($D$260:$D$272,MATCH($C$299,$B$260:$B$272,1)-1,0,2),OFFSET($B$260:$B$272,MATCH(C299,$B$260:$B$272,1)-1,0,2)))+C299</f>
        <v>37.21</v>
      </c>
      <c r="E299" s="425">
        <f t="shared" ca="1" si="346"/>
        <v>0.21000000000000085</v>
      </c>
      <c r="F299" s="462">
        <f t="shared" ref="F299:F307" si="348">AQ370</f>
        <v>0</v>
      </c>
      <c r="G299" s="928"/>
      <c r="H299" s="463" t="s">
        <v>415</v>
      </c>
      <c r="I299" s="425">
        <f>ID!E73</f>
        <v>37</v>
      </c>
      <c r="J299" s="425">
        <f ca="1">(FORECAST(I299,OFFSET($D$260:$D$272,MATCH($I$299,$B$260:$B$272,1)-1,0,2),OFFSET($B$260:$B$272,MATCH(I299,$B$260:$B$272,1)-1,0,2)))+I299</f>
        <v>37.21</v>
      </c>
      <c r="K299" s="425">
        <f t="shared" ca="1" si="347"/>
        <v>0.21000000000000085</v>
      </c>
      <c r="L299" s="462">
        <f t="shared" ref="L299:L307" si="349">AW370</f>
        <v>0</v>
      </c>
      <c r="M299" s="378"/>
      <c r="AE299" s="426"/>
      <c r="AF299" s="455"/>
      <c r="AG299" s="417"/>
      <c r="AH299" s="418"/>
      <c r="AJ299" s="455"/>
      <c r="AK299" s="426"/>
      <c r="AL299" s="455"/>
      <c r="AM299" s="417"/>
      <c r="AN299" s="418"/>
      <c r="AP299" s="455"/>
      <c r="AQ299" s="426"/>
      <c r="AR299" s="455"/>
      <c r="AS299" s="417"/>
      <c r="AT299" s="418"/>
      <c r="AV299" s="455"/>
      <c r="AW299" s="455"/>
      <c r="AX299" s="455"/>
      <c r="AY299" s="417"/>
      <c r="AZ299" s="418"/>
      <c r="BB299" s="455"/>
      <c r="BC299" s="417"/>
      <c r="BD299" s="455"/>
      <c r="BE299" s="417"/>
      <c r="BF299" s="418"/>
      <c r="BH299" s="455"/>
      <c r="BI299" s="417"/>
      <c r="BJ299" s="455"/>
      <c r="BK299" s="417"/>
      <c r="BL299" s="418"/>
      <c r="BN299" s="455"/>
      <c r="BO299" s="417"/>
      <c r="BP299" s="455"/>
      <c r="BQ299" s="417"/>
      <c r="BR299" s="418"/>
      <c r="BT299" s="455"/>
      <c r="BU299" s="417"/>
      <c r="BV299" s="455"/>
      <c r="BW299" s="417"/>
      <c r="BX299" s="418"/>
      <c r="BZ299" s="455"/>
      <c r="CA299" s="417"/>
      <c r="CB299" s="418"/>
      <c r="CD299" s="455"/>
      <c r="CE299" s="426"/>
      <c r="CF299" s="455"/>
      <c r="CG299" s="378"/>
      <c r="CH299" s="418"/>
    </row>
    <row r="300" spans="1:97" ht="13.9" customHeight="1">
      <c r="B300" s="463" t="s">
        <v>416</v>
      </c>
      <c r="C300" s="425">
        <f>ID!D74</f>
        <v>37</v>
      </c>
      <c r="D300" s="425">
        <f ca="1">(FORECAST(C300,OFFSET($E$260:$E$272,MATCH(C300,$B$260:$B$272,1)-1,0,2),OFFSET($B$260:$B$272,MATCH(C300,$B$260:$B$272,1)-1,0,2)))+C300</f>
        <v>37.18</v>
      </c>
      <c r="E300" s="425">
        <f t="shared" ca="1" si="346"/>
        <v>0.17999999999999972</v>
      </c>
      <c r="F300" s="462">
        <f t="shared" si="348"/>
        <v>0</v>
      </c>
      <c r="G300" s="377"/>
      <c r="H300" s="463" t="s">
        <v>416</v>
      </c>
      <c r="I300" s="425">
        <f>ID!E74</f>
        <v>37</v>
      </c>
      <c r="J300" s="425">
        <f ca="1">(FORECAST(I300,OFFSET($E$260:$E$272,MATCH(I300,$B$260:$B$272,1)-1,0,2),OFFSET($B$260:$B$272,MATCH(I300,$B$260:$B$272,1)-1,0,2)))+I300</f>
        <v>37.18</v>
      </c>
      <c r="K300" s="425">
        <f t="shared" ca="1" si="347"/>
        <v>0.17999999999999972</v>
      </c>
      <c r="L300" s="462">
        <f t="shared" si="349"/>
        <v>0</v>
      </c>
      <c r="M300" s="377"/>
      <c r="AE300" s="417"/>
      <c r="AF300" s="417"/>
      <c r="AG300" s="417"/>
      <c r="AH300" s="418"/>
      <c r="AJ300" s="375"/>
      <c r="AK300" s="417"/>
      <c r="AL300" s="417"/>
      <c r="AM300" s="417"/>
      <c r="AN300" s="418"/>
      <c r="AP300" s="375"/>
      <c r="AQ300" s="417"/>
      <c r="AR300" s="417"/>
      <c r="AS300" s="417"/>
      <c r="AT300" s="418"/>
      <c r="AV300" s="375"/>
      <c r="AW300" s="417"/>
      <c r="AX300" s="417"/>
      <c r="AY300" s="417"/>
      <c r="AZ300" s="418"/>
      <c r="BB300" s="375"/>
      <c r="BC300" s="417"/>
      <c r="BD300" s="417"/>
      <c r="BE300" s="417"/>
      <c r="BF300" s="418"/>
      <c r="BH300" s="375"/>
      <c r="BI300" s="417"/>
      <c r="BJ300" s="417"/>
      <c r="BK300" s="417"/>
      <c r="BL300" s="418"/>
      <c r="BN300" s="375"/>
      <c r="BO300" s="417"/>
      <c r="BP300" s="417"/>
      <c r="BQ300" s="417"/>
      <c r="BR300" s="418"/>
      <c r="BT300" s="375"/>
      <c r="BU300" s="417"/>
      <c r="BV300" s="417"/>
      <c r="BW300" s="417"/>
      <c r="BX300" s="418"/>
      <c r="BZ300" s="375"/>
      <c r="CA300" s="417"/>
      <c r="CB300" s="418"/>
      <c r="CD300" s="375"/>
      <c r="CE300" s="417"/>
      <c r="CF300" s="417"/>
      <c r="CG300" s="378"/>
      <c r="CH300" s="418"/>
    </row>
    <row r="301" spans="1:97" ht="13.9" customHeight="1">
      <c r="B301" s="463" t="s">
        <v>417</v>
      </c>
      <c r="C301" s="425">
        <f>ID!D75</f>
        <v>37</v>
      </c>
      <c r="D301" s="425">
        <f ca="1">(FORECAST(C301,OFFSET($F$260:$F$272,MATCH(C301,$B$260:$B$272,1)-1,0,2),OFFSET($B$260:$B$272,MATCH(C301,$B$260:$B$272,1)-1,0,2)))+C301</f>
        <v>37.17</v>
      </c>
      <c r="E301" s="425">
        <f t="shared" ca="1" si="346"/>
        <v>0.17000000000000171</v>
      </c>
      <c r="F301" s="462">
        <f t="shared" si="348"/>
        <v>0</v>
      </c>
      <c r="G301" s="377"/>
      <c r="H301" s="463" t="s">
        <v>417</v>
      </c>
      <c r="I301" s="425">
        <f>ID!E75</f>
        <v>37</v>
      </c>
      <c r="J301" s="425">
        <f ca="1">(FORECAST(I301,OFFSET($F$260:$F$272,MATCH(I301,$B$260:$B$272,1)-1,0,2),OFFSET($B$260:$B$272,MATCH(I301,$B$260:$B$272,1)-1,0,2)))+I301</f>
        <v>37.17</v>
      </c>
      <c r="K301" s="425">
        <f t="shared" ca="1" si="347"/>
        <v>0.17000000000000171</v>
      </c>
      <c r="L301" s="462">
        <f t="shared" si="349"/>
        <v>0</v>
      </c>
      <c r="M301" s="377"/>
      <c r="AE301" s="417"/>
      <c r="AF301" s="417"/>
      <c r="AG301" s="417"/>
      <c r="AH301" s="418"/>
      <c r="AJ301" s="375"/>
      <c r="AK301" s="417"/>
      <c r="AL301" s="417"/>
      <c r="AM301" s="417"/>
      <c r="AN301" s="418"/>
      <c r="AP301" s="375"/>
      <c r="AQ301" s="417"/>
      <c r="AR301" s="417"/>
      <c r="AS301" s="417"/>
      <c r="AT301" s="418"/>
      <c r="AV301" s="375"/>
      <c r="AW301" s="417"/>
      <c r="AX301" s="417"/>
      <c r="AY301" s="417"/>
      <c r="AZ301" s="418"/>
      <c r="BB301" s="375"/>
      <c r="BC301" s="417"/>
      <c r="BD301" s="417"/>
      <c r="BE301" s="417"/>
      <c r="BF301" s="418"/>
      <c r="BH301" s="375"/>
      <c r="BI301" s="417"/>
      <c r="BJ301" s="417"/>
      <c r="BK301" s="417"/>
      <c r="BL301" s="418"/>
      <c r="BN301" s="375"/>
      <c r="BO301" s="417"/>
      <c r="BP301" s="417"/>
      <c r="BQ301" s="417"/>
      <c r="BR301" s="418"/>
      <c r="BT301" s="375"/>
      <c r="BU301" s="417"/>
      <c r="BV301" s="417"/>
      <c r="BW301" s="417"/>
      <c r="BX301" s="418"/>
      <c r="BZ301" s="375"/>
      <c r="CA301" s="417"/>
      <c r="CB301" s="418"/>
      <c r="CD301" s="375"/>
      <c r="CE301" s="417"/>
      <c r="CF301" s="417"/>
      <c r="CG301" s="378"/>
      <c r="CH301" s="418"/>
    </row>
    <row r="302" spans="1:97" ht="13.9" customHeight="1">
      <c r="B302" s="463" t="s">
        <v>418</v>
      </c>
      <c r="C302" s="425">
        <f>ID!D76</f>
        <v>37</v>
      </c>
      <c r="D302" s="425">
        <f ca="1">(FORECAST(C302,OFFSET($G$260:$G$272,MATCH(C302,$B$260:$B$272,1)-1,0,2),OFFSET($B$260:$B$272,MATCH(C302,$B$260:$B$272,1)-1,0,2)))+C302</f>
        <v>37.18</v>
      </c>
      <c r="E302" s="425">
        <f t="shared" ca="1" si="346"/>
        <v>0.17999999999999972</v>
      </c>
      <c r="F302" s="462">
        <f t="shared" si="348"/>
        <v>0</v>
      </c>
      <c r="G302" s="377"/>
      <c r="H302" s="463" t="s">
        <v>418</v>
      </c>
      <c r="I302" s="425">
        <f>ID!E76</f>
        <v>37</v>
      </c>
      <c r="J302" s="425">
        <f ca="1">(FORECAST(I302,OFFSET($G$260:$G$272,MATCH(I302,$B$260:$B$272,1)-1,0,2),OFFSET($B$260:$B$272,MATCH(I302,$B$260:$B$272,1)-1,0,2)))+I302</f>
        <v>37.18</v>
      </c>
      <c r="K302" s="425">
        <f t="shared" ca="1" si="347"/>
        <v>0.17999999999999972</v>
      </c>
      <c r="L302" s="462">
        <f t="shared" si="349"/>
        <v>0</v>
      </c>
      <c r="M302" s="377"/>
      <c r="AE302" s="417"/>
      <c r="AF302" s="417"/>
      <c r="AG302" s="417"/>
      <c r="AH302" s="418"/>
      <c r="AJ302" s="375"/>
      <c r="AK302" s="417"/>
      <c r="AL302" s="417"/>
      <c r="AM302" s="417"/>
      <c r="AN302" s="418"/>
      <c r="AP302" s="375"/>
      <c r="AQ302" s="417"/>
      <c r="AR302" s="417"/>
      <c r="AS302" s="417"/>
      <c r="AT302" s="418"/>
      <c r="AV302" s="375"/>
      <c r="AW302" s="417"/>
      <c r="AX302" s="417"/>
      <c r="AY302" s="417"/>
      <c r="AZ302" s="418"/>
      <c r="BB302" s="375"/>
      <c r="BC302" s="417"/>
      <c r="BD302" s="417"/>
      <c r="BE302" s="417"/>
      <c r="BF302" s="418"/>
      <c r="BH302" s="375"/>
      <c r="BI302" s="417"/>
      <c r="BJ302" s="417"/>
      <c r="BK302" s="417"/>
      <c r="BL302" s="418"/>
      <c r="BN302" s="375"/>
      <c r="BO302" s="417"/>
      <c r="BP302" s="417"/>
      <c r="BQ302" s="417"/>
      <c r="BR302" s="418"/>
      <c r="BT302" s="375"/>
      <c r="BU302" s="417"/>
      <c r="BV302" s="417"/>
      <c r="BW302" s="417"/>
      <c r="BX302" s="418"/>
      <c r="BZ302" s="375"/>
      <c r="CA302" s="417"/>
      <c r="CB302" s="418"/>
      <c r="CD302" s="375"/>
      <c r="CE302" s="417"/>
      <c r="CF302" s="417"/>
      <c r="CG302" s="378"/>
      <c r="CH302" s="418"/>
    </row>
    <row r="303" spans="1:97" ht="13.9" customHeight="1">
      <c r="B303" s="463" t="s">
        <v>419</v>
      </c>
      <c r="C303" s="425">
        <f>ID!D77</f>
        <v>37</v>
      </c>
      <c r="D303" s="425">
        <f ca="1">(FORECAST(C303,OFFSET($H$260:$H$272,MATCH(C303,$B$260:$B$272,1)-1,0,2),OFFSET($B$260:$B$272,MATCH(C303,$B$260:$B$272,1)-1,0,2)))+C303</f>
        <v>37.19</v>
      </c>
      <c r="E303" s="425">
        <f t="shared" ca="1" si="346"/>
        <v>0.18999999999999773</v>
      </c>
      <c r="F303" s="462">
        <f t="shared" si="348"/>
        <v>0</v>
      </c>
      <c r="G303" s="377"/>
      <c r="H303" s="463" t="s">
        <v>419</v>
      </c>
      <c r="I303" s="425">
        <f>ID!E77</f>
        <v>37</v>
      </c>
      <c r="J303" s="425">
        <f ca="1">(FORECAST(I303,OFFSET($H$260:$H$272,MATCH(I303,$B$260:$B$272,1)-1,0,2),OFFSET($B$260:$B$272,MATCH(I303,$B$260:$B$272,1)-1,0,2)))+I303</f>
        <v>37.19</v>
      </c>
      <c r="K303" s="425">
        <f t="shared" ca="1" si="347"/>
        <v>0.18999999999999773</v>
      </c>
      <c r="L303" s="462">
        <f t="shared" si="349"/>
        <v>0</v>
      </c>
      <c r="M303" s="377"/>
      <c r="AE303" s="417"/>
      <c r="AF303" s="417"/>
      <c r="AG303" s="417"/>
      <c r="AH303" s="418"/>
      <c r="AJ303" s="375"/>
      <c r="AK303" s="417"/>
      <c r="AL303" s="417"/>
      <c r="AM303" s="417"/>
      <c r="AN303" s="418"/>
      <c r="AP303" s="375"/>
      <c r="AQ303" s="417"/>
      <c r="AR303" s="417"/>
      <c r="AS303" s="417"/>
      <c r="AT303" s="418"/>
      <c r="AV303" s="375"/>
      <c r="AW303" s="417"/>
      <c r="AX303" s="417"/>
      <c r="AY303" s="417"/>
      <c r="AZ303" s="418"/>
      <c r="BB303" s="375"/>
      <c r="BC303" s="417"/>
      <c r="BD303" s="417"/>
      <c r="BE303" s="417"/>
      <c r="BF303" s="418"/>
      <c r="BH303" s="375"/>
      <c r="BI303" s="417"/>
      <c r="BJ303" s="417"/>
      <c r="BK303" s="417"/>
      <c r="BL303" s="418"/>
      <c r="BN303" s="375"/>
      <c r="BO303" s="417"/>
      <c r="BP303" s="417"/>
      <c r="BQ303" s="417"/>
      <c r="BR303" s="418"/>
      <c r="BT303" s="375"/>
      <c r="BU303" s="417"/>
      <c r="BV303" s="417"/>
      <c r="BW303" s="417"/>
      <c r="BX303" s="418"/>
      <c r="BZ303" s="375"/>
      <c r="CA303" s="417"/>
      <c r="CB303" s="418"/>
      <c r="CD303" s="375"/>
      <c r="CE303" s="417"/>
      <c r="CF303" s="417"/>
      <c r="CG303" s="378"/>
      <c r="CH303" s="418"/>
    </row>
    <row r="304" spans="1:97" ht="13.9" customHeight="1">
      <c r="B304" s="463" t="s">
        <v>420</v>
      </c>
      <c r="C304" s="425">
        <f>ID!D78</f>
        <v>37</v>
      </c>
      <c r="D304" s="425">
        <f ca="1">(FORECAST(C304,OFFSET($I$260:$I$272,MATCH(C304,$B$260:$B$272,1)-1,0,2),OFFSET($B$260:$B$272,MATCH(C304,$B$260:$B$272,1)-1,0,2)))+C304</f>
        <v>37.200000000000003</v>
      </c>
      <c r="E304" s="425">
        <f t="shared" ca="1" si="346"/>
        <v>0.20000000000000284</v>
      </c>
      <c r="F304" s="462">
        <f t="shared" si="348"/>
        <v>0</v>
      </c>
      <c r="G304" s="377"/>
      <c r="H304" s="463" t="s">
        <v>420</v>
      </c>
      <c r="I304" s="425">
        <f>ID!E78</f>
        <v>37</v>
      </c>
      <c r="J304" s="425">
        <f ca="1">(FORECAST(I304,OFFSET($I$260:$I$272,MATCH(I304,$B$260:$B$272,1)-1,0,2),OFFSET($B$260:$B$272,MATCH(I304,$B$260:$B$272,1)-1,0,2)))+I304</f>
        <v>37.200000000000003</v>
      </c>
      <c r="K304" s="425">
        <f t="shared" ca="1" si="347"/>
        <v>0.20000000000000284</v>
      </c>
      <c r="L304" s="462">
        <f t="shared" si="349"/>
        <v>0</v>
      </c>
      <c r="M304" s="377"/>
      <c r="AE304" s="417"/>
      <c r="AF304" s="417"/>
      <c r="AG304" s="417"/>
      <c r="AH304" s="418"/>
      <c r="AJ304" s="375"/>
      <c r="AK304" s="417"/>
      <c r="AL304" s="417"/>
      <c r="AM304" s="417"/>
      <c r="AN304" s="418"/>
      <c r="AP304" s="375"/>
      <c r="AQ304" s="417"/>
      <c r="AR304" s="417"/>
      <c r="AS304" s="417"/>
      <c r="AT304" s="418"/>
      <c r="AV304" s="375"/>
      <c r="AW304" s="417"/>
      <c r="AX304" s="417"/>
      <c r="AY304" s="417"/>
      <c r="AZ304" s="418"/>
      <c r="BB304" s="375"/>
      <c r="BC304" s="417"/>
      <c r="BD304" s="417"/>
      <c r="BE304" s="417"/>
      <c r="BF304" s="418"/>
      <c r="BH304" s="375"/>
      <c r="BI304" s="417"/>
      <c r="BJ304" s="417"/>
      <c r="BK304" s="417"/>
      <c r="BL304" s="418"/>
      <c r="BN304" s="375"/>
      <c r="BO304" s="417"/>
      <c r="BP304" s="417"/>
      <c r="BQ304" s="417"/>
      <c r="BR304" s="418"/>
      <c r="BT304" s="375"/>
      <c r="BU304" s="417"/>
      <c r="BV304" s="417"/>
      <c r="BW304" s="417"/>
      <c r="BX304" s="418"/>
      <c r="BZ304" s="375"/>
      <c r="CA304" s="417"/>
      <c r="CB304" s="418"/>
      <c r="CD304" s="375"/>
      <c r="CE304" s="417"/>
      <c r="CF304" s="417"/>
      <c r="CG304" s="378"/>
      <c r="CH304" s="418"/>
    </row>
    <row r="305" spans="2:86" ht="13.9" customHeight="1">
      <c r="B305" s="463" t="s">
        <v>421</v>
      </c>
      <c r="C305" s="425">
        <f>ID!D79</f>
        <v>37</v>
      </c>
      <c r="D305" s="425">
        <f ca="1">(FORECAST(C305,OFFSET($J$260:$J$272,MATCH(C305,$B$260:$B$272,1)-1,0,2),OFFSET($B$260:$B$272,MATCH(C305,$B$260:$B$272,1)-1,0,2)))+C305</f>
        <v>37.19</v>
      </c>
      <c r="E305" s="425">
        <f t="shared" ca="1" si="346"/>
        <v>0.18999999999999773</v>
      </c>
      <c r="F305" s="462">
        <f t="shared" si="348"/>
        <v>0</v>
      </c>
      <c r="G305" s="377"/>
      <c r="H305" s="463" t="s">
        <v>421</v>
      </c>
      <c r="I305" s="425">
        <f>ID!E79</f>
        <v>37</v>
      </c>
      <c r="J305" s="425">
        <f ca="1">(FORECAST(I305,OFFSET($J$260:$J$272,MATCH(I305,$B$260:$B$272,1)-1,0,2),OFFSET($B$260:$B$272,MATCH(I305,$B$260:$B$272,1)-1,0,2)))+I305</f>
        <v>37.19</v>
      </c>
      <c r="K305" s="425">
        <f t="shared" ca="1" si="347"/>
        <v>0.18999999999999773</v>
      </c>
      <c r="L305" s="462">
        <f t="shared" si="349"/>
        <v>0</v>
      </c>
      <c r="M305" s="377"/>
      <c r="AE305" s="417"/>
      <c r="AF305" s="417"/>
      <c r="AG305" s="417"/>
      <c r="AH305" s="418"/>
      <c r="AJ305" s="375"/>
      <c r="AK305" s="417"/>
      <c r="AL305" s="417"/>
      <c r="AM305" s="417"/>
      <c r="AN305" s="418"/>
      <c r="AP305" s="375"/>
      <c r="AQ305" s="417"/>
      <c r="AR305" s="417"/>
      <c r="AS305" s="417"/>
      <c r="AT305" s="418"/>
      <c r="AV305" s="375"/>
      <c r="AW305" s="417"/>
      <c r="AX305" s="417"/>
      <c r="AY305" s="417"/>
      <c r="AZ305" s="418"/>
      <c r="BB305" s="375"/>
      <c r="BC305" s="417"/>
      <c r="BD305" s="417"/>
      <c r="BE305" s="417"/>
      <c r="BF305" s="418"/>
      <c r="BH305" s="375"/>
      <c r="BI305" s="417"/>
      <c r="BJ305" s="417"/>
      <c r="BK305" s="417"/>
      <c r="BL305" s="418"/>
      <c r="BN305" s="375"/>
      <c r="BO305" s="417"/>
      <c r="BP305" s="417"/>
      <c r="BQ305" s="417"/>
      <c r="BR305" s="418"/>
      <c r="BT305" s="375"/>
      <c r="BU305" s="417"/>
      <c r="BV305" s="417"/>
      <c r="BW305" s="417"/>
      <c r="BX305" s="418"/>
      <c r="BZ305" s="375"/>
      <c r="CA305" s="417"/>
      <c r="CB305" s="418"/>
      <c r="CD305" s="375"/>
      <c r="CE305" s="417"/>
      <c r="CF305" s="417"/>
      <c r="CG305" s="378"/>
      <c r="CH305" s="418"/>
    </row>
    <row r="306" spans="2:86" ht="13.9" customHeight="1">
      <c r="B306" s="463" t="s">
        <v>422</v>
      </c>
      <c r="C306" s="594" t="s">
        <v>156</v>
      </c>
      <c r="D306" s="594" t="s">
        <v>156</v>
      </c>
      <c r="E306" s="594" t="s">
        <v>156</v>
      </c>
      <c r="F306" s="462">
        <f t="shared" si="348"/>
        <v>0</v>
      </c>
      <c r="G306" s="377"/>
      <c r="H306" s="463" t="s">
        <v>422</v>
      </c>
      <c r="I306" s="594" t="s">
        <v>156</v>
      </c>
      <c r="J306" s="594" t="s">
        <v>156</v>
      </c>
      <c r="K306" s="594" t="s">
        <v>156</v>
      </c>
      <c r="L306" s="462">
        <f t="shared" si="349"/>
        <v>0</v>
      </c>
      <c r="M306" s="377"/>
      <c r="AE306" s="417"/>
      <c r="AF306" s="417"/>
      <c r="AG306" s="417"/>
      <c r="AH306" s="418"/>
      <c r="AJ306" s="375"/>
      <c r="AK306" s="417"/>
      <c r="AL306" s="417"/>
      <c r="AM306" s="417"/>
      <c r="AN306" s="418"/>
      <c r="AP306" s="375"/>
      <c r="AQ306" s="417"/>
      <c r="AR306" s="417"/>
      <c r="AS306" s="417"/>
      <c r="AT306" s="418"/>
      <c r="AV306" s="375"/>
      <c r="AW306" s="417"/>
      <c r="AX306" s="417"/>
      <c r="AY306" s="417"/>
      <c r="AZ306" s="418"/>
      <c r="BB306" s="375"/>
      <c r="BC306" s="417"/>
      <c r="BD306" s="417"/>
      <c r="BE306" s="417"/>
      <c r="BF306" s="418"/>
      <c r="BH306" s="375"/>
      <c r="BI306" s="417"/>
      <c r="BJ306" s="417"/>
      <c r="BK306" s="417"/>
      <c r="BL306" s="418"/>
      <c r="BN306" s="375"/>
      <c r="BO306" s="417"/>
      <c r="BP306" s="417"/>
      <c r="BQ306" s="417"/>
      <c r="BR306" s="418"/>
      <c r="BT306" s="375"/>
      <c r="BU306" s="417"/>
      <c r="BV306" s="417"/>
      <c r="BW306" s="417"/>
      <c r="BX306" s="418"/>
      <c r="BZ306" s="375"/>
      <c r="CA306" s="417"/>
      <c r="CB306" s="418"/>
      <c r="CD306" s="375"/>
      <c r="CE306" s="417"/>
      <c r="CF306" s="417"/>
      <c r="CG306" s="378"/>
      <c r="CH306" s="418"/>
    </row>
    <row r="307" spans="2:86" ht="13.9" customHeight="1">
      <c r="B307" s="463" t="s">
        <v>423</v>
      </c>
      <c r="C307" s="594" t="s">
        <v>156</v>
      </c>
      <c r="D307" s="594" t="s">
        <v>156</v>
      </c>
      <c r="E307" s="594" t="s">
        <v>156</v>
      </c>
      <c r="F307" s="462">
        <f t="shared" si="348"/>
        <v>0</v>
      </c>
      <c r="G307" s="377"/>
      <c r="H307" s="463" t="s">
        <v>423</v>
      </c>
      <c r="I307" s="594" t="s">
        <v>156</v>
      </c>
      <c r="J307" s="594" t="s">
        <v>156</v>
      </c>
      <c r="K307" s="594" t="s">
        <v>156</v>
      </c>
      <c r="L307" s="462">
        <f t="shared" si="349"/>
        <v>0</v>
      </c>
      <c r="M307" s="377"/>
      <c r="AE307" s="417"/>
      <c r="AF307" s="417"/>
      <c r="AG307" s="417"/>
      <c r="AH307" s="418"/>
      <c r="AJ307" s="375"/>
      <c r="AK307" s="417"/>
      <c r="AL307" s="417"/>
      <c r="AM307" s="417"/>
      <c r="AN307" s="418"/>
      <c r="AP307" s="375"/>
      <c r="AQ307" s="417"/>
      <c r="AR307" s="417"/>
      <c r="AS307" s="417"/>
      <c r="AT307" s="418"/>
      <c r="AV307" s="375"/>
      <c r="AW307" s="417"/>
      <c r="AX307" s="417"/>
      <c r="AY307" s="417"/>
      <c r="AZ307" s="418"/>
      <c r="BB307" s="375"/>
      <c r="BC307" s="417"/>
      <c r="BD307" s="417"/>
      <c r="BE307" s="417"/>
      <c r="BF307" s="418"/>
      <c r="BH307" s="375"/>
      <c r="BI307" s="417"/>
      <c r="BJ307" s="417"/>
      <c r="BK307" s="417"/>
      <c r="BL307" s="418"/>
      <c r="BN307" s="375"/>
      <c r="BO307" s="417"/>
      <c r="BP307" s="417"/>
      <c r="BQ307" s="417"/>
      <c r="BR307" s="418"/>
      <c r="BT307" s="375"/>
      <c r="BU307" s="417"/>
      <c r="BV307" s="417"/>
      <c r="BW307" s="417"/>
      <c r="BX307" s="418"/>
      <c r="BZ307" s="375"/>
      <c r="CA307" s="417"/>
      <c r="CB307" s="418"/>
      <c r="CD307" s="375"/>
      <c r="CE307" s="417"/>
      <c r="CF307" s="417"/>
      <c r="CG307" s="378"/>
      <c r="CH307" s="418"/>
    </row>
    <row r="308" spans="2:86" s="377" customFormat="1" ht="13.9" customHeight="1">
      <c r="T308" s="378"/>
      <c r="U308" s="378"/>
      <c r="V308" s="378"/>
      <c r="W308" s="378"/>
      <c r="X308" s="378"/>
      <c r="Y308" s="378"/>
      <c r="Z308" s="378"/>
      <c r="AA308" s="378"/>
      <c r="AB308" s="378"/>
      <c r="AE308" s="396"/>
      <c r="AF308" s="396"/>
      <c r="AG308" s="396"/>
      <c r="AH308" s="395"/>
      <c r="AL308" s="378"/>
      <c r="AN308" s="379"/>
      <c r="AR308" s="378"/>
      <c r="AT308" s="379"/>
      <c r="AW308" s="378"/>
      <c r="AX308" s="378"/>
      <c r="AZ308" s="379"/>
      <c r="BD308" s="378"/>
      <c r="BF308" s="379"/>
      <c r="BJ308" s="378"/>
      <c r="BL308" s="379"/>
      <c r="BP308" s="378"/>
      <c r="BR308" s="379"/>
      <c r="BV308" s="378"/>
      <c r="BX308" s="379"/>
      <c r="CB308" s="379"/>
      <c r="CF308" s="378"/>
      <c r="CH308" s="379"/>
    </row>
    <row r="309" spans="2:86" s="377" customFormat="1" ht="13.9" customHeight="1">
      <c r="T309" s="378"/>
      <c r="U309" s="378"/>
      <c r="V309" s="378"/>
      <c r="W309" s="378"/>
      <c r="X309" s="378"/>
      <c r="Y309" s="378"/>
      <c r="Z309" s="378"/>
      <c r="AA309" s="378"/>
      <c r="AB309" s="378"/>
      <c r="AE309" s="397"/>
      <c r="AF309" s="464"/>
      <c r="AG309" s="378"/>
      <c r="AH309" s="379"/>
      <c r="AJ309" s="465"/>
      <c r="AK309" s="397"/>
      <c r="AL309" s="464"/>
      <c r="AM309" s="378"/>
      <c r="AN309" s="379"/>
      <c r="AP309" s="465"/>
      <c r="AQ309" s="397"/>
      <c r="AR309" s="464"/>
      <c r="AS309" s="378"/>
      <c r="AT309" s="379"/>
      <c r="AV309" s="465"/>
      <c r="AW309" s="464"/>
      <c r="AX309" s="464"/>
      <c r="AY309" s="378"/>
      <c r="AZ309" s="379"/>
      <c r="BB309" s="465"/>
      <c r="BC309" s="378"/>
      <c r="BD309" s="464"/>
      <c r="BE309" s="378"/>
      <c r="BF309" s="379"/>
      <c r="BH309" s="465"/>
      <c r="BI309" s="378"/>
      <c r="BJ309" s="464"/>
      <c r="BK309" s="378"/>
      <c r="BL309" s="379"/>
      <c r="BN309" s="465"/>
      <c r="BO309" s="378"/>
      <c r="BP309" s="464"/>
      <c r="BQ309" s="378"/>
      <c r="BR309" s="379"/>
      <c r="BT309" s="465"/>
      <c r="BU309" s="378"/>
      <c r="BV309" s="464"/>
      <c r="BW309" s="378"/>
      <c r="BX309" s="379"/>
      <c r="BZ309" s="465"/>
      <c r="CA309" s="378"/>
      <c r="CB309" s="379"/>
      <c r="CD309" s="465"/>
      <c r="CE309" s="397"/>
      <c r="CF309" s="464"/>
      <c r="CG309" s="378"/>
      <c r="CH309" s="379"/>
    </row>
    <row r="310" spans="2:86" ht="25.15" customHeight="1">
      <c r="B310" s="461" t="s">
        <v>424</v>
      </c>
      <c r="C310" s="422" t="s">
        <v>410</v>
      </c>
      <c r="D310" s="461" t="s">
        <v>411</v>
      </c>
      <c r="E310" s="425" t="s">
        <v>343</v>
      </c>
      <c r="F310" s="462" t="s">
        <v>412</v>
      </c>
      <c r="G310" s="377"/>
      <c r="H310" s="461" t="s">
        <v>425</v>
      </c>
      <c r="I310" s="422" t="s">
        <v>410</v>
      </c>
      <c r="J310" s="461" t="s">
        <v>411</v>
      </c>
      <c r="K310" s="425" t="s">
        <v>343</v>
      </c>
      <c r="L310" s="462" t="s">
        <v>412</v>
      </c>
      <c r="M310" s="377"/>
      <c r="AE310" s="417"/>
      <c r="AF310" s="417"/>
      <c r="AG310" s="417"/>
      <c r="AH310" s="418"/>
      <c r="AJ310" s="375"/>
      <c r="AK310" s="417"/>
      <c r="AL310" s="417"/>
      <c r="AM310" s="417"/>
      <c r="AN310" s="418"/>
      <c r="AP310" s="375"/>
      <c r="AQ310" s="417"/>
      <c r="AR310" s="417"/>
      <c r="AS310" s="417"/>
      <c r="AT310" s="418"/>
      <c r="AV310" s="375"/>
      <c r="AW310" s="417"/>
      <c r="AX310" s="417"/>
      <c r="AY310" s="417"/>
      <c r="AZ310" s="418"/>
      <c r="BB310" s="375"/>
      <c r="BC310" s="417"/>
      <c r="BD310" s="417"/>
      <c r="BE310" s="417"/>
      <c r="BF310" s="418"/>
      <c r="BH310" s="375"/>
      <c r="BI310" s="417"/>
      <c r="BJ310" s="417"/>
      <c r="BK310" s="417"/>
      <c r="BL310" s="418"/>
      <c r="BN310" s="375"/>
      <c r="BO310" s="417"/>
      <c r="BP310" s="417"/>
      <c r="BQ310" s="417"/>
      <c r="BR310" s="418"/>
      <c r="BT310" s="375"/>
      <c r="BU310" s="417"/>
      <c r="BV310" s="417"/>
      <c r="BW310" s="417"/>
      <c r="BX310" s="418"/>
      <c r="BZ310" s="375"/>
      <c r="CA310" s="417"/>
      <c r="CB310" s="418"/>
      <c r="CD310" s="375"/>
      <c r="CE310" s="417"/>
      <c r="CF310" s="417"/>
      <c r="CG310" s="378"/>
      <c r="CH310" s="418"/>
    </row>
    <row r="311" spans="2:86" ht="13.9" customHeight="1">
      <c r="B311" s="463" t="s">
        <v>414</v>
      </c>
      <c r="C311" s="425">
        <f>ID!F72</f>
        <v>37</v>
      </c>
      <c r="D311" s="425">
        <f ca="1">(FORECAST(C311,OFFSET($C$260:$C$272,MATCH($C$298,$B$260:$B$272,1)-1,0,2),OFFSET($B$260:$B$272,MATCH(C311,$B$260:$B$272,1)-1,0,2)))+C311</f>
        <v>37.21</v>
      </c>
      <c r="E311" s="425">
        <f t="shared" ref="E311:E318" ca="1" si="350">D311-C311</f>
        <v>0.21000000000000085</v>
      </c>
      <c r="F311" s="462">
        <f>AQ382</f>
        <v>0</v>
      </c>
      <c r="G311" s="377"/>
      <c r="H311" s="463" t="s">
        <v>414</v>
      </c>
      <c r="I311" s="425">
        <f>ID!G72</f>
        <v>37</v>
      </c>
      <c r="J311" s="425">
        <f ca="1">(FORECAST(I311,OFFSET($C$260:$C$272,MATCH($C$298,$B$260:$B$272,1)-1,0,2),OFFSET($B$260:$B$272,MATCH(I311,$B$260:$B$272,1)-1,0,2)))+I311</f>
        <v>37.21</v>
      </c>
      <c r="K311" s="425">
        <f t="shared" ref="K311:K318" ca="1" si="351">J311-I311</f>
        <v>0.21000000000000085</v>
      </c>
      <c r="L311" s="462">
        <f>AW382</f>
        <v>0</v>
      </c>
      <c r="M311" s="377"/>
      <c r="AE311" s="417"/>
      <c r="AF311" s="417"/>
      <c r="AG311" s="417"/>
      <c r="AH311" s="418"/>
      <c r="AJ311" s="375"/>
      <c r="AK311" s="417"/>
      <c r="AL311" s="417"/>
      <c r="AM311" s="417"/>
      <c r="AN311" s="418"/>
      <c r="AP311" s="375"/>
      <c r="AQ311" s="417"/>
      <c r="AR311" s="417"/>
      <c r="AS311" s="417"/>
      <c r="AT311" s="418"/>
      <c r="AV311" s="375"/>
      <c r="AW311" s="417"/>
      <c r="AX311" s="417"/>
      <c r="AY311" s="417"/>
      <c r="AZ311" s="418"/>
      <c r="BB311" s="375"/>
      <c r="BC311" s="417"/>
      <c r="BD311" s="417"/>
      <c r="BE311" s="417"/>
      <c r="BF311" s="418"/>
      <c r="BH311" s="375"/>
      <c r="BI311" s="417"/>
      <c r="BJ311" s="417"/>
      <c r="BK311" s="417"/>
      <c r="BL311" s="418"/>
      <c r="BN311" s="375"/>
      <c r="BO311" s="417"/>
      <c r="BP311" s="417"/>
      <c r="BQ311" s="417"/>
      <c r="BR311" s="418"/>
      <c r="BT311" s="375"/>
      <c r="BU311" s="417"/>
      <c r="BV311" s="417"/>
      <c r="BW311" s="417"/>
      <c r="BX311" s="418"/>
      <c r="BZ311" s="375"/>
      <c r="CA311" s="417"/>
      <c r="CB311" s="418"/>
      <c r="CD311" s="375"/>
      <c r="CE311" s="417"/>
      <c r="CF311" s="417"/>
      <c r="CG311" s="378"/>
      <c r="CH311" s="418"/>
    </row>
    <row r="312" spans="2:86" ht="13.9" customHeight="1">
      <c r="B312" s="463" t="s">
        <v>415</v>
      </c>
      <c r="C312" s="425">
        <f>ID!F73</f>
        <v>37</v>
      </c>
      <c r="D312" s="425">
        <f ca="1">(FORECAST(C312,OFFSET($D$260:$D$272,MATCH($C$299,$B$260:$B$272,1)-1,0,2),OFFSET($B$260:$B$272,MATCH(C312,$B$260:$B$272,1)-1,0,2)))+C312</f>
        <v>37.21</v>
      </c>
      <c r="E312" s="425">
        <f t="shared" ca="1" si="350"/>
        <v>0.21000000000000085</v>
      </c>
      <c r="F312" s="462">
        <f t="shared" ref="F312:F320" si="352">AQ383</f>
        <v>0</v>
      </c>
      <c r="G312" s="377"/>
      <c r="H312" s="463" t="s">
        <v>415</v>
      </c>
      <c r="I312" s="425">
        <f>ID!G73</f>
        <v>37</v>
      </c>
      <c r="J312" s="425">
        <f ca="1">(FORECAST(I312,OFFSET($D$260:$D$272,MATCH($I$312,$B$260:$B$272,1)-1,0,2),OFFSET($B$260:$B$272,MATCH(I312,$B$260:$B$272,1)-1,0,2)))+I312</f>
        <v>37.21</v>
      </c>
      <c r="K312" s="425">
        <f t="shared" ca="1" si="351"/>
        <v>0.21000000000000085</v>
      </c>
      <c r="L312" s="462">
        <f t="shared" ref="L312:L320" si="353">AW383</f>
        <v>0</v>
      </c>
      <c r="M312" s="377"/>
      <c r="AE312" s="417"/>
      <c r="AF312" s="417"/>
      <c r="AG312" s="417"/>
      <c r="AH312" s="418"/>
      <c r="AJ312" s="375"/>
      <c r="AK312" s="417"/>
      <c r="AL312" s="417"/>
      <c r="AM312" s="417"/>
      <c r="AN312" s="418"/>
      <c r="AP312" s="375"/>
      <c r="AQ312" s="417"/>
      <c r="AR312" s="417"/>
      <c r="AS312" s="417"/>
      <c r="AT312" s="418"/>
      <c r="AV312" s="375"/>
      <c r="AW312" s="417"/>
      <c r="AX312" s="417"/>
      <c r="AY312" s="417"/>
      <c r="AZ312" s="418"/>
      <c r="BB312" s="375"/>
      <c r="BC312" s="417"/>
      <c r="BD312" s="417"/>
      <c r="BE312" s="417"/>
      <c r="BF312" s="418"/>
      <c r="BH312" s="375"/>
      <c r="BI312" s="417"/>
      <c r="BJ312" s="417"/>
      <c r="BK312" s="417"/>
      <c r="BL312" s="418"/>
      <c r="BN312" s="375"/>
      <c r="BO312" s="417"/>
      <c r="BP312" s="417"/>
      <c r="BQ312" s="417"/>
      <c r="BR312" s="418"/>
      <c r="BT312" s="375"/>
      <c r="BU312" s="417"/>
      <c r="BV312" s="417"/>
      <c r="BW312" s="417"/>
      <c r="BX312" s="418"/>
      <c r="BZ312" s="375"/>
      <c r="CA312" s="417"/>
      <c r="CB312" s="418"/>
      <c r="CD312" s="375"/>
      <c r="CE312" s="417"/>
      <c r="CF312" s="417"/>
      <c r="CG312" s="378"/>
      <c r="CH312" s="418"/>
    </row>
    <row r="313" spans="2:86" ht="13.9" customHeight="1">
      <c r="B313" s="463" t="s">
        <v>416</v>
      </c>
      <c r="C313" s="425">
        <f>ID!F74</f>
        <v>37</v>
      </c>
      <c r="D313" s="425">
        <f ca="1">(FORECAST(C313,OFFSET($E$260:$E$272,MATCH(C313,$B$260:$B$272,1)-1,0,2),OFFSET($B$260:$B$272,MATCH(C313,$B$260:$B$272,1)-1,0,2)))+C313</f>
        <v>37.18</v>
      </c>
      <c r="E313" s="425">
        <f t="shared" ca="1" si="350"/>
        <v>0.17999999999999972</v>
      </c>
      <c r="F313" s="462">
        <f t="shared" si="352"/>
        <v>0</v>
      </c>
      <c r="G313" s="377"/>
      <c r="H313" s="463" t="s">
        <v>416</v>
      </c>
      <c r="I313" s="425">
        <f>ID!G74</f>
        <v>37</v>
      </c>
      <c r="J313" s="425">
        <f ca="1">(FORECAST(I313,OFFSET($E$260:$E$272,MATCH(I313,$B$260:$B$272,1)-1,0,2),OFFSET($B$260:$B$272,MATCH(I313,$B$260:$B$272,1)-1,0,2)))+I313</f>
        <v>37.18</v>
      </c>
      <c r="K313" s="425">
        <f t="shared" ca="1" si="351"/>
        <v>0.17999999999999972</v>
      </c>
      <c r="L313" s="462">
        <f t="shared" si="353"/>
        <v>0</v>
      </c>
      <c r="M313" s="377"/>
      <c r="AE313" s="417"/>
      <c r="AF313" s="417"/>
      <c r="AG313" s="417"/>
      <c r="AH313" s="418"/>
      <c r="AJ313" s="375"/>
      <c r="AK313" s="417"/>
      <c r="AL313" s="417"/>
      <c r="AM313" s="417"/>
      <c r="AN313" s="418"/>
      <c r="AP313" s="375"/>
      <c r="AQ313" s="417"/>
      <c r="AR313" s="417"/>
      <c r="AS313" s="417"/>
      <c r="AT313" s="418"/>
      <c r="AV313" s="375"/>
      <c r="AW313" s="417"/>
      <c r="AX313" s="417"/>
      <c r="AY313" s="417"/>
      <c r="AZ313" s="418"/>
      <c r="BB313" s="375"/>
      <c r="BC313" s="417"/>
      <c r="BD313" s="417"/>
      <c r="BE313" s="417"/>
      <c r="BF313" s="418"/>
      <c r="BH313" s="375"/>
      <c r="BI313" s="417"/>
      <c r="BJ313" s="417"/>
      <c r="BK313" s="417"/>
      <c r="BL313" s="418"/>
      <c r="BN313" s="375"/>
      <c r="BO313" s="417"/>
      <c r="BP313" s="417"/>
      <c r="BQ313" s="417"/>
      <c r="BR313" s="418"/>
      <c r="BT313" s="375"/>
      <c r="BU313" s="417"/>
      <c r="BV313" s="417"/>
      <c r="BW313" s="417"/>
      <c r="BX313" s="418"/>
      <c r="BZ313" s="375"/>
      <c r="CA313" s="417"/>
      <c r="CB313" s="418"/>
      <c r="CD313" s="375"/>
      <c r="CE313" s="417"/>
      <c r="CF313" s="417"/>
      <c r="CG313" s="378"/>
      <c r="CH313" s="418"/>
    </row>
    <row r="314" spans="2:86" ht="13.9" customHeight="1">
      <c r="B314" s="463" t="s">
        <v>417</v>
      </c>
      <c r="C314" s="425">
        <f>ID!F75</f>
        <v>37</v>
      </c>
      <c r="D314" s="425">
        <f ca="1">(FORECAST(C314,OFFSET($F$260:$F$272,MATCH(C314,$B$260:$B$272,1)-1,0,2),OFFSET($B$260:$B$272,MATCH(C314,$B$260:$B$272,1)-1,0,2)))+C314</f>
        <v>37.17</v>
      </c>
      <c r="E314" s="425">
        <f t="shared" ca="1" si="350"/>
        <v>0.17000000000000171</v>
      </c>
      <c r="F314" s="462">
        <f t="shared" si="352"/>
        <v>0</v>
      </c>
      <c r="G314" s="377"/>
      <c r="H314" s="463" t="s">
        <v>417</v>
      </c>
      <c r="I314" s="425">
        <f>ID!G75</f>
        <v>37</v>
      </c>
      <c r="J314" s="425">
        <f ca="1">(FORECAST(I314,OFFSET($F$260:$F$272,MATCH(I314,$B$260:$B$272,1)-1,0,2),OFFSET($B$260:$B$272,MATCH(I314,$B$260:$B$272,1)-1,0,2)))+I314</f>
        <v>37.17</v>
      </c>
      <c r="K314" s="425">
        <f t="shared" ca="1" si="351"/>
        <v>0.17000000000000171</v>
      </c>
      <c r="L314" s="462">
        <f t="shared" si="353"/>
        <v>0</v>
      </c>
      <c r="M314" s="377"/>
      <c r="AE314" s="417"/>
      <c r="AF314" s="417"/>
      <c r="AG314" s="417"/>
      <c r="AH314" s="418"/>
      <c r="AJ314" s="375"/>
      <c r="AK314" s="417"/>
      <c r="AL314" s="417"/>
      <c r="AM314" s="417"/>
      <c r="AN314" s="418"/>
      <c r="AP314" s="375"/>
      <c r="AQ314" s="417"/>
      <c r="AR314" s="417"/>
      <c r="AS314" s="417"/>
      <c r="AT314" s="418"/>
      <c r="AV314" s="375"/>
      <c r="AW314" s="417"/>
      <c r="AX314" s="417"/>
      <c r="AY314" s="417"/>
      <c r="AZ314" s="418"/>
      <c r="BB314" s="375"/>
      <c r="BC314" s="417"/>
      <c r="BD314" s="417"/>
      <c r="BE314" s="417"/>
      <c r="BF314" s="418"/>
      <c r="BH314" s="375"/>
      <c r="BI314" s="417"/>
      <c r="BJ314" s="417"/>
      <c r="BK314" s="417"/>
      <c r="BL314" s="418"/>
      <c r="BN314" s="375"/>
      <c r="BO314" s="417"/>
      <c r="BP314" s="417"/>
      <c r="BQ314" s="417"/>
      <c r="BR314" s="418"/>
      <c r="BT314" s="375"/>
      <c r="BU314" s="417"/>
      <c r="BV314" s="417"/>
      <c r="BW314" s="417"/>
      <c r="BX314" s="418"/>
      <c r="BZ314" s="375"/>
      <c r="CA314" s="417"/>
      <c r="CB314" s="418"/>
      <c r="CD314" s="375"/>
      <c r="CE314" s="417"/>
      <c r="CF314" s="417"/>
      <c r="CG314" s="378"/>
      <c r="CH314" s="418"/>
    </row>
    <row r="315" spans="2:86" ht="13.9" customHeight="1">
      <c r="B315" s="463" t="s">
        <v>418</v>
      </c>
      <c r="C315" s="425">
        <f>ID!F76</f>
        <v>37</v>
      </c>
      <c r="D315" s="425">
        <f ca="1">(FORECAST(C315,OFFSET($G$260:$G$272,MATCH(C315,$B$260:$B$272,1)-1,0,2),OFFSET($B$260:$B$272,MATCH(C315,$B$260:$B$272,1)-1,0,2)))+C315</f>
        <v>37.18</v>
      </c>
      <c r="E315" s="425">
        <f t="shared" ca="1" si="350"/>
        <v>0.17999999999999972</v>
      </c>
      <c r="F315" s="462">
        <f t="shared" si="352"/>
        <v>0</v>
      </c>
      <c r="G315" s="377"/>
      <c r="H315" s="463" t="s">
        <v>418</v>
      </c>
      <c r="I315" s="425">
        <f>ID!G76</f>
        <v>37</v>
      </c>
      <c r="J315" s="425">
        <f ca="1">(FORECAST(I315,OFFSET($G$260:$G$272,MATCH(I315,$B$260:$B$272,1)-1,0,2),OFFSET($B$260:$B$272,MATCH(I315,$B$260:$B$272,1)-1,0,2)))+I315</f>
        <v>37.18</v>
      </c>
      <c r="K315" s="425">
        <f t="shared" ca="1" si="351"/>
        <v>0.17999999999999972</v>
      </c>
      <c r="L315" s="462">
        <f t="shared" si="353"/>
        <v>0</v>
      </c>
      <c r="M315" s="377"/>
      <c r="AE315" s="417"/>
      <c r="AF315" s="417"/>
      <c r="AG315" s="417"/>
      <c r="AH315" s="418"/>
      <c r="AJ315" s="375"/>
      <c r="AK315" s="417"/>
      <c r="AL315" s="417"/>
      <c r="AM315" s="417"/>
      <c r="AN315" s="418"/>
      <c r="AP315" s="375"/>
      <c r="AQ315" s="417"/>
      <c r="AR315" s="417"/>
      <c r="AS315" s="417"/>
      <c r="AT315" s="418"/>
      <c r="AV315" s="375"/>
      <c r="AW315" s="417"/>
      <c r="AX315" s="417"/>
      <c r="AY315" s="417"/>
      <c r="AZ315" s="418"/>
      <c r="BB315" s="375"/>
      <c r="BC315" s="417"/>
      <c r="BD315" s="417"/>
      <c r="BE315" s="417"/>
      <c r="BF315" s="418"/>
      <c r="BH315" s="375"/>
      <c r="BI315" s="417"/>
      <c r="BJ315" s="417"/>
      <c r="BK315" s="417"/>
      <c r="BL315" s="418"/>
      <c r="BN315" s="375"/>
      <c r="BO315" s="417"/>
      <c r="BP315" s="417"/>
      <c r="BQ315" s="417"/>
      <c r="BR315" s="418"/>
      <c r="BT315" s="375"/>
      <c r="BU315" s="417"/>
      <c r="BV315" s="417"/>
      <c r="BW315" s="417"/>
      <c r="BX315" s="418"/>
      <c r="BZ315" s="375"/>
      <c r="CA315" s="417"/>
      <c r="CB315" s="418"/>
      <c r="CD315" s="375"/>
      <c r="CE315" s="417"/>
      <c r="CF315" s="417"/>
      <c r="CG315" s="378"/>
      <c r="CH315" s="418"/>
    </row>
    <row r="316" spans="2:86" ht="13.9" customHeight="1">
      <c r="B316" s="463" t="s">
        <v>419</v>
      </c>
      <c r="C316" s="425">
        <f>ID!F77</f>
        <v>37</v>
      </c>
      <c r="D316" s="425">
        <f ca="1">(FORECAST(C316,OFFSET($H$260:$H$272,MATCH(C316,$B$260:$B$272,1)-1,0,2),OFFSET($B$260:$B$272,MATCH(C316,$B$260:$B$272,1)-1,0,2)))+C316</f>
        <v>37.19</v>
      </c>
      <c r="E316" s="425">
        <f t="shared" ca="1" si="350"/>
        <v>0.18999999999999773</v>
      </c>
      <c r="F316" s="462">
        <f t="shared" si="352"/>
        <v>0</v>
      </c>
      <c r="G316" s="377"/>
      <c r="H316" s="463" t="s">
        <v>419</v>
      </c>
      <c r="I316" s="425">
        <f>ID!G77</f>
        <v>37</v>
      </c>
      <c r="J316" s="425">
        <f ca="1">(FORECAST(I316,OFFSET($H$260:$H$272,MATCH(I316,$B$260:$B$272,1)-1,0,2),OFFSET($B$260:$B$272,MATCH(I316,$B$260:$B$272,1)-1,0,2)))+I316</f>
        <v>37.19</v>
      </c>
      <c r="K316" s="425">
        <f t="shared" ca="1" si="351"/>
        <v>0.18999999999999773</v>
      </c>
      <c r="L316" s="462">
        <f t="shared" si="353"/>
        <v>0</v>
      </c>
      <c r="M316" s="377"/>
      <c r="AE316" s="417"/>
      <c r="AF316" s="417"/>
      <c r="AG316" s="417"/>
      <c r="AH316" s="418"/>
      <c r="AJ316" s="375"/>
      <c r="AK316" s="417"/>
      <c r="AL316" s="417"/>
      <c r="AM316" s="417"/>
      <c r="AN316" s="418"/>
      <c r="AP316" s="375"/>
      <c r="AQ316" s="417"/>
      <c r="AR316" s="417"/>
      <c r="AS316" s="417"/>
      <c r="AT316" s="418"/>
      <c r="AV316" s="375"/>
      <c r="AW316" s="417"/>
      <c r="AX316" s="417"/>
      <c r="AY316" s="417"/>
      <c r="AZ316" s="418"/>
      <c r="BB316" s="375"/>
      <c r="BC316" s="417"/>
      <c r="BD316" s="417"/>
      <c r="BE316" s="417"/>
      <c r="BF316" s="418"/>
      <c r="BH316" s="375"/>
      <c r="BI316" s="417"/>
      <c r="BJ316" s="417"/>
      <c r="BK316" s="417"/>
      <c r="BL316" s="418"/>
      <c r="BN316" s="375"/>
      <c r="BO316" s="417"/>
      <c r="BP316" s="417"/>
      <c r="BQ316" s="417"/>
      <c r="BR316" s="418"/>
      <c r="BT316" s="375"/>
      <c r="BU316" s="417"/>
      <c r="BV316" s="417"/>
      <c r="BW316" s="417"/>
      <c r="BX316" s="418"/>
      <c r="BZ316" s="375"/>
      <c r="CA316" s="417"/>
      <c r="CB316" s="418"/>
      <c r="CD316" s="375"/>
      <c r="CE316" s="417"/>
      <c r="CF316" s="417"/>
      <c r="CG316" s="378"/>
      <c r="CH316" s="418"/>
    </row>
    <row r="317" spans="2:86" ht="13.9" customHeight="1">
      <c r="B317" s="463" t="s">
        <v>420</v>
      </c>
      <c r="C317" s="425">
        <f>ID!F78</f>
        <v>37</v>
      </c>
      <c r="D317" s="425">
        <f ca="1">(FORECAST(C317,OFFSET($I$260:$I$272,MATCH(C317,$B$260:$B$272,1)-1,0,2),OFFSET($B$260:$B$272,MATCH(C317,$B$260:$B$272,1)-1,0,2)))+C317</f>
        <v>37.200000000000003</v>
      </c>
      <c r="E317" s="425">
        <f t="shared" ca="1" si="350"/>
        <v>0.20000000000000284</v>
      </c>
      <c r="F317" s="462">
        <f t="shared" si="352"/>
        <v>0</v>
      </c>
      <c r="G317" s="377"/>
      <c r="H317" s="463" t="s">
        <v>420</v>
      </c>
      <c r="I317" s="425">
        <f>ID!G78</f>
        <v>37</v>
      </c>
      <c r="J317" s="425">
        <f ca="1">(FORECAST(I317,OFFSET($I$260:$I$272,MATCH(I317,$B$260:$B$272,1)-1,0,2),OFFSET($B$260:$B$272,MATCH(I317,$B$260:$B$272,1)-1,0,2)))+I317</f>
        <v>37.200000000000003</v>
      </c>
      <c r="K317" s="425">
        <f t="shared" ca="1" si="351"/>
        <v>0.20000000000000284</v>
      </c>
      <c r="L317" s="462">
        <f t="shared" si="353"/>
        <v>0</v>
      </c>
      <c r="M317" s="377"/>
      <c r="AE317" s="417"/>
      <c r="AF317" s="417"/>
      <c r="AG317" s="417"/>
      <c r="AH317" s="418"/>
      <c r="AJ317" s="375"/>
      <c r="AK317" s="417"/>
      <c r="AL317" s="417"/>
      <c r="AM317" s="417"/>
      <c r="AN317" s="418"/>
      <c r="AP317" s="375"/>
      <c r="AQ317" s="417"/>
      <c r="AR317" s="417"/>
      <c r="AS317" s="417"/>
      <c r="AT317" s="418"/>
      <c r="AV317" s="375"/>
      <c r="AW317" s="417"/>
      <c r="AX317" s="417"/>
      <c r="AY317" s="417"/>
      <c r="AZ317" s="418"/>
      <c r="BB317" s="375"/>
      <c r="BC317" s="417"/>
      <c r="BD317" s="417"/>
      <c r="BE317" s="417"/>
      <c r="BF317" s="418"/>
      <c r="BH317" s="375"/>
      <c r="BI317" s="417"/>
      <c r="BJ317" s="417"/>
      <c r="BK317" s="417"/>
      <c r="BL317" s="418"/>
      <c r="BN317" s="375"/>
      <c r="BO317" s="417"/>
      <c r="BP317" s="417"/>
      <c r="BQ317" s="417"/>
      <c r="BR317" s="418"/>
      <c r="BT317" s="375"/>
      <c r="BU317" s="417"/>
      <c r="BV317" s="417"/>
      <c r="BW317" s="417"/>
      <c r="BX317" s="418"/>
      <c r="BZ317" s="375"/>
      <c r="CA317" s="417"/>
      <c r="CB317" s="418"/>
      <c r="CD317" s="375"/>
      <c r="CE317" s="417"/>
      <c r="CF317" s="417"/>
      <c r="CG317" s="378"/>
      <c r="CH317" s="418"/>
    </row>
    <row r="318" spans="2:86" ht="13.9" customHeight="1">
      <c r="B318" s="463" t="s">
        <v>421</v>
      </c>
      <c r="C318" s="425">
        <f>ID!F79</f>
        <v>37</v>
      </c>
      <c r="D318" s="425">
        <f ca="1">(FORECAST(C318,OFFSET($J$260:$J$272,MATCH(C318,$B$260:$B$272,1)-1,0,2),OFFSET($B$260:$B$272,MATCH(C318,$B$260:$B$272,1)-1,0,2)))+C318</f>
        <v>37.19</v>
      </c>
      <c r="E318" s="425">
        <f t="shared" ca="1" si="350"/>
        <v>0.18999999999999773</v>
      </c>
      <c r="F318" s="462">
        <f t="shared" si="352"/>
        <v>0</v>
      </c>
      <c r="G318" s="377"/>
      <c r="H318" s="463" t="s">
        <v>421</v>
      </c>
      <c r="I318" s="425">
        <f>ID!G79</f>
        <v>37</v>
      </c>
      <c r="J318" s="425">
        <f ca="1">(FORECAST(I318,OFFSET($J$260:$J$272,MATCH(I318,$B$260:$B$272,1)-1,0,2),OFFSET($B$260:$B$272,MATCH(I318,$B$260:$B$272,1)-1,0,2)))+I318</f>
        <v>37.19</v>
      </c>
      <c r="K318" s="425">
        <f t="shared" ca="1" si="351"/>
        <v>0.18999999999999773</v>
      </c>
      <c r="L318" s="462">
        <f t="shared" si="353"/>
        <v>0</v>
      </c>
      <c r="M318" s="377"/>
      <c r="AE318" s="417"/>
      <c r="AF318" s="417"/>
      <c r="AG318" s="417"/>
      <c r="AH318" s="418"/>
      <c r="AJ318" s="375"/>
      <c r="AK318" s="417"/>
      <c r="AL318" s="417"/>
      <c r="AM318" s="417"/>
      <c r="AN318" s="418"/>
      <c r="AP318" s="375"/>
      <c r="AQ318" s="417"/>
      <c r="AR318" s="417"/>
      <c r="AS318" s="417"/>
      <c r="AT318" s="418"/>
      <c r="AV318" s="375"/>
      <c r="AW318" s="417"/>
      <c r="AX318" s="417"/>
      <c r="AY318" s="417"/>
      <c r="AZ318" s="418"/>
      <c r="BB318" s="375"/>
      <c r="BC318" s="417"/>
      <c r="BD318" s="417"/>
      <c r="BE318" s="417"/>
      <c r="BF318" s="418"/>
      <c r="BH318" s="375"/>
      <c r="BI318" s="417"/>
      <c r="BJ318" s="417"/>
      <c r="BK318" s="417"/>
      <c r="BL318" s="418"/>
      <c r="BN318" s="375"/>
      <c r="BO318" s="417"/>
      <c r="BP318" s="417"/>
      <c r="BQ318" s="417"/>
      <c r="BR318" s="418"/>
      <c r="BT318" s="375"/>
      <c r="BU318" s="417"/>
      <c r="BV318" s="417"/>
      <c r="BW318" s="417"/>
      <c r="BX318" s="418"/>
      <c r="BZ318" s="375"/>
      <c r="CA318" s="417"/>
      <c r="CB318" s="418"/>
      <c r="CD318" s="375"/>
      <c r="CE318" s="417"/>
      <c r="CF318" s="417"/>
      <c r="CG318" s="378"/>
      <c r="CH318" s="418"/>
    </row>
    <row r="319" spans="2:86" ht="13.9" customHeight="1">
      <c r="B319" s="463" t="s">
        <v>422</v>
      </c>
      <c r="C319" s="594" t="s">
        <v>156</v>
      </c>
      <c r="D319" s="594" t="s">
        <v>156</v>
      </c>
      <c r="E319" s="594" t="s">
        <v>156</v>
      </c>
      <c r="F319" s="462">
        <f t="shared" si="352"/>
        <v>0</v>
      </c>
      <c r="G319" s="377"/>
      <c r="H319" s="463" t="s">
        <v>422</v>
      </c>
      <c r="I319" s="594" t="s">
        <v>156</v>
      </c>
      <c r="J319" s="594" t="s">
        <v>156</v>
      </c>
      <c r="K319" s="594" t="s">
        <v>156</v>
      </c>
      <c r="L319" s="462">
        <f t="shared" si="353"/>
        <v>0</v>
      </c>
      <c r="M319" s="377"/>
      <c r="AE319" s="426"/>
      <c r="AF319" s="458"/>
      <c r="AG319" s="417"/>
      <c r="AH319" s="418"/>
      <c r="AJ319" s="455"/>
      <c r="AK319" s="426"/>
      <c r="AL319" s="458"/>
      <c r="AM319" s="417"/>
      <c r="AN319" s="418"/>
      <c r="AP319" s="455"/>
      <c r="AQ319" s="426"/>
      <c r="AR319" s="458"/>
      <c r="AS319" s="417"/>
      <c r="AT319" s="418"/>
      <c r="AV319" s="455"/>
      <c r="AW319" s="458"/>
      <c r="AX319" s="458"/>
      <c r="AY319" s="417"/>
      <c r="AZ319" s="418"/>
      <c r="BB319" s="455"/>
      <c r="BC319" s="417"/>
      <c r="BD319" s="458"/>
      <c r="BE319" s="417"/>
      <c r="BF319" s="418"/>
      <c r="BH319" s="455"/>
      <c r="BI319" s="417"/>
      <c r="BJ319" s="458"/>
      <c r="BK319" s="417"/>
      <c r="BL319" s="418"/>
      <c r="BN319" s="455"/>
      <c r="BO319" s="417"/>
      <c r="BP319" s="458"/>
      <c r="BQ319" s="417"/>
      <c r="BR319" s="418"/>
      <c r="BT319" s="455"/>
      <c r="BU319" s="417"/>
      <c r="BV319" s="458"/>
      <c r="BW319" s="417"/>
      <c r="BX319" s="418"/>
      <c r="BZ319" s="455"/>
      <c r="CA319" s="417"/>
      <c r="CB319" s="418"/>
      <c r="CD319" s="455"/>
      <c r="CE319" s="426"/>
      <c r="CF319" s="458"/>
      <c r="CG319" s="378"/>
      <c r="CH319" s="418"/>
    </row>
    <row r="320" spans="2:86" ht="13.9" customHeight="1">
      <c r="B320" s="463" t="s">
        <v>423</v>
      </c>
      <c r="C320" s="594" t="s">
        <v>156</v>
      </c>
      <c r="D320" s="594" t="s">
        <v>156</v>
      </c>
      <c r="E320" s="594" t="s">
        <v>156</v>
      </c>
      <c r="F320" s="462">
        <f t="shared" si="352"/>
        <v>0</v>
      </c>
      <c r="G320" s="377"/>
      <c r="H320" s="463" t="s">
        <v>423</v>
      </c>
      <c r="I320" s="594" t="s">
        <v>156</v>
      </c>
      <c r="J320" s="594" t="s">
        <v>156</v>
      </c>
      <c r="K320" s="594" t="s">
        <v>156</v>
      </c>
      <c r="L320" s="462">
        <f t="shared" si="353"/>
        <v>0</v>
      </c>
      <c r="M320" s="377"/>
      <c r="AE320" s="417"/>
      <c r="AF320" s="417"/>
      <c r="AG320" s="417"/>
      <c r="AH320" s="418"/>
      <c r="AJ320" s="375"/>
      <c r="AK320" s="417"/>
      <c r="AL320" s="417"/>
      <c r="AM320" s="417"/>
      <c r="AN320" s="418"/>
      <c r="AP320" s="375"/>
      <c r="AQ320" s="417"/>
      <c r="AR320" s="417"/>
      <c r="AS320" s="417"/>
      <c r="AT320" s="418"/>
      <c r="AV320" s="375"/>
      <c r="AW320" s="417"/>
      <c r="AX320" s="417"/>
      <c r="AY320" s="417"/>
      <c r="AZ320" s="418"/>
      <c r="BB320" s="375"/>
      <c r="BC320" s="417"/>
      <c r="BD320" s="417"/>
      <c r="BE320" s="417"/>
      <c r="BF320" s="418"/>
      <c r="BH320" s="375"/>
      <c r="BI320" s="417"/>
      <c r="BJ320" s="417"/>
      <c r="BK320" s="417"/>
      <c r="BL320" s="418"/>
      <c r="BN320" s="375"/>
      <c r="BO320" s="417"/>
      <c r="BP320" s="417"/>
      <c r="BQ320" s="417"/>
      <c r="BR320" s="418"/>
      <c r="BT320" s="375"/>
      <c r="BU320" s="417"/>
      <c r="BV320" s="417"/>
      <c r="BW320" s="417"/>
      <c r="BX320" s="418"/>
      <c r="BZ320" s="375"/>
      <c r="CA320" s="417"/>
      <c r="CB320" s="418"/>
      <c r="CD320" s="375"/>
      <c r="CE320" s="417"/>
      <c r="CF320" s="417"/>
      <c r="CG320" s="378"/>
      <c r="CH320" s="418"/>
    </row>
    <row r="321" spans="2:86" s="377" customFormat="1" ht="13.9" customHeight="1">
      <c r="T321" s="378"/>
      <c r="U321" s="378"/>
      <c r="V321" s="378"/>
      <c r="W321" s="378"/>
      <c r="X321" s="378"/>
      <c r="Y321" s="378"/>
      <c r="Z321" s="378"/>
      <c r="AA321" s="378"/>
      <c r="AB321" s="378"/>
      <c r="AE321" s="378"/>
      <c r="AF321" s="378"/>
      <c r="AG321" s="378"/>
      <c r="AH321" s="379"/>
      <c r="AJ321" s="396"/>
      <c r="AK321" s="378"/>
      <c r="AL321" s="378"/>
      <c r="AM321" s="378"/>
      <c r="AN321" s="379"/>
      <c r="AP321" s="396"/>
      <c r="AQ321" s="378"/>
      <c r="AR321" s="378"/>
      <c r="AS321" s="378"/>
      <c r="AT321" s="379"/>
      <c r="AV321" s="396"/>
      <c r="AW321" s="378"/>
      <c r="AX321" s="378"/>
      <c r="AY321" s="378"/>
      <c r="AZ321" s="379"/>
      <c r="BB321" s="396"/>
      <c r="BC321" s="378"/>
      <c r="BD321" s="378"/>
      <c r="BE321" s="378"/>
      <c r="BF321" s="379"/>
      <c r="BH321" s="396"/>
      <c r="BI321" s="378"/>
      <c r="BJ321" s="378"/>
      <c r="BK321" s="378"/>
      <c r="BL321" s="379"/>
      <c r="BN321" s="396"/>
      <c r="BO321" s="378"/>
      <c r="BP321" s="378"/>
      <c r="BQ321" s="378"/>
      <c r="BR321" s="379"/>
      <c r="BT321" s="396"/>
      <c r="BU321" s="378"/>
      <c r="BV321" s="378"/>
      <c r="BW321" s="378"/>
      <c r="BX321" s="379"/>
      <c r="BZ321" s="396"/>
      <c r="CA321" s="378"/>
      <c r="CB321" s="379"/>
      <c r="CD321" s="396"/>
      <c r="CE321" s="378"/>
      <c r="CF321" s="378"/>
      <c r="CG321" s="378"/>
      <c r="CH321" s="379"/>
    </row>
    <row r="322" spans="2:86" s="377" customFormat="1" ht="13.9" customHeight="1">
      <c r="T322" s="378"/>
      <c r="U322" s="378"/>
      <c r="V322" s="378"/>
      <c r="W322" s="378"/>
      <c r="X322" s="378"/>
      <c r="Y322" s="378"/>
      <c r="Z322" s="378"/>
      <c r="AA322" s="378"/>
      <c r="AB322" s="378"/>
      <c r="AE322" s="378"/>
      <c r="AF322" s="378"/>
      <c r="AG322" s="378"/>
      <c r="AH322" s="379"/>
      <c r="AJ322" s="396"/>
      <c r="AK322" s="378"/>
      <c r="AL322" s="378"/>
      <c r="AM322" s="378"/>
      <c r="AN322" s="379"/>
      <c r="AP322" s="396"/>
      <c r="AQ322" s="378"/>
      <c r="AR322" s="378"/>
      <c r="AS322" s="378"/>
      <c r="AT322" s="379"/>
      <c r="AV322" s="396"/>
      <c r="AW322" s="378"/>
      <c r="AX322" s="378"/>
      <c r="AY322" s="378"/>
      <c r="AZ322" s="379"/>
      <c r="BB322" s="396"/>
      <c r="BC322" s="378"/>
      <c r="BD322" s="378"/>
      <c r="BE322" s="378"/>
      <c r="BF322" s="379"/>
      <c r="BH322" s="396"/>
      <c r="BI322" s="378"/>
      <c r="BJ322" s="378"/>
      <c r="BK322" s="378"/>
      <c r="BL322" s="379"/>
      <c r="BN322" s="396"/>
      <c r="BO322" s="378"/>
      <c r="BP322" s="378"/>
      <c r="BQ322" s="378"/>
      <c r="BR322" s="379"/>
      <c r="BT322" s="396"/>
      <c r="BU322" s="378"/>
      <c r="BV322" s="378"/>
      <c r="BW322" s="378"/>
      <c r="BX322" s="379"/>
      <c r="BZ322" s="396"/>
      <c r="CA322" s="378"/>
      <c r="CB322" s="379"/>
      <c r="CD322" s="396"/>
      <c r="CE322" s="378"/>
      <c r="CF322" s="378"/>
      <c r="CG322" s="378"/>
      <c r="CH322" s="379"/>
    </row>
    <row r="323" spans="2:86" ht="26.5" customHeight="1">
      <c r="B323" s="461" t="s">
        <v>426</v>
      </c>
      <c r="C323" s="422" t="s">
        <v>410</v>
      </c>
      <c r="D323" s="461" t="s">
        <v>411</v>
      </c>
      <c r="E323" s="425" t="s">
        <v>343</v>
      </c>
      <c r="F323" s="462" t="s">
        <v>412</v>
      </c>
      <c r="G323" s="377"/>
      <c r="H323" s="461" t="s">
        <v>427</v>
      </c>
      <c r="I323" s="422" t="s">
        <v>410</v>
      </c>
      <c r="J323" s="461" t="s">
        <v>411</v>
      </c>
      <c r="K323" s="425" t="s">
        <v>343</v>
      </c>
      <c r="L323" s="462" t="s">
        <v>412</v>
      </c>
      <c r="M323" s="377"/>
      <c r="AE323" s="417"/>
      <c r="AF323" s="417"/>
      <c r="AG323" s="417"/>
      <c r="AH323" s="418"/>
      <c r="AJ323" s="375"/>
      <c r="AK323" s="417"/>
      <c r="AL323" s="417"/>
      <c r="AM323" s="417"/>
      <c r="AN323" s="418"/>
      <c r="AP323" s="375"/>
      <c r="AQ323" s="417"/>
      <c r="AR323" s="417"/>
      <c r="AS323" s="417"/>
      <c r="AT323" s="418"/>
      <c r="AV323" s="375"/>
      <c r="AW323" s="417"/>
      <c r="AX323" s="417"/>
      <c r="AY323" s="417"/>
      <c r="AZ323" s="418"/>
      <c r="BB323" s="375"/>
      <c r="BC323" s="417"/>
      <c r="BD323" s="417"/>
      <c r="BE323" s="417"/>
      <c r="BF323" s="418"/>
      <c r="BH323" s="375"/>
      <c r="BI323" s="417"/>
      <c r="BJ323" s="417"/>
      <c r="BK323" s="417"/>
      <c r="BL323" s="418"/>
      <c r="BN323" s="375"/>
      <c r="BO323" s="417"/>
      <c r="BP323" s="417"/>
      <c r="BQ323" s="417"/>
      <c r="BR323" s="418"/>
      <c r="BT323" s="375"/>
      <c r="BU323" s="417"/>
      <c r="BV323" s="417"/>
      <c r="BW323" s="417"/>
      <c r="BX323" s="418"/>
      <c r="BZ323" s="375"/>
      <c r="CA323" s="417"/>
      <c r="CB323" s="418"/>
      <c r="CD323" s="375"/>
      <c r="CE323" s="417"/>
      <c r="CF323" s="417"/>
      <c r="CG323" s="378"/>
      <c r="CH323" s="418"/>
    </row>
    <row r="324" spans="2:86">
      <c r="B324" s="463" t="s">
        <v>414</v>
      </c>
      <c r="C324" s="425">
        <f>ID!H72</f>
        <v>37</v>
      </c>
      <c r="D324" s="425">
        <f ca="1">(FORECAST(C324,OFFSET($C$260:$C$272,MATCH($C$324,$B$260:$B$272,1)-1,0,2),OFFSET($B$260:$B$272,MATCH(C324,$B$260:$B$272,1)-1,0,2)))+C324</f>
        <v>37.21</v>
      </c>
      <c r="E324" s="425">
        <f t="shared" ref="E324:E331" ca="1" si="354">D324-C324</f>
        <v>0.21000000000000085</v>
      </c>
      <c r="F324" s="462">
        <f>AQ395</f>
        <v>0</v>
      </c>
      <c r="G324" s="377"/>
      <c r="H324" s="463" t="s">
        <v>414</v>
      </c>
      <c r="I324" s="425">
        <f>ID!I72</f>
        <v>37</v>
      </c>
      <c r="J324" s="425">
        <f ca="1">(FORECAST(I324,OFFSET($C$260:$C$272,MATCH($I$324,$B$260:$B$272,1)-1,0,2),OFFSET($B$260:$B$272,MATCH(I324,$B$260:$B$272,1)-1,0,2)))+I324</f>
        <v>37.21</v>
      </c>
      <c r="K324" s="425">
        <f t="shared" ref="K324:K331" ca="1" si="355">J324-I324</f>
        <v>0.21000000000000085</v>
      </c>
      <c r="L324" s="462">
        <f>AW395</f>
        <v>0</v>
      </c>
      <c r="M324" s="377"/>
      <c r="AE324" s="417"/>
      <c r="AF324" s="417"/>
      <c r="AG324" s="417"/>
      <c r="AH324" s="418"/>
      <c r="AJ324" s="375"/>
      <c r="AK324" s="417"/>
      <c r="AL324" s="417"/>
      <c r="AM324" s="417"/>
      <c r="AN324" s="418"/>
      <c r="AP324" s="375"/>
      <c r="AQ324" s="417"/>
      <c r="AR324" s="417"/>
      <c r="AS324" s="417"/>
      <c r="AT324" s="418"/>
      <c r="AV324" s="375"/>
      <c r="AW324" s="417"/>
      <c r="AX324" s="417"/>
      <c r="AY324" s="417"/>
      <c r="AZ324" s="418"/>
      <c r="BB324" s="375"/>
      <c r="BC324" s="417"/>
      <c r="BD324" s="417"/>
      <c r="BE324" s="417"/>
      <c r="BF324" s="418"/>
      <c r="BH324" s="375"/>
      <c r="BI324" s="417"/>
      <c r="BJ324" s="417"/>
      <c r="BK324" s="417"/>
      <c r="BL324" s="418"/>
      <c r="BN324" s="375"/>
      <c r="BO324" s="417"/>
      <c r="BP324" s="417"/>
      <c r="BQ324" s="417"/>
      <c r="BR324" s="418"/>
      <c r="BT324" s="375"/>
      <c r="BU324" s="417"/>
      <c r="BV324" s="417"/>
      <c r="BW324" s="417"/>
      <c r="BX324" s="418"/>
      <c r="BZ324" s="375"/>
      <c r="CA324" s="417"/>
      <c r="CB324" s="418"/>
      <c r="CD324" s="375"/>
      <c r="CE324" s="417"/>
      <c r="CF324" s="417"/>
      <c r="CG324" s="378"/>
      <c r="CH324" s="418"/>
    </row>
    <row r="325" spans="2:86">
      <c r="B325" s="463" t="s">
        <v>415</v>
      </c>
      <c r="C325" s="425">
        <f>ID!H73</f>
        <v>37</v>
      </c>
      <c r="D325" s="425">
        <f ca="1">(FORECAST(C325,OFFSET($D$260:$D$272,MATCH($C$325,$B$260:$B$272,1)-1,0,2),OFFSET($B$260:$B$272,MATCH(C325,$B$260:$B$272,1)-1,0,2)))+C325</f>
        <v>37.21</v>
      </c>
      <c r="E325" s="425">
        <f t="shared" ca="1" si="354"/>
        <v>0.21000000000000085</v>
      </c>
      <c r="F325" s="462">
        <f t="shared" ref="F325:F333" si="356">AQ396</f>
        <v>0</v>
      </c>
      <c r="G325" s="377"/>
      <c r="H325" s="463" t="s">
        <v>415</v>
      </c>
      <c r="I325" s="425">
        <f>ID!I73</f>
        <v>37</v>
      </c>
      <c r="J325" s="425">
        <f ca="1">(FORECAST(I325,OFFSET($D$260:$D$272,MATCH($I$325,$B$260:$B$272,1)-1,0,2),OFFSET($B$260:$B$272,MATCH(I325,$B$260:$B$272,1)-1,0,2)))+I325</f>
        <v>37.21</v>
      </c>
      <c r="K325" s="425">
        <f t="shared" ca="1" si="355"/>
        <v>0.21000000000000085</v>
      </c>
      <c r="L325" s="462">
        <f t="shared" ref="L325:L333" si="357">AW396</f>
        <v>0</v>
      </c>
      <c r="M325" s="377"/>
      <c r="AE325" s="417"/>
      <c r="AF325" s="417"/>
      <c r="AG325" s="417"/>
      <c r="AH325" s="418"/>
      <c r="AJ325" s="375"/>
      <c r="AK325" s="417"/>
      <c r="AL325" s="417"/>
      <c r="AM325" s="417"/>
      <c r="AN325" s="418"/>
      <c r="AP325" s="375"/>
      <c r="AQ325" s="417"/>
      <c r="AR325" s="417"/>
      <c r="AS325" s="417"/>
      <c r="AT325" s="418"/>
      <c r="AV325" s="375"/>
      <c r="AW325" s="417"/>
      <c r="AX325" s="417"/>
      <c r="AY325" s="417"/>
      <c r="AZ325" s="418"/>
      <c r="BB325" s="375"/>
      <c r="BC325" s="417"/>
      <c r="BD325" s="417"/>
      <c r="BE325" s="417"/>
      <c r="BF325" s="418"/>
      <c r="BH325" s="375"/>
      <c r="BI325" s="417"/>
      <c r="BJ325" s="417"/>
      <c r="BK325" s="417"/>
      <c r="BL325" s="418"/>
      <c r="BN325" s="375"/>
      <c r="BO325" s="417"/>
      <c r="BP325" s="417"/>
      <c r="BQ325" s="417"/>
      <c r="BR325" s="418"/>
      <c r="BT325" s="375"/>
      <c r="BU325" s="417"/>
      <c r="BV325" s="417"/>
      <c r="BW325" s="417"/>
      <c r="BX325" s="418"/>
      <c r="BZ325" s="375"/>
      <c r="CA325" s="417"/>
      <c r="CB325" s="418"/>
      <c r="CD325" s="375"/>
      <c r="CE325" s="417"/>
      <c r="CF325" s="417"/>
      <c r="CG325" s="378"/>
      <c r="CH325" s="418"/>
    </row>
    <row r="326" spans="2:86">
      <c r="B326" s="463" t="s">
        <v>416</v>
      </c>
      <c r="C326" s="425">
        <f>ID!H74</f>
        <v>37</v>
      </c>
      <c r="D326" s="425">
        <f ca="1">(FORECAST(C326,OFFSET($E$260:$E$272,MATCH(C326,$B$260:$B$272,1)-1,0,2),OFFSET($B$260:$B$272,MATCH(C326,$B$260:$B$272,1)-1,0,2)))+C326</f>
        <v>37.18</v>
      </c>
      <c r="E326" s="425">
        <f t="shared" ca="1" si="354"/>
        <v>0.17999999999999972</v>
      </c>
      <c r="F326" s="462">
        <f t="shared" si="356"/>
        <v>0</v>
      </c>
      <c r="G326" s="377"/>
      <c r="H326" s="463" t="s">
        <v>416</v>
      </c>
      <c r="I326" s="425">
        <f>ID!I74</f>
        <v>37</v>
      </c>
      <c r="J326" s="425">
        <f ca="1">(FORECAST(I326,OFFSET($E$260:$E$272,MATCH(I326,$B$260:$B$272,1)-1,0,2),OFFSET($B$260:$B$272,MATCH(I326,$B$260:$B$272,1)-1,0,2)))+I326</f>
        <v>37.18</v>
      </c>
      <c r="K326" s="425">
        <f t="shared" ca="1" si="355"/>
        <v>0.17999999999999972</v>
      </c>
      <c r="L326" s="462">
        <f t="shared" si="357"/>
        <v>0</v>
      </c>
      <c r="M326" s="377"/>
      <c r="AE326" s="417"/>
      <c r="AF326" s="417"/>
      <c r="AG326" s="417"/>
      <c r="AH326" s="418"/>
      <c r="AJ326" s="375"/>
      <c r="AK326" s="417"/>
      <c r="AL326" s="417"/>
      <c r="AM326" s="417"/>
      <c r="AN326" s="418"/>
      <c r="AP326" s="375"/>
      <c r="AQ326" s="417"/>
      <c r="AR326" s="417"/>
      <c r="AS326" s="417"/>
      <c r="AT326" s="418"/>
      <c r="AV326" s="375"/>
      <c r="AW326" s="417"/>
      <c r="AX326" s="417"/>
      <c r="AY326" s="417"/>
      <c r="AZ326" s="418"/>
      <c r="BB326" s="375"/>
      <c r="BC326" s="417"/>
      <c r="BD326" s="417"/>
      <c r="BE326" s="417"/>
      <c r="BF326" s="418"/>
      <c r="BH326" s="375"/>
      <c r="BI326" s="417"/>
      <c r="BJ326" s="417"/>
      <c r="BK326" s="417"/>
      <c r="BL326" s="418"/>
      <c r="BN326" s="375"/>
      <c r="BO326" s="417"/>
      <c r="BP326" s="417"/>
      <c r="BQ326" s="417"/>
      <c r="BR326" s="418"/>
      <c r="BT326" s="375"/>
      <c r="BU326" s="417"/>
      <c r="BV326" s="417"/>
      <c r="BW326" s="417"/>
      <c r="BX326" s="418"/>
      <c r="BZ326" s="375"/>
      <c r="CA326" s="417"/>
      <c r="CB326" s="418"/>
      <c r="CD326" s="375"/>
      <c r="CE326" s="417"/>
      <c r="CF326" s="417"/>
      <c r="CG326" s="378"/>
      <c r="CH326" s="418"/>
    </row>
    <row r="327" spans="2:86">
      <c r="B327" s="463" t="s">
        <v>417</v>
      </c>
      <c r="C327" s="425">
        <f>ID!H75</f>
        <v>37</v>
      </c>
      <c r="D327" s="425">
        <f ca="1">(FORECAST(C327,OFFSET($F$260:$F$272,MATCH(C327,$B$260:$B$272,1)-1,0,2),OFFSET($B$260:$B$272,MATCH(C327,$B$260:$B$272,1)-1,0,2)))+C327</f>
        <v>37.17</v>
      </c>
      <c r="E327" s="425">
        <f t="shared" ca="1" si="354"/>
        <v>0.17000000000000171</v>
      </c>
      <c r="F327" s="462">
        <f t="shared" si="356"/>
        <v>0</v>
      </c>
      <c r="G327" s="377"/>
      <c r="H327" s="463" t="s">
        <v>417</v>
      </c>
      <c r="I327" s="425">
        <f>ID!I75</f>
        <v>37</v>
      </c>
      <c r="J327" s="425">
        <f ca="1">(FORECAST(I327,OFFSET($F$260:$F$272,MATCH(I327,$B$260:$B$272,1)-1,0,2),OFFSET($B$260:$B$272,MATCH(I327,$B$260:$B$272,1)-1,0,2)))+I327</f>
        <v>37.17</v>
      </c>
      <c r="K327" s="425">
        <f t="shared" ca="1" si="355"/>
        <v>0.17000000000000171</v>
      </c>
      <c r="L327" s="462">
        <f t="shared" si="357"/>
        <v>0</v>
      </c>
      <c r="M327" s="377"/>
      <c r="AE327" s="417"/>
      <c r="AF327" s="417"/>
      <c r="AG327" s="417"/>
      <c r="AH327" s="418"/>
      <c r="AJ327" s="375"/>
      <c r="AK327" s="417"/>
      <c r="AL327" s="417"/>
      <c r="AM327" s="417"/>
      <c r="AN327" s="418"/>
      <c r="AP327" s="375"/>
      <c r="AQ327" s="417"/>
      <c r="AR327" s="417"/>
      <c r="AS327" s="417"/>
      <c r="AT327" s="418"/>
      <c r="AV327" s="375"/>
      <c r="AW327" s="417"/>
      <c r="AX327" s="417"/>
      <c r="AY327" s="417"/>
      <c r="AZ327" s="418"/>
      <c r="BB327" s="375"/>
      <c r="BC327" s="417"/>
      <c r="BD327" s="417"/>
      <c r="BE327" s="417"/>
      <c r="BF327" s="418"/>
      <c r="BH327" s="375"/>
      <c r="BI327" s="417"/>
      <c r="BJ327" s="417"/>
      <c r="BK327" s="417"/>
      <c r="BL327" s="418"/>
      <c r="BN327" s="375"/>
      <c r="BO327" s="417"/>
      <c r="BP327" s="417"/>
      <c r="BQ327" s="417"/>
      <c r="BR327" s="418"/>
      <c r="BT327" s="375"/>
      <c r="BU327" s="417"/>
      <c r="BV327" s="417"/>
      <c r="BW327" s="417"/>
      <c r="BX327" s="418"/>
      <c r="BZ327" s="375"/>
      <c r="CA327" s="417"/>
      <c r="CB327" s="418"/>
      <c r="CD327" s="375"/>
      <c r="CE327" s="417"/>
      <c r="CF327" s="417"/>
      <c r="CG327" s="378"/>
      <c r="CH327" s="418"/>
    </row>
    <row r="328" spans="2:86">
      <c r="B328" s="463" t="s">
        <v>418</v>
      </c>
      <c r="C328" s="425">
        <f>ID!H76</f>
        <v>37</v>
      </c>
      <c r="D328" s="425">
        <f ca="1">(FORECAST(C328,OFFSET($G$260:$G$272,MATCH(C328,$B$260:$B$272,1)-1,0,2),OFFSET($B$260:$B$272,MATCH(C328,$B$260:$B$272,1)-1,0,2)))+C328</f>
        <v>37.18</v>
      </c>
      <c r="E328" s="425">
        <f t="shared" ca="1" si="354"/>
        <v>0.17999999999999972</v>
      </c>
      <c r="F328" s="462">
        <f t="shared" si="356"/>
        <v>0</v>
      </c>
      <c r="G328" s="377"/>
      <c r="H328" s="463" t="s">
        <v>418</v>
      </c>
      <c r="I328" s="425">
        <f>ID!I76</f>
        <v>37</v>
      </c>
      <c r="J328" s="425">
        <f ca="1">(FORECAST(I328,OFFSET($G$260:$G$272,MATCH(I328,$B$260:$B$272,1)-1,0,2),OFFSET($B$260:$B$272,MATCH(I328,$B$260:$B$272,1)-1,0,2)))+I328</f>
        <v>37.18</v>
      </c>
      <c r="K328" s="425">
        <f t="shared" ca="1" si="355"/>
        <v>0.17999999999999972</v>
      </c>
      <c r="L328" s="462">
        <f t="shared" si="357"/>
        <v>0</v>
      </c>
      <c r="M328" s="377"/>
      <c r="P328" s="375"/>
      <c r="Q328" s="417"/>
      <c r="R328" s="417"/>
      <c r="S328" s="417"/>
      <c r="T328" s="466"/>
      <c r="U328" s="466"/>
      <c r="V328" s="466"/>
      <c r="W328" s="466"/>
      <c r="X328" s="466"/>
      <c r="Y328" s="466"/>
      <c r="Z328" s="466"/>
      <c r="AA328" s="466"/>
      <c r="AB328" s="466"/>
      <c r="AD328" s="375"/>
      <c r="AH328" s="382"/>
      <c r="AJ328" s="382"/>
      <c r="AN328" s="382"/>
      <c r="AP328" s="382"/>
      <c r="AT328" s="382"/>
      <c r="AV328" s="382"/>
      <c r="AZ328" s="382"/>
      <c r="BB328" s="382"/>
      <c r="BF328" s="382"/>
      <c r="BH328" s="382"/>
      <c r="BL328" s="382"/>
      <c r="BN328" s="382"/>
      <c r="BR328" s="382"/>
      <c r="BT328" s="382"/>
      <c r="BX328" s="382"/>
      <c r="BZ328" s="382"/>
    </row>
    <row r="329" spans="2:86">
      <c r="B329" s="463" t="s">
        <v>419</v>
      </c>
      <c r="C329" s="425">
        <f>ID!H77</f>
        <v>37</v>
      </c>
      <c r="D329" s="425">
        <f ca="1">(FORECAST(C329,OFFSET($H$260:$H$272,MATCH(C329,$B$260:$B$272,1)-1,0,2),OFFSET($B$260:$B$272,MATCH(C329,$B$260:$B$272,1)-1,0,2)))+C329</f>
        <v>37.19</v>
      </c>
      <c r="E329" s="425">
        <f t="shared" ca="1" si="354"/>
        <v>0.18999999999999773</v>
      </c>
      <c r="F329" s="462">
        <f t="shared" si="356"/>
        <v>0</v>
      </c>
      <c r="G329" s="377"/>
      <c r="H329" s="463" t="s">
        <v>419</v>
      </c>
      <c r="I329" s="425">
        <f>ID!I77</f>
        <v>37</v>
      </c>
      <c r="J329" s="425">
        <f ca="1">(FORECAST(I329,OFFSET($H$260:$H$272,MATCH(I329,$B$260:$B$272,1)-1,0,2),OFFSET($B$260:$B$272,MATCH(I329,$B$260:$B$272,1)-1,0,2)))+I329</f>
        <v>37.19</v>
      </c>
      <c r="K329" s="425">
        <f t="shared" ca="1" si="355"/>
        <v>0.18999999999999773</v>
      </c>
      <c r="L329" s="462">
        <f t="shared" si="357"/>
        <v>0</v>
      </c>
      <c r="M329" s="377"/>
      <c r="P329" s="375"/>
      <c r="Q329" s="417"/>
      <c r="R329" s="417"/>
      <c r="S329" s="417"/>
      <c r="T329" s="466"/>
      <c r="U329" s="466"/>
      <c r="V329" s="466"/>
      <c r="W329" s="466"/>
      <c r="X329" s="466"/>
      <c r="Y329" s="466"/>
      <c r="Z329" s="466"/>
      <c r="AA329" s="466"/>
      <c r="AB329" s="466"/>
      <c r="AD329" s="375"/>
      <c r="AF329" s="375"/>
      <c r="AG329" s="417"/>
      <c r="AI329" s="417"/>
      <c r="AL329" s="375"/>
      <c r="AM329" s="417"/>
      <c r="AO329" s="417"/>
      <c r="AR329" s="375"/>
      <c r="AS329" s="417"/>
      <c r="AU329" s="417"/>
      <c r="AX329" s="375"/>
      <c r="AY329" s="417"/>
      <c r="BA329" s="417"/>
      <c r="BD329" s="375"/>
      <c r="BE329" s="417"/>
      <c r="BG329" s="417"/>
      <c r="BJ329" s="375"/>
      <c r="BK329" s="417"/>
      <c r="BM329" s="417"/>
      <c r="BP329" s="375"/>
      <c r="BQ329" s="417"/>
      <c r="BS329" s="417"/>
      <c r="BV329" s="375"/>
      <c r="BW329" s="417"/>
      <c r="BY329" s="417"/>
    </row>
    <row r="330" spans="2:86">
      <c r="B330" s="463" t="s">
        <v>420</v>
      </c>
      <c r="C330" s="425">
        <f>ID!H78</f>
        <v>37</v>
      </c>
      <c r="D330" s="425">
        <f ca="1">(FORECAST(C330,OFFSET($I$260:$I$272,MATCH(C330,$B$260:$B$272,1)-1,0,2),OFFSET($B$260:$B$272,MATCH(C330,$B$260:$B$272,1)-1,0,2)))+C330</f>
        <v>37.200000000000003</v>
      </c>
      <c r="E330" s="425">
        <f t="shared" ca="1" si="354"/>
        <v>0.20000000000000284</v>
      </c>
      <c r="F330" s="462">
        <f t="shared" si="356"/>
        <v>0</v>
      </c>
      <c r="G330" s="377"/>
      <c r="H330" s="463" t="s">
        <v>420</v>
      </c>
      <c r="I330" s="425">
        <f>ID!I78</f>
        <v>37</v>
      </c>
      <c r="J330" s="425">
        <f ca="1">(FORECAST(I330,OFFSET($I$260:$I$272,MATCH(I330,$B$260:$B$272,1)-1,0,2),OFFSET($B$260:$B$272,MATCH(I330,$B$260:$B$272,1)-1,0,2)))+I330</f>
        <v>37.200000000000003</v>
      </c>
      <c r="K330" s="425">
        <f t="shared" ca="1" si="355"/>
        <v>0.20000000000000284</v>
      </c>
      <c r="L330" s="462">
        <f t="shared" si="357"/>
        <v>0</v>
      </c>
      <c r="M330" s="377"/>
      <c r="P330" s="375"/>
      <c r="Q330" s="417"/>
      <c r="R330" s="417"/>
      <c r="S330" s="417"/>
      <c r="T330" s="466"/>
      <c r="U330" s="466"/>
      <c r="V330" s="466"/>
      <c r="W330" s="466"/>
      <c r="X330" s="466"/>
      <c r="Y330" s="466"/>
      <c r="Z330" s="466"/>
      <c r="AA330" s="466"/>
      <c r="AB330" s="466"/>
      <c r="AD330" s="375"/>
      <c r="AF330" s="375"/>
      <c r="AG330" s="417"/>
      <c r="AI330" s="417"/>
      <c r="AL330" s="375"/>
      <c r="AM330" s="417"/>
      <c r="AO330" s="417"/>
      <c r="AR330" s="375"/>
      <c r="AS330" s="417"/>
      <c r="AU330" s="417"/>
      <c r="AX330" s="375"/>
      <c r="AY330" s="417"/>
      <c r="BA330" s="417"/>
      <c r="BD330" s="375"/>
      <c r="BE330" s="417"/>
      <c r="BG330" s="417"/>
      <c r="BJ330" s="375"/>
      <c r="BK330" s="417"/>
      <c r="BM330" s="417"/>
      <c r="BP330" s="375"/>
      <c r="BQ330" s="417"/>
      <c r="BS330" s="417"/>
      <c r="BV330" s="375"/>
      <c r="BW330" s="417"/>
      <c r="BY330" s="417"/>
    </row>
    <row r="331" spans="2:86">
      <c r="B331" s="463" t="s">
        <v>421</v>
      </c>
      <c r="C331" s="425">
        <f>ID!H79</f>
        <v>37</v>
      </c>
      <c r="D331" s="425">
        <f ca="1">(FORECAST(C331,OFFSET($J$260:$J$272,MATCH(C331,$B$260:$B$272,1)-1,0,2),OFFSET($B$260:$B$272,MATCH(C331,$B$260:$B$272,1)-1,0,2)))+C331</f>
        <v>37.19</v>
      </c>
      <c r="E331" s="425">
        <f t="shared" ca="1" si="354"/>
        <v>0.18999999999999773</v>
      </c>
      <c r="F331" s="462">
        <f t="shared" si="356"/>
        <v>0</v>
      </c>
      <c r="G331" s="377"/>
      <c r="H331" s="463" t="s">
        <v>421</v>
      </c>
      <c r="I331" s="425">
        <f>ID!I79</f>
        <v>37</v>
      </c>
      <c r="J331" s="425">
        <f ca="1">(FORECAST(I331,OFFSET($J$260:$J$272,MATCH(I331,$B$260:$B$272,1)-1,0,2),OFFSET($B$260:$B$272,MATCH(I331,$B$260:$B$272,1)-1,0,2)))+I331</f>
        <v>37.19</v>
      </c>
      <c r="K331" s="425">
        <f t="shared" ca="1" si="355"/>
        <v>0.18999999999999773</v>
      </c>
      <c r="L331" s="462">
        <f t="shared" si="357"/>
        <v>0</v>
      </c>
      <c r="M331" s="377"/>
      <c r="P331" s="375"/>
      <c r="Q331" s="417"/>
      <c r="R331" s="417"/>
      <c r="S331" s="417"/>
      <c r="T331" s="466"/>
      <c r="U331" s="466"/>
      <c r="V331" s="466"/>
      <c r="W331" s="466"/>
      <c r="X331" s="466"/>
      <c r="Y331" s="466"/>
      <c r="Z331" s="466"/>
      <c r="AA331" s="466"/>
      <c r="AB331" s="466"/>
      <c r="AD331" s="375"/>
      <c r="AF331" s="375"/>
      <c r="AG331" s="417"/>
      <c r="AI331" s="417"/>
      <c r="AL331" s="375"/>
      <c r="AM331" s="417"/>
      <c r="AO331" s="417"/>
      <c r="AR331" s="375"/>
      <c r="AS331" s="417"/>
      <c r="AU331" s="417"/>
      <c r="AX331" s="375"/>
      <c r="AY331" s="417"/>
      <c r="BA331" s="417"/>
      <c r="BD331" s="375"/>
      <c r="BE331" s="417"/>
      <c r="BG331" s="417"/>
      <c r="BJ331" s="375"/>
      <c r="BK331" s="417"/>
      <c r="BM331" s="417"/>
      <c r="BP331" s="375"/>
      <c r="BQ331" s="417"/>
      <c r="BS331" s="417"/>
      <c r="BV331" s="375"/>
      <c r="BW331" s="417"/>
      <c r="BY331" s="417"/>
    </row>
    <row r="332" spans="2:86">
      <c r="B332" s="463" t="s">
        <v>422</v>
      </c>
      <c r="C332" s="594" t="s">
        <v>156</v>
      </c>
      <c r="D332" s="594" t="s">
        <v>156</v>
      </c>
      <c r="E332" s="594" t="s">
        <v>156</v>
      </c>
      <c r="F332" s="462">
        <f t="shared" si="356"/>
        <v>0</v>
      </c>
      <c r="G332" s="377"/>
      <c r="H332" s="463" t="s">
        <v>422</v>
      </c>
      <c r="I332" s="594" t="s">
        <v>156</v>
      </c>
      <c r="J332" s="594" t="s">
        <v>156</v>
      </c>
      <c r="K332" s="594" t="s">
        <v>156</v>
      </c>
      <c r="L332" s="462">
        <f t="shared" si="357"/>
        <v>0</v>
      </c>
      <c r="M332" s="377"/>
      <c r="P332" s="375"/>
      <c r="Q332" s="417"/>
      <c r="R332" s="417"/>
      <c r="S332" s="417"/>
      <c r="T332" s="466"/>
      <c r="U332" s="466"/>
      <c r="V332" s="466"/>
      <c r="W332" s="466"/>
      <c r="X332" s="466"/>
      <c r="Y332" s="466"/>
      <c r="Z332" s="466"/>
      <c r="AA332" s="466"/>
      <c r="AB332" s="466"/>
      <c r="AD332" s="375"/>
      <c r="AF332" s="375"/>
      <c r="AG332" s="417"/>
      <c r="AI332" s="417"/>
      <c r="AL332" s="375"/>
      <c r="AM332" s="417"/>
      <c r="AO332" s="417"/>
      <c r="AR332" s="375"/>
      <c r="AS332" s="417"/>
      <c r="AU332" s="417"/>
      <c r="AX332" s="375"/>
      <c r="AY332" s="417"/>
      <c r="BA332" s="417"/>
      <c r="BD332" s="375"/>
      <c r="BE332" s="417"/>
      <c r="BG332" s="417"/>
      <c r="BJ332" s="375"/>
      <c r="BK332" s="417"/>
      <c r="BM332" s="417"/>
      <c r="BP332" s="375"/>
      <c r="BQ332" s="417"/>
      <c r="BS332" s="417"/>
      <c r="BV332" s="375"/>
      <c r="BW332" s="417"/>
      <c r="BY332" s="417"/>
    </row>
    <row r="333" spans="2:86">
      <c r="B333" s="463" t="s">
        <v>423</v>
      </c>
      <c r="C333" s="594" t="s">
        <v>156</v>
      </c>
      <c r="D333" s="594" t="s">
        <v>156</v>
      </c>
      <c r="E333" s="594" t="s">
        <v>156</v>
      </c>
      <c r="F333" s="462">
        <f t="shared" si="356"/>
        <v>0</v>
      </c>
      <c r="G333" s="377"/>
      <c r="H333" s="463" t="s">
        <v>423</v>
      </c>
      <c r="I333" s="594" t="s">
        <v>156</v>
      </c>
      <c r="J333" s="594" t="s">
        <v>156</v>
      </c>
      <c r="K333" s="594" t="s">
        <v>156</v>
      </c>
      <c r="L333" s="462">
        <f t="shared" si="357"/>
        <v>0</v>
      </c>
      <c r="M333" s="377"/>
      <c r="P333" s="375"/>
      <c r="Q333" s="417"/>
      <c r="R333" s="417"/>
      <c r="S333" s="417"/>
      <c r="T333" s="466"/>
      <c r="U333" s="466"/>
      <c r="V333" s="466"/>
      <c r="W333" s="466"/>
      <c r="X333" s="466"/>
      <c r="Y333" s="466"/>
      <c r="Z333" s="466"/>
      <c r="AA333" s="466"/>
      <c r="AB333" s="466"/>
      <c r="AD333" s="375"/>
      <c r="AF333" s="375"/>
      <c r="AG333" s="417"/>
      <c r="AI333" s="417"/>
      <c r="AL333" s="375"/>
      <c r="AM333" s="417"/>
      <c r="AO333" s="417"/>
      <c r="AR333" s="375"/>
      <c r="AS333" s="417"/>
      <c r="AU333" s="417"/>
      <c r="AX333" s="375"/>
      <c r="AY333" s="417"/>
      <c r="BA333" s="417"/>
      <c r="BD333" s="375"/>
      <c r="BE333" s="417"/>
      <c r="BG333" s="417"/>
      <c r="BJ333" s="375"/>
      <c r="BK333" s="417"/>
      <c r="BM333" s="417"/>
      <c r="BP333" s="375"/>
      <c r="BQ333" s="417"/>
      <c r="BS333" s="417"/>
      <c r="BV333" s="375"/>
      <c r="BW333" s="417"/>
      <c r="BY333" s="417"/>
    </row>
    <row r="334" spans="2:86" s="377" customFormat="1">
      <c r="C334" s="378"/>
      <c r="P334" s="396"/>
      <c r="Q334" s="378"/>
      <c r="R334" s="378"/>
      <c r="S334" s="378"/>
      <c r="T334" s="379"/>
      <c r="U334" s="379"/>
      <c r="V334" s="379"/>
      <c r="W334" s="379"/>
      <c r="X334" s="379"/>
      <c r="Y334" s="379"/>
      <c r="Z334" s="379"/>
      <c r="AA334" s="379"/>
      <c r="AB334" s="379"/>
      <c r="AD334" s="396"/>
      <c r="AF334" s="396"/>
      <c r="AG334" s="378"/>
      <c r="AH334" s="378"/>
      <c r="AI334" s="378"/>
      <c r="AJ334" s="379"/>
      <c r="AL334" s="396"/>
      <c r="AM334" s="378"/>
      <c r="AN334" s="378"/>
      <c r="AO334" s="378"/>
      <c r="AP334" s="379"/>
      <c r="AR334" s="396"/>
      <c r="AS334" s="378"/>
      <c r="AT334" s="378"/>
      <c r="AU334" s="378"/>
      <c r="AV334" s="379"/>
      <c r="AX334" s="396"/>
      <c r="AY334" s="378"/>
      <c r="AZ334" s="378"/>
      <c r="BA334" s="378"/>
      <c r="BB334" s="379"/>
      <c r="BD334" s="396"/>
      <c r="BE334" s="378"/>
      <c r="BF334" s="378"/>
      <c r="BG334" s="378"/>
      <c r="BH334" s="379"/>
      <c r="BJ334" s="396"/>
      <c r="BK334" s="378"/>
      <c r="BL334" s="378"/>
      <c r="BM334" s="378"/>
      <c r="BN334" s="379"/>
      <c r="BP334" s="396"/>
      <c r="BQ334" s="378"/>
      <c r="BR334" s="378"/>
      <c r="BS334" s="378"/>
      <c r="BT334" s="379"/>
      <c r="BV334" s="396"/>
      <c r="BW334" s="378"/>
      <c r="BX334" s="378"/>
      <c r="BY334" s="378"/>
      <c r="BZ334" s="379"/>
    </row>
    <row r="335" spans="2:86" s="377" customFormat="1">
      <c r="P335" s="396"/>
      <c r="Q335" s="378"/>
      <c r="R335" s="378"/>
      <c r="S335" s="378"/>
      <c r="T335" s="379"/>
      <c r="U335" s="379"/>
      <c r="V335" s="379"/>
      <c r="W335" s="379"/>
      <c r="X335" s="379"/>
      <c r="Y335" s="379"/>
      <c r="Z335" s="379"/>
      <c r="AA335" s="379"/>
      <c r="AB335" s="379"/>
      <c r="AD335" s="396"/>
      <c r="AF335" s="396"/>
      <c r="AG335" s="378"/>
      <c r="AH335" s="378"/>
      <c r="AI335" s="378"/>
      <c r="AJ335" s="379"/>
      <c r="AL335" s="396"/>
      <c r="AM335" s="378"/>
      <c r="AN335" s="378"/>
      <c r="AO335" s="378"/>
      <c r="AP335" s="379"/>
      <c r="AR335" s="396"/>
      <c r="AS335" s="378"/>
      <c r="AT335" s="378"/>
      <c r="AU335" s="378"/>
      <c r="AV335" s="379"/>
      <c r="AX335" s="396"/>
      <c r="AY335" s="378"/>
      <c r="AZ335" s="378"/>
      <c r="BA335" s="378"/>
      <c r="BB335" s="379"/>
      <c r="BD335" s="396"/>
      <c r="BE335" s="378"/>
      <c r="BF335" s="378"/>
      <c r="BG335" s="378"/>
      <c r="BH335" s="379"/>
      <c r="BJ335" s="396"/>
      <c r="BK335" s="378"/>
      <c r="BL335" s="378"/>
      <c r="BM335" s="378"/>
      <c r="BN335" s="379"/>
      <c r="BP335" s="396"/>
      <c r="BQ335" s="378"/>
      <c r="BR335" s="378"/>
      <c r="BS335" s="378"/>
      <c r="BT335" s="379"/>
      <c r="BV335" s="396"/>
      <c r="BW335" s="378"/>
      <c r="BX335" s="378"/>
      <c r="BY335" s="378"/>
      <c r="BZ335" s="379"/>
    </row>
    <row r="336" spans="2:86" ht="26.5" customHeight="1">
      <c r="B336" s="461" t="s">
        <v>428</v>
      </c>
      <c r="C336" s="422" t="s">
        <v>410</v>
      </c>
      <c r="D336" s="461" t="s">
        <v>411</v>
      </c>
      <c r="E336" s="425" t="s">
        <v>343</v>
      </c>
      <c r="F336" s="462" t="s">
        <v>412</v>
      </c>
      <c r="G336" s="377"/>
      <c r="H336" s="461" t="s">
        <v>429</v>
      </c>
      <c r="I336" s="422" t="s">
        <v>410</v>
      </c>
      <c r="J336" s="461" t="s">
        <v>411</v>
      </c>
      <c r="K336" s="425" t="s">
        <v>343</v>
      </c>
      <c r="L336" s="462" t="s">
        <v>412</v>
      </c>
      <c r="M336" s="377"/>
      <c r="AE336" s="417"/>
      <c r="AF336" s="417"/>
      <c r="AG336" s="417"/>
      <c r="AH336" s="418"/>
      <c r="AJ336" s="375"/>
      <c r="AK336" s="417"/>
      <c r="AL336" s="417"/>
      <c r="AM336" s="417"/>
      <c r="AN336" s="418"/>
      <c r="AP336" s="375"/>
      <c r="AQ336" s="417"/>
      <c r="AR336" s="417"/>
      <c r="AS336" s="417"/>
      <c r="AT336" s="418"/>
      <c r="AV336" s="375"/>
      <c r="AW336" s="417"/>
      <c r="AX336" s="417"/>
      <c r="AY336" s="417"/>
      <c r="AZ336" s="418"/>
      <c r="BB336" s="375"/>
      <c r="BC336" s="417"/>
      <c r="BD336" s="417"/>
      <c r="BE336" s="417"/>
      <c r="BF336" s="418"/>
      <c r="BH336" s="375"/>
      <c r="BI336" s="417"/>
      <c r="BJ336" s="417"/>
      <c r="BK336" s="417"/>
      <c r="BL336" s="418"/>
      <c r="BN336" s="375"/>
      <c r="BO336" s="417"/>
      <c r="BP336" s="417"/>
      <c r="BQ336" s="417"/>
      <c r="BR336" s="418"/>
      <c r="BT336" s="375"/>
      <c r="BU336" s="417"/>
      <c r="BV336" s="417"/>
      <c r="BW336" s="417"/>
      <c r="BX336" s="418"/>
      <c r="BZ336" s="375"/>
      <c r="CA336" s="417"/>
      <c r="CB336" s="418"/>
      <c r="CD336" s="375"/>
      <c r="CE336" s="417"/>
      <c r="CF336" s="417"/>
      <c r="CG336" s="378"/>
      <c r="CH336" s="418"/>
    </row>
    <row r="337" spans="2:86">
      <c r="B337" s="463" t="s">
        <v>414</v>
      </c>
      <c r="C337" s="425">
        <f>ID!J72</f>
        <v>37</v>
      </c>
      <c r="D337" s="425">
        <f ca="1">(FORECAST(C337,OFFSET($C$260:$C$272,MATCH($C$337,$B$260:$B$272,1)-1,0,2),OFFSET($B$260:$B$272,MATCH(C337,$B$260:$B$272,1)-1,0,2)))+C337</f>
        <v>37.21</v>
      </c>
      <c r="E337" s="425">
        <f t="shared" ref="E337:E344" ca="1" si="358">D337-C337</f>
        <v>0.21000000000000085</v>
      </c>
      <c r="F337" s="462">
        <f>AQ408</f>
        <v>0</v>
      </c>
      <c r="G337" s="377"/>
      <c r="H337" s="463" t="s">
        <v>414</v>
      </c>
      <c r="I337" s="425">
        <f>ID!K72</f>
        <v>37</v>
      </c>
      <c r="J337" s="425">
        <f ca="1">(FORECAST(I337,OFFSET($C$260:$C$272,MATCH($I$337,$B$260:$B$272,1)-1,0,2),OFFSET($B$260:$B$272,MATCH(I337,$B$260:$B$272,1)-1,0,2)))+I337</f>
        <v>37.21</v>
      </c>
      <c r="K337" s="425">
        <f t="shared" ref="K337:K344" ca="1" si="359">J337-I337</f>
        <v>0.21000000000000085</v>
      </c>
      <c r="L337" s="462">
        <f>AW408</f>
        <v>0</v>
      </c>
      <c r="M337" s="377"/>
      <c r="AE337" s="417"/>
      <c r="AF337" s="417"/>
      <c r="AG337" s="417"/>
      <c r="AH337" s="418"/>
      <c r="AJ337" s="375"/>
      <c r="AK337" s="417"/>
      <c r="AL337" s="417"/>
      <c r="AM337" s="417"/>
      <c r="AN337" s="418"/>
      <c r="AP337" s="375"/>
      <c r="AQ337" s="417"/>
      <c r="AR337" s="417"/>
      <c r="AS337" s="417"/>
      <c r="AT337" s="418"/>
      <c r="AV337" s="375"/>
      <c r="AW337" s="417"/>
      <c r="AX337" s="417"/>
      <c r="AY337" s="417"/>
      <c r="AZ337" s="418"/>
      <c r="BB337" s="375"/>
      <c r="BC337" s="417"/>
      <c r="BD337" s="417"/>
      <c r="BE337" s="417"/>
      <c r="BF337" s="418"/>
      <c r="BH337" s="375"/>
      <c r="BI337" s="417"/>
      <c r="BJ337" s="417"/>
      <c r="BK337" s="417"/>
      <c r="BL337" s="418"/>
      <c r="BN337" s="375"/>
      <c r="BO337" s="417"/>
      <c r="BP337" s="417"/>
      <c r="BQ337" s="417"/>
      <c r="BR337" s="418"/>
      <c r="BT337" s="375"/>
      <c r="BU337" s="417"/>
      <c r="BV337" s="417"/>
      <c r="BW337" s="417"/>
      <c r="BX337" s="418"/>
      <c r="BZ337" s="375"/>
      <c r="CA337" s="417"/>
      <c r="CB337" s="418"/>
      <c r="CD337" s="375"/>
      <c r="CE337" s="417"/>
      <c r="CF337" s="417"/>
      <c r="CG337" s="378"/>
      <c r="CH337" s="418"/>
    </row>
    <row r="338" spans="2:86">
      <c r="B338" s="463" t="s">
        <v>415</v>
      </c>
      <c r="C338" s="425">
        <f>ID!J73</f>
        <v>37</v>
      </c>
      <c r="D338" s="425">
        <f ca="1">(FORECAST(C338,OFFSET($D$260:$D$272,MATCH($C$338,$B$260:$B$272,1)-1,0,2),OFFSET($B$260:$B$272,MATCH(C338,$B$260:$B$272,1)-1,0,2)))+C338</f>
        <v>37.21</v>
      </c>
      <c r="E338" s="425">
        <f t="shared" ca="1" si="358"/>
        <v>0.21000000000000085</v>
      </c>
      <c r="F338" s="462">
        <f t="shared" ref="F338:F346" si="360">AQ409</f>
        <v>0</v>
      </c>
      <c r="G338" s="377"/>
      <c r="H338" s="463" t="s">
        <v>415</v>
      </c>
      <c r="I338" s="425">
        <f>ID!K73</f>
        <v>37</v>
      </c>
      <c r="J338" s="425">
        <f ca="1">(FORECAST(I338,OFFSET($D$260:$D$272,MATCH($I$338,$B$260:$B$272,1)-1,0,2),OFFSET($B$260:$B$272,MATCH(I338,$B$260:$B$272,1)-1,0,2)))+I338</f>
        <v>37.21</v>
      </c>
      <c r="K338" s="425">
        <f t="shared" ca="1" si="359"/>
        <v>0.21000000000000085</v>
      </c>
      <c r="L338" s="462">
        <f t="shared" ref="L338:L346" si="361">AW409</f>
        <v>0</v>
      </c>
      <c r="M338" s="377"/>
      <c r="AE338" s="417"/>
      <c r="AF338" s="417"/>
      <c r="AG338" s="417"/>
      <c r="AH338" s="418"/>
      <c r="AJ338" s="375"/>
      <c r="AK338" s="417"/>
      <c r="AL338" s="417"/>
      <c r="AM338" s="417"/>
      <c r="AN338" s="418"/>
      <c r="AP338" s="375"/>
      <c r="AQ338" s="417"/>
      <c r="AR338" s="417"/>
      <c r="AS338" s="417"/>
      <c r="AT338" s="418"/>
      <c r="AV338" s="375"/>
      <c r="AW338" s="417"/>
      <c r="AX338" s="417"/>
      <c r="AY338" s="417"/>
      <c r="AZ338" s="418"/>
      <c r="BB338" s="375"/>
      <c r="BC338" s="417"/>
      <c r="BD338" s="417"/>
      <c r="BE338" s="417"/>
      <c r="BF338" s="418"/>
      <c r="BH338" s="375"/>
      <c r="BI338" s="417"/>
      <c r="BJ338" s="417"/>
      <c r="BK338" s="417"/>
      <c r="BL338" s="418"/>
      <c r="BN338" s="375"/>
      <c r="BO338" s="417"/>
      <c r="BP338" s="417"/>
      <c r="BQ338" s="417"/>
      <c r="BR338" s="418"/>
      <c r="BT338" s="375"/>
      <c r="BU338" s="417"/>
      <c r="BV338" s="417"/>
      <c r="BW338" s="417"/>
      <c r="BX338" s="418"/>
      <c r="BZ338" s="375"/>
      <c r="CA338" s="417"/>
      <c r="CB338" s="418"/>
      <c r="CD338" s="375"/>
      <c r="CE338" s="417"/>
      <c r="CF338" s="417"/>
      <c r="CG338" s="378"/>
      <c r="CH338" s="418"/>
    </row>
    <row r="339" spans="2:86">
      <c r="B339" s="463" t="s">
        <v>416</v>
      </c>
      <c r="C339" s="425">
        <f>ID!J74</f>
        <v>37</v>
      </c>
      <c r="D339" s="425">
        <f ca="1">(FORECAST(C339,OFFSET($E$260:$E$272,MATCH(C339,$B$260:$B$272,1)-1,0,2),OFFSET($B$260:$B$272,MATCH(C339,$B$260:$B$272,1)-1,0,2)))+C339</f>
        <v>37.18</v>
      </c>
      <c r="E339" s="425">
        <f t="shared" ca="1" si="358"/>
        <v>0.17999999999999972</v>
      </c>
      <c r="F339" s="462">
        <f t="shared" si="360"/>
        <v>0</v>
      </c>
      <c r="G339" s="377"/>
      <c r="H339" s="463" t="s">
        <v>416</v>
      </c>
      <c r="I339" s="425">
        <f>ID!K74</f>
        <v>37</v>
      </c>
      <c r="J339" s="425">
        <f ca="1">(FORECAST(I339,OFFSET($E$260:$E$272,MATCH(I339,$B$260:$B$272,1)-1,0,2),OFFSET($B$260:$B$272,MATCH(I339,$B$260:$B$272,1)-1,0,2)))+I339</f>
        <v>37.18</v>
      </c>
      <c r="K339" s="425">
        <f t="shared" ca="1" si="359"/>
        <v>0.17999999999999972</v>
      </c>
      <c r="L339" s="462">
        <f t="shared" si="361"/>
        <v>0</v>
      </c>
      <c r="M339" s="377"/>
      <c r="AE339" s="417"/>
      <c r="AF339" s="417"/>
      <c r="AG339" s="417"/>
      <c r="AH339" s="418"/>
      <c r="AJ339" s="375"/>
      <c r="AK339" s="417"/>
      <c r="AL339" s="417"/>
      <c r="AM339" s="417"/>
      <c r="AN339" s="418"/>
      <c r="AP339" s="375"/>
      <c r="AQ339" s="417"/>
      <c r="AR339" s="417"/>
      <c r="AS339" s="417"/>
      <c r="AT339" s="418"/>
      <c r="AV339" s="375"/>
      <c r="AW339" s="417"/>
      <c r="AX339" s="417"/>
      <c r="AY339" s="417"/>
      <c r="AZ339" s="418"/>
      <c r="BB339" s="375"/>
      <c r="BC339" s="417"/>
      <c r="BD339" s="417"/>
      <c r="BE339" s="417"/>
      <c r="BF339" s="418"/>
      <c r="BH339" s="375"/>
      <c r="BI339" s="417"/>
      <c r="BJ339" s="417"/>
      <c r="BK339" s="417"/>
      <c r="BL339" s="418"/>
      <c r="BN339" s="375"/>
      <c r="BO339" s="417"/>
      <c r="BP339" s="417"/>
      <c r="BQ339" s="417"/>
      <c r="BR339" s="418"/>
      <c r="BT339" s="375"/>
      <c r="BU339" s="417"/>
      <c r="BV339" s="417"/>
      <c r="BW339" s="417"/>
      <c r="BX339" s="418"/>
      <c r="BZ339" s="375"/>
      <c r="CA339" s="417"/>
      <c r="CB339" s="418"/>
      <c r="CD339" s="375"/>
      <c r="CE339" s="417"/>
      <c r="CF339" s="417"/>
      <c r="CG339" s="378"/>
      <c r="CH339" s="418"/>
    </row>
    <row r="340" spans="2:86">
      <c r="B340" s="463" t="s">
        <v>417</v>
      </c>
      <c r="C340" s="425">
        <f>ID!J75</f>
        <v>37</v>
      </c>
      <c r="D340" s="425">
        <f ca="1">(FORECAST(C340,OFFSET($F$260:$F$272,MATCH(C340,$B$260:$B$272,1)-1,0,2),OFFSET($B$260:$B$272,MATCH(C340,$B$260:$B$272,1)-1,0,2)))+C340</f>
        <v>37.17</v>
      </c>
      <c r="E340" s="425">
        <f t="shared" ca="1" si="358"/>
        <v>0.17000000000000171</v>
      </c>
      <c r="F340" s="462">
        <f t="shared" si="360"/>
        <v>0</v>
      </c>
      <c r="G340" s="377"/>
      <c r="H340" s="463" t="s">
        <v>417</v>
      </c>
      <c r="I340" s="425">
        <f>ID!K75</f>
        <v>37</v>
      </c>
      <c r="J340" s="425">
        <f ca="1">(FORECAST(I340,OFFSET($F$260:$F$272,MATCH(I340,$B$260:$B$272,1)-1,0,2),OFFSET($B$260:$B$272,MATCH(I340,$B$260:$B$272,1)-1,0,2)))+I340</f>
        <v>37.17</v>
      </c>
      <c r="K340" s="425">
        <f t="shared" ca="1" si="359"/>
        <v>0.17000000000000171</v>
      </c>
      <c r="L340" s="462">
        <f t="shared" si="361"/>
        <v>0</v>
      </c>
      <c r="M340" s="377"/>
      <c r="AE340" s="417"/>
      <c r="AF340" s="417"/>
      <c r="AG340" s="417"/>
      <c r="AH340" s="418"/>
      <c r="AJ340" s="375"/>
      <c r="AK340" s="417"/>
      <c r="AL340" s="417"/>
      <c r="AM340" s="417"/>
      <c r="AN340" s="418"/>
      <c r="AP340" s="375"/>
      <c r="AQ340" s="417"/>
      <c r="AR340" s="417"/>
      <c r="AS340" s="417"/>
      <c r="AT340" s="418"/>
      <c r="AV340" s="375"/>
      <c r="AW340" s="417"/>
      <c r="AX340" s="417"/>
      <c r="AY340" s="417"/>
      <c r="AZ340" s="418"/>
      <c r="BB340" s="375"/>
      <c r="BC340" s="417"/>
      <c r="BD340" s="417"/>
      <c r="BE340" s="417"/>
      <c r="BF340" s="418"/>
      <c r="BH340" s="375"/>
      <c r="BI340" s="417"/>
      <c r="BJ340" s="417"/>
      <c r="BK340" s="417"/>
      <c r="BL340" s="418"/>
      <c r="BN340" s="375"/>
      <c r="BO340" s="417"/>
      <c r="BP340" s="417"/>
      <c r="BQ340" s="417"/>
      <c r="BR340" s="418"/>
      <c r="BT340" s="375"/>
      <c r="BU340" s="417"/>
      <c r="BV340" s="417"/>
      <c r="BW340" s="417"/>
      <c r="BX340" s="418"/>
      <c r="BZ340" s="375"/>
      <c r="CA340" s="417"/>
      <c r="CB340" s="418"/>
      <c r="CD340" s="375"/>
      <c r="CE340" s="417"/>
      <c r="CF340" s="417"/>
      <c r="CG340" s="378"/>
      <c r="CH340" s="418"/>
    </row>
    <row r="341" spans="2:86">
      <c r="B341" s="463" t="s">
        <v>418</v>
      </c>
      <c r="C341" s="425">
        <f>ID!J76</f>
        <v>37</v>
      </c>
      <c r="D341" s="425">
        <f ca="1">(FORECAST(C341,OFFSET($G$260:$G$272,MATCH(C341,$B$260:$B$272,1)-1,0,2),OFFSET($B$260:$B$272,MATCH(C341,$B$260:$B$272,1)-1,0,2)))+C341</f>
        <v>37.18</v>
      </c>
      <c r="E341" s="425">
        <f t="shared" ca="1" si="358"/>
        <v>0.17999999999999972</v>
      </c>
      <c r="F341" s="462">
        <f t="shared" si="360"/>
        <v>0</v>
      </c>
      <c r="G341" s="377"/>
      <c r="H341" s="463" t="s">
        <v>418</v>
      </c>
      <c r="I341" s="425">
        <f>ID!K76</f>
        <v>37</v>
      </c>
      <c r="J341" s="425">
        <f ca="1">(FORECAST(I341,OFFSET($G$260:$G$272,MATCH(I341,$B$260:$B$272,1)-1,0,2),OFFSET($B$260:$B$272,MATCH(I341,$B$260:$B$272,1)-1,0,2)))+I341</f>
        <v>37.18</v>
      </c>
      <c r="K341" s="425">
        <f t="shared" ca="1" si="359"/>
        <v>0.17999999999999972</v>
      </c>
      <c r="L341" s="462">
        <f t="shared" si="361"/>
        <v>0</v>
      </c>
      <c r="M341" s="377"/>
      <c r="P341" s="375"/>
      <c r="Q341" s="417"/>
      <c r="R341" s="417"/>
      <c r="S341" s="417"/>
      <c r="T341" s="466"/>
      <c r="U341" s="466"/>
      <c r="V341" s="466"/>
      <c r="W341" s="466"/>
      <c r="X341" s="466"/>
      <c r="Y341" s="466"/>
      <c r="Z341" s="466"/>
      <c r="AA341" s="466"/>
      <c r="AB341" s="466"/>
      <c r="AD341" s="375"/>
      <c r="AH341" s="382"/>
      <c r="AJ341" s="382"/>
      <c r="AN341" s="382"/>
      <c r="AP341" s="382"/>
      <c r="AT341" s="382"/>
      <c r="AV341" s="382"/>
      <c r="AZ341" s="382"/>
      <c r="BB341" s="382"/>
      <c r="BF341" s="382"/>
      <c r="BH341" s="382"/>
      <c r="BL341" s="382"/>
      <c r="BN341" s="382"/>
      <c r="BR341" s="382"/>
      <c r="BT341" s="382"/>
      <c r="BX341" s="382"/>
      <c r="BZ341" s="382"/>
    </row>
    <row r="342" spans="2:86">
      <c r="B342" s="463" t="s">
        <v>419</v>
      </c>
      <c r="C342" s="425">
        <f>ID!J77</f>
        <v>37</v>
      </c>
      <c r="D342" s="425">
        <f ca="1">(FORECAST(C342,OFFSET($H$260:$H$272,MATCH(C342,$B$260:$B$272,1)-1,0,2),OFFSET($B$260:$B$272,MATCH(C342,$B$260:$B$272,1)-1,0,2)))+C342</f>
        <v>37.19</v>
      </c>
      <c r="E342" s="425">
        <f t="shared" ca="1" si="358"/>
        <v>0.18999999999999773</v>
      </c>
      <c r="F342" s="462">
        <f t="shared" si="360"/>
        <v>0</v>
      </c>
      <c r="G342" s="377"/>
      <c r="H342" s="463" t="s">
        <v>419</v>
      </c>
      <c r="I342" s="425">
        <f>ID!K77</f>
        <v>37</v>
      </c>
      <c r="J342" s="425">
        <f ca="1">(FORECAST(I342,OFFSET($H$260:$H$272,MATCH(I342,$B$260:$B$272,1)-1,0,2),OFFSET($B$260:$B$272,MATCH(I342,$B$260:$B$272,1)-1,0,2)))+I342</f>
        <v>37.19</v>
      </c>
      <c r="K342" s="425">
        <f t="shared" ca="1" si="359"/>
        <v>0.18999999999999773</v>
      </c>
      <c r="L342" s="462">
        <f t="shared" si="361"/>
        <v>0</v>
      </c>
      <c r="M342" s="377"/>
      <c r="P342" s="375"/>
      <c r="Q342" s="417"/>
      <c r="R342" s="417"/>
      <c r="S342" s="417"/>
      <c r="T342" s="466"/>
      <c r="U342" s="466"/>
      <c r="V342" s="466"/>
      <c r="W342" s="466"/>
      <c r="X342" s="466"/>
      <c r="Y342" s="466"/>
      <c r="Z342" s="466"/>
      <c r="AA342" s="466"/>
      <c r="AB342" s="466"/>
      <c r="AD342" s="375"/>
      <c r="AF342" s="375"/>
      <c r="AG342" s="417"/>
      <c r="AI342" s="417"/>
      <c r="AL342" s="375"/>
      <c r="AM342" s="417"/>
      <c r="AO342" s="417"/>
      <c r="AR342" s="375"/>
      <c r="AS342" s="417"/>
      <c r="AU342" s="417"/>
      <c r="AX342" s="375"/>
      <c r="AY342" s="417"/>
      <c r="BA342" s="417"/>
      <c r="BD342" s="375"/>
      <c r="BE342" s="417"/>
      <c r="BG342" s="417"/>
      <c r="BJ342" s="375"/>
      <c r="BK342" s="417"/>
      <c r="BM342" s="417"/>
      <c r="BP342" s="375"/>
      <c r="BQ342" s="417"/>
      <c r="BS342" s="417"/>
      <c r="BV342" s="375"/>
      <c r="BW342" s="417"/>
      <c r="BY342" s="417"/>
    </row>
    <row r="343" spans="2:86">
      <c r="B343" s="463" t="s">
        <v>420</v>
      </c>
      <c r="C343" s="425">
        <f>ID!J78</f>
        <v>37</v>
      </c>
      <c r="D343" s="425">
        <f ca="1">(FORECAST(C343,OFFSET($I$260:$I$272,MATCH(C343,$B$260:$B$272,1)-1,0,2),OFFSET($B$260:$B$272,MATCH(C343,$B$260:$B$272,1)-1,0,2)))+C343</f>
        <v>37.200000000000003</v>
      </c>
      <c r="E343" s="425">
        <f t="shared" ca="1" si="358"/>
        <v>0.20000000000000284</v>
      </c>
      <c r="F343" s="462">
        <f t="shared" si="360"/>
        <v>0</v>
      </c>
      <c r="G343" s="377"/>
      <c r="H343" s="463" t="s">
        <v>420</v>
      </c>
      <c r="I343" s="425">
        <f>ID!K78</f>
        <v>37</v>
      </c>
      <c r="J343" s="425">
        <f ca="1">(FORECAST(I343,OFFSET($I$260:$I$272,MATCH(I343,$B$260:$B$272,1)-1,0,2),OFFSET($B$260:$B$272,MATCH(I343,$B$260:$B$272,1)-1,0,2)))+I343</f>
        <v>37.200000000000003</v>
      </c>
      <c r="K343" s="425">
        <f t="shared" ca="1" si="359"/>
        <v>0.20000000000000284</v>
      </c>
      <c r="L343" s="462">
        <f t="shared" si="361"/>
        <v>0</v>
      </c>
      <c r="M343" s="377"/>
      <c r="P343" s="375"/>
      <c r="Q343" s="417"/>
      <c r="R343" s="417"/>
      <c r="S343" s="417"/>
      <c r="T343" s="466"/>
      <c r="U343" s="466"/>
      <c r="V343" s="466"/>
      <c r="W343" s="466"/>
      <c r="X343" s="466"/>
      <c r="Y343" s="466"/>
      <c r="Z343" s="466"/>
      <c r="AA343" s="466"/>
      <c r="AB343" s="466"/>
      <c r="AD343" s="375"/>
      <c r="AF343" s="375"/>
      <c r="AG343" s="417"/>
      <c r="AI343" s="417"/>
      <c r="AL343" s="375"/>
      <c r="AM343" s="417"/>
      <c r="AO343" s="417"/>
      <c r="AR343" s="375"/>
      <c r="AS343" s="417"/>
      <c r="AU343" s="417"/>
      <c r="AX343" s="375"/>
      <c r="AY343" s="417"/>
      <c r="BA343" s="417"/>
      <c r="BD343" s="375"/>
      <c r="BE343" s="417"/>
      <c r="BG343" s="417"/>
      <c r="BJ343" s="375"/>
      <c r="BK343" s="417"/>
      <c r="BM343" s="417"/>
      <c r="BP343" s="375"/>
      <c r="BQ343" s="417"/>
      <c r="BS343" s="417"/>
      <c r="BV343" s="375"/>
      <c r="BW343" s="417"/>
      <c r="BY343" s="417"/>
    </row>
    <row r="344" spans="2:86">
      <c r="B344" s="463" t="s">
        <v>421</v>
      </c>
      <c r="C344" s="425">
        <f>ID!J79</f>
        <v>37</v>
      </c>
      <c r="D344" s="425">
        <f ca="1">(FORECAST(C344,OFFSET($J$260:$J$272,MATCH(C344,$B$260:$B$272,1)-1,0,2),OFFSET($B$260:$B$272,MATCH(C344,$B$260:$B$272,1)-1,0,2)))+C344</f>
        <v>37.19</v>
      </c>
      <c r="E344" s="425">
        <f t="shared" ca="1" si="358"/>
        <v>0.18999999999999773</v>
      </c>
      <c r="F344" s="462">
        <f t="shared" si="360"/>
        <v>0</v>
      </c>
      <c r="G344" s="377"/>
      <c r="H344" s="463" t="s">
        <v>421</v>
      </c>
      <c r="I344" s="425">
        <f>ID!K79</f>
        <v>37</v>
      </c>
      <c r="J344" s="425">
        <f ca="1">(FORECAST(I344,OFFSET($J$260:$J$272,MATCH(I344,$B$260:$B$272,1)-1,0,2),OFFSET($B$260:$B$272,MATCH(I344,$B$260:$B$272,1)-1,0,2)))+I344</f>
        <v>37.19</v>
      </c>
      <c r="K344" s="425">
        <f t="shared" ca="1" si="359"/>
        <v>0.18999999999999773</v>
      </c>
      <c r="L344" s="462">
        <f t="shared" si="361"/>
        <v>0</v>
      </c>
      <c r="M344" s="377"/>
      <c r="P344" s="375"/>
      <c r="Q344" s="417"/>
      <c r="R344" s="417"/>
      <c r="S344" s="417"/>
      <c r="T344" s="466"/>
      <c r="U344" s="466"/>
      <c r="V344" s="466"/>
      <c r="W344" s="466"/>
      <c r="X344" s="466"/>
      <c r="Y344" s="466"/>
      <c r="Z344" s="466"/>
      <c r="AA344" s="466"/>
      <c r="AB344" s="466"/>
      <c r="AD344" s="375"/>
      <c r="AF344" s="375"/>
      <c r="AG344" s="417"/>
      <c r="AI344" s="417"/>
      <c r="AL344" s="375"/>
      <c r="AM344" s="417"/>
      <c r="AO344" s="417"/>
      <c r="AR344" s="375"/>
      <c r="AS344" s="417"/>
      <c r="AU344" s="417"/>
      <c r="AX344" s="375"/>
      <c r="AY344" s="417"/>
      <c r="BA344" s="417"/>
      <c r="BD344" s="375"/>
      <c r="BE344" s="417"/>
      <c r="BG344" s="417"/>
      <c r="BJ344" s="375"/>
      <c r="BK344" s="417"/>
      <c r="BM344" s="417"/>
      <c r="BP344" s="375"/>
      <c r="BQ344" s="417"/>
      <c r="BS344" s="417"/>
      <c r="BV344" s="375"/>
      <c r="BW344" s="417"/>
      <c r="BY344" s="417"/>
    </row>
    <row r="345" spans="2:86">
      <c r="B345" s="463" t="s">
        <v>422</v>
      </c>
      <c r="C345" s="594" t="s">
        <v>156</v>
      </c>
      <c r="D345" s="594" t="s">
        <v>156</v>
      </c>
      <c r="E345" s="594" t="s">
        <v>156</v>
      </c>
      <c r="F345" s="462">
        <f t="shared" si="360"/>
        <v>0</v>
      </c>
      <c r="G345" s="377"/>
      <c r="H345" s="463" t="s">
        <v>422</v>
      </c>
      <c r="I345" s="594" t="s">
        <v>156</v>
      </c>
      <c r="J345" s="594" t="s">
        <v>156</v>
      </c>
      <c r="K345" s="594" t="s">
        <v>156</v>
      </c>
      <c r="L345" s="462">
        <f t="shared" si="361"/>
        <v>0</v>
      </c>
      <c r="M345" s="377"/>
      <c r="P345" s="375"/>
      <c r="Q345" s="417"/>
      <c r="R345" s="417"/>
      <c r="S345" s="417"/>
      <c r="T345" s="466"/>
      <c r="U345" s="466"/>
      <c r="V345" s="466"/>
      <c r="W345" s="466"/>
      <c r="X345" s="466"/>
      <c r="Y345" s="466"/>
      <c r="Z345" s="466"/>
      <c r="AA345" s="466"/>
      <c r="AB345" s="466"/>
      <c r="AD345" s="375"/>
      <c r="AF345" s="375"/>
      <c r="AG345" s="417"/>
      <c r="AI345" s="417"/>
      <c r="AL345" s="375"/>
      <c r="AM345" s="417"/>
      <c r="AO345" s="417"/>
      <c r="AR345" s="375"/>
      <c r="AS345" s="417"/>
      <c r="AU345" s="417"/>
      <c r="AX345" s="375"/>
      <c r="AY345" s="417"/>
      <c r="BA345" s="417"/>
      <c r="BD345" s="375"/>
      <c r="BE345" s="417"/>
      <c r="BG345" s="417"/>
      <c r="BJ345" s="375"/>
      <c r="BK345" s="417"/>
      <c r="BM345" s="417"/>
      <c r="BP345" s="375"/>
      <c r="BQ345" s="417"/>
      <c r="BS345" s="417"/>
      <c r="BV345" s="375"/>
      <c r="BW345" s="417"/>
      <c r="BY345" s="417"/>
    </row>
    <row r="346" spans="2:86">
      <c r="B346" s="463" t="s">
        <v>423</v>
      </c>
      <c r="C346" s="594" t="s">
        <v>156</v>
      </c>
      <c r="D346" s="594" t="s">
        <v>156</v>
      </c>
      <c r="E346" s="594" t="s">
        <v>156</v>
      </c>
      <c r="F346" s="462">
        <f t="shared" si="360"/>
        <v>0</v>
      </c>
      <c r="G346" s="377"/>
      <c r="H346" s="463" t="s">
        <v>423</v>
      </c>
      <c r="I346" s="594" t="s">
        <v>156</v>
      </c>
      <c r="J346" s="594" t="s">
        <v>156</v>
      </c>
      <c r="K346" s="594" t="s">
        <v>156</v>
      </c>
      <c r="L346" s="462">
        <f t="shared" si="361"/>
        <v>0</v>
      </c>
      <c r="M346" s="377"/>
      <c r="P346" s="375"/>
      <c r="Q346" s="417"/>
      <c r="R346" s="417"/>
      <c r="S346" s="417"/>
      <c r="T346" s="466"/>
      <c r="U346" s="466"/>
      <c r="V346" s="466"/>
      <c r="W346" s="466"/>
      <c r="X346" s="466"/>
      <c r="Y346" s="466"/>
      <c r="Z346" s="466"/>
      <c r="AA346" s="466"/>
      <c r="AB346" s="466"/>
      <c r="AD346" s="375"/>
      <c r="AF346" s="375"/>
      <c r="AG346" s="417"/>
      <c r="AI346" s="417"/>
      <c r="AL346" s="375"/>
      <c r="AM346" s="417"/>
      <c r="AO346" s="417"/>
      <c r="AR346" s="375"/>
      <c r="AS346" s="417"/>
      <c r="AU346" s="417"/>
      <c r="AX346" s="375"/>
      <c r="AY346" s="417"/>
      <c r="BA346" s="417"/>
      <c r="BD346" s="375"/>
      <c r="BE346" s="417"/>
      <c r="BG346" s="417"/>
      <c r="BJ346" s="375"/>
      <c r="BK346" s="417"/>
      <c r="BM346" s="417"/>
      <c r="BP346" s="375"/>
      <c r="BQ346" s="417"/>
      <c r="BS346" s="417"/>
      <c r="BV346" s="375"/>
      <c r="BW346" s="417"/>
      <c r="BY346" s="417"/>
    </row>
    <row r="347" spans="2:86" s="377" customFormat="1">
      <c r="P347" s="396"/>
      <c r="Q347" s="378"/>
      <c r="R347" s="378"/>
      <c r="S347" s="378"/>
      <c r="T347" s="379"/>
      <c r="U347" s="379"/>
      <c r="V347" s="379"/>
      <c r="W347" s="379"/>
      <c r="X347" s="379"/>
      <c r="Y347" s="379"/>
      <c r="Z347" s="379"/>
      <c r="AA347" s="379"/>
      <c r="AB347" s="379"/>
      <c r="AD347" s="396"/>
      <c r="AF347" s="396"/>
      <c r="AG347" s="378"/>
      <c r="AH347" s="378"/>
      <c r="AI347" s="378"/>
      <c r="AJ347" s="379"/>
      <c r="AL347" s="396"/>
      <c r="AM347" s="378"/>
      <c r="AN347" s="378"/>
      <c r="AO347" s="378"/>
      <c r="AP347" s="379"/>
      <c r="AR347" s="396"/>
      <c r="AS347" s="378"/>
      <c r="AT347" s="378"/>
      <c r="AU347" s="378"/>
      <c r="AV347" s="379"/>
      <c r="AX347" s="396"/>
      <c r="AY347" s="378"/>
      <c r="AZ347" s="378"/>
      <c r="BA347" s="378"/>
      <c r="BB347" s="379"/>
      <c r="BD347" s="396"/>
      <c r="BE347" s="378"/>
      <c r="BF347" s="378"/>
      <c r="BG347" s="378"/>
      <c r="BH347" s="379"/>
      <c r="BJ347" s="396"/>
      <c r="BK347" s="378"/>
      <c r="BL347" s="378"/>
      <c r="BM347" s="378"/>
      <c r="BN347" s="379"/>
      <c r="BP347" s="396"/>
      <c r="BQ347" s="378"/>
      <c r="BR347" s="378"/>
      <c r="BS347" s="378"/>
      <c r="BT347" s="379"/>
      <c r="BV347" s="396"/>
      <c r="BW347" s="378"/>
      <c r="BX347" s="378"/>
      <c r="BY347" s="378"/>
      <c r="BZ347" s="379"/>
    </row>
    <row r="348" spans="2:86" s="377" customFormat="1">
      <c r="P348" s="396"/>
      <c r="Q348" s="378"/>
      <c r="R348" s="378"/>
      <c r="S348" s="378"/>
      <c r="T348" s="379"/>
      <c r="U348" s="379"/>
      <c r="V348" s="379"/>
      <c r="W348" s="379"/>
      <c r="X348" s="379"/>
      <c r="Y348" s="379"/>
      <c r="Z348" s="379"/>
      <c r="AA348" s="379"/>
      <c r="AB348" s="379"/>
      <c r="AD348" s="396"/>
      <c r="AF348" s="396"/>
      <c r="AG348" s="378"/>
      <c r="AH348" s="378"/>
      <c r="AI348" s="378"/>
      <c r="AJ348" s="379"/>
      <c r="AL348" s="396"/>
      <c r="AM348" s="378"/>
      <c r="AN348" s="378"/>
      <c r="AO348" s="378"/>
      <c r="AP348" s="379"/>
      <c r="AR348" s="396"/>
      <c r="AS348" s="378"/>
      <c r="AT348" s="378"/>
      <c r="AU348" s="378"/>
      <c r="AV348" s="379"/>
      <c r="AX348" s="396"/>
      <c r="AY348" s="378"/>
      <c r="AZ348" s="378"/>
      <c r="BA348" s="378"/>
      <c r="BB348" s="379"/>
      <c r="BD348" s="396"/>
      <c r="BE348" s="378"/>
      <c r="BF348" s="378"/>
      <c r="BG348" s="378"/>
      <c r="BH348" s="379"/>
      <c r="BJ348" s="396"/>
      <c r="BK348" s="378"/>
      <c r="BL348" s="378"/>
      <c r="BM348" s="378"/>
      <c r="BN348" s="379"/>
      <c r="BP348" s="396"/>
      <c r="BQ348" s="378"/>
      <c r="BR348" s="378"/>
      <c r="BS348" s="378"/>
      <c r="BT348" s="379"/>
      <c r="BV348" s="396"/>
      <c r="BW348" s="378"/>
      <c r="BX348" s="378"/>
      <c r="BY348" s="378"/>
      <c r="BZ348" s="379"/>
    </row>
    <row r="349" spans="2:86" ht="26.5" customHeight="1">
      <c r="B349" s="461" t="s">
        <v>430</v>
      </c>
      <c r="C349" s="422" t="s">
        <v>410</v>
      </c>
      <c r="D349" s="461" t="s">
        <v>411</v>
      </c>
      <c r="E349" s="425" t="s">
        <v>343</v>
      </c>
      <c r="F349" s="462" t="s">
        <v>412</v>
      </c>
      <c r="G349" s="377"/>
      <c r="H349" s="461" t="s">
        <v>431</v>
      </c>
      <c r="I349" s="422" t="s">
        <v>410</v>
      </c>
      <c r="J349" s="461" t="s">
        <v>411</v>
      </c>
      <c r="K349" s="425" t="s">
        <v>343</v>
      </c>
      <c r="L349" s="462" t="s">
        <v>412</v>
      </c>
      <c r="M349" s="377"/>
      <c r="AE349" s="417"/>
      <c r="AF349" s="417"/>
      <c r="AG349" s="417"/>
      <c r="AH349" s="418"/>
      <c r="AJ349" s="375"/>
      <c r="AK349" s="417"/>
      <c r="AL349" s="417"/>
      <c r="AM349" s="417"/>
      <c r="AN349" s="418"/>
      <c r="AP349" s="375"/>
      <c r="AQ349" s="417"/>
      <c r="AR349" s="417"/>
      <c r="AS349" s="417"/>
      <c r="AT349" s="418"/>
      <c r="AV349" s="375"/>
      <c r="AW349" s="417"/>
      <c r="AX349" s="417"/>
      <c r="AY349" s="417"/>
      <c r="AZ349" s="418"/>
      <c r="BB349" s="375"/>
      <c r="BC349" s="417"/>
      <c r="BD349" s="417"/>
      <c r="BE349" s="417"/>
      <c r="BF349" s="418"/>
      <c r="BH349" s="375"/>
      <c r="BI349" s="417"/>
      <c r="BJ349" s="417"/>
      <c r="BK349" s="417"/>
      <c r="BL349" s="418"/>
      <c r="BN349" s="375"/>
      <c r="BO349" s="417"/>
      <c r="BP349" s="417"/>
      <c r="BQ349" s="417"/>
      <c r="BR349" s="418"/>
      <c r="BT349" s="375"/>
      <c r="BU349" s="417"/>
      <c r="BV349" s="417"/>
      <c r="BW349" s="417"/>
      <c r="BX349" s="418"/>
      <c r="BZ349" s="375"/>
      <c r="CA349" s="417"/>
      <c r="CB349" s="418"/>
      <c r="CD349" s="375"/>
      <c r="CE349" s="417"/>
      <c r="CF349" s="417"/>
      <c r="CG349" s="378"/>
      <c r="CH349" s="418"/>
    </row>
    <row r="350" spans="2:86">
      <c r="B350" s="463" t="s">
        <v>414</v>
      </c>
      <c r="C350" s="425">
        <f>ID!L72</f>
        <v>37</v>
      </c>
      <c r="D350" s="425">
        <f ca="1">(FORECAST(C350,OFFSET($C$260:$C$272,MATCH($C$350,$B$260:$B$272,1)-1,0,2),OFFSET($B$260:$B$272,MATCH(C350,$B$260:$B$272,1)-1,0,2)))+C350</f>
        <v>37.21</v>
      </c>
      <c r="E350" s="425">
        <f t="shared" ref="E350:E357" ca="1" si="362">D350-C350</f>
        <v>0.21000000000000085</v>
      </c>
      <c r="F350" s="462">
        <f>AQ421</f>
        <v>0</v>
      </c>
      <c r="G350" s="377"/>
      <c r="H350" s="463" t="s">
        <v>414</v>
      </c>
      <c r="I350" s="425">
        <f>ID!M72</f>
        <v>37</v>
      </c>
      <c r="J350" s="425">
        <f ca="1">(FORECAST(I350,OFFSET($C$260:$C$272,MATCH($C$298,$B$260:$B$272,1)-1,0,2),OFFSET($B$260:$B$272,MATCH(I350,$B$260:$B$272,1)-1,0,2)))+I350</f>
        <v>37.21</v>
      </c>
      <c r="K350" s="425">
        <f t="shared" ref="K350:K357" ca="1" si="363">J350-I350</f>
        <v>0.21000000000000085</v>
      </c>
      <c r="L350" s="462">
        <f>AW421</f>
        <v>0</v>
      </c>
      <c r="M350" s="377"/>
      <c r="AE350" s="417"/>
      <c r="AF350" s="417"/>
      <c r="AG350" s="417"/>
      <c r="AH350" s="418"/>
      <c r="AJ350" s="375"/>
      <c r="AK350" s="417"/>
      <c r="AL350" s="417"/>
      <c r="AM350" s="417"/>
      <c r="AN350" s="418"/>
      <c r="AP350" s="375"/>
      <c r="AQ350" s="417"/>
      <c r="AR350" s="417"/>
      <c r="AS350" s="417"/>
      <c r="AT350" s="418"/>
      <c r="AV350" s="375"/>
      <c r="AW350" s="417"/>
      <c r="AX350" s="417"/>
      <c r="AY350" s="417"/>
      <c r="AZ350" s="418"/>
      <c r="BB350" s="375"/>
      <c r="BC350" s="417"/>
      <c r="BD350" s="417"/>
      <c r="BE350" s="417"/>
      <c r="BF350" s="418"/>
      <c r="BH350" s="375"/>
      <c r="BI350" s="417"/>
      <c r="BJ350" s="417"/>
      <c r="BK350" s="417"/>
      <c r="BL350" s="418"/>
      <c r="BN350" s="375"/>
      <c r="BO350" s="417"/>
      <c r="BP350" s="417"/>
      <c r="BQ350" s="417"/>
      <c r="BR350" s="418"/>
      <c r="BT350" s="375"/>
      <c r="BU350" s="417"/>
      <c r="BV350" s="417"/>
      <c r="BW350" s="417"/>
      <c r="BX350" s="418"/>
      <c r="BZ350" s="375"/>
      <c r="CA350" s="417"/>
      <c r="CB350" s="418"/>
      <c r="CD350" s="375"/>
      <c r="CE350" s="417"/>
      <c r="CF350" s="417"/>
      <c r="CG350" s="378"/>
      <c r="CH350" s="418"/>
    </row>
    <row r="351" spans="2:86">
      <c r="B351" s="463" t="s">
        <v>415</v>
      </c>
      <c r="C351" s="425">
        <f>ID!L73</f>
        <v>37</v>
      </c>
      <c r="D351" s="425">
        <f ca="1">(FORECAST(C351,OFFSET($D$260:$D$272,MATCH($C$351,$B$260:$B$272,1)-1,0,2),OFFSET($B$260:$B$272,MATCH(C351,$B$260:$B$272,1)-1,0,2)))+C351</f>
        <v>37.21</v>
      </c>
      <c r="E351" s="425">
        <f t="shared" ca="1" si="362"/>
        <v>0.21000000000000085</v>
      </c>
      <c r="F351" s="462">
        <f t="shared" ref="F351:F359" si="364">AQ422</f>
        <v>0</v>
      </c>
      <c r="G351" s="377"/>
      <c r="H351" s="463" t="s">
        <v>415</v>
      </c>
      <c r="I351" s="425">
        <f>ID!M73</f>
        <v>37</v>
      </c>
      <c r="J351" s="425">
        <f ca="1">(FORECAST(I351,OFFSET($D$260:$D$272,MATCH($C$299,$B$260:$B$272,1)-1,0,2),OFFSET($B$260:$B$272,MATCH(I351,$B$260:$B$272,1)-1,0,2)))+I351</f>
        <v>37.21</v>
      </c>
      <c r="K351" s="425">
        <f t="shared" ca="1" si="363"/>
        <v>0.21000000000000085</v>
      </c>
      <c r="L351" s="462">
        <f t="shared" ref="L351:L359" si="365">AW422</f>
        <v>0</v>
      </c>
      <c r="M351" s="377"/>
      <c r="AE351" s="417"/>
      <c r="AF351" s="417"/>
      <c r="AG351" s="417"/>
      <c r="AH351" s="418"/>
      <c r="AJ351" s="375"/>
      <c r="AK351" s="417"/>
      <c r="AL351" s="417"/>
      <c r="AM351" s="417"/>
      <c r="AN351" s="418"/>
      <c r="AP351" s="375"/>
      <c r="AQ351" s="417"/>
      <c r="AR351" s="417"/>
      <c r="AS351" s="417"/>
      <c r="AT351" s="418"/>
      <c r="AV351" s="375"/>
      <c r="AW351" s="417"/>
      <c r="AX351" s="417"/>
      <c r="AY351" s="417"/>
      <c r="AZ351" s="418"/>
      <c r="BB351" s="375"/>
      <c r="BC351" s="417"/>
      <c r="BD351" s="417"/>
      <c r="BE351" s="417"/>
      <c r="BF351" s="418"/>
      <c r="BH351" s="375"/>
      <c r="BI351" s="417"/>
      <c r="BJ351" s="417"/>
      <c r="BK351" s="417"/>
      <c r="BL351" s="418"/>
      <c r="BN351" s="375"/>
      <c r="BO351" s="417"/>
      <c r="BP351" s="417"/>
      <c r="BQ351" s="417"/>
      <c r="BR351" s="418"/>
      <c r="BT351" s="375"/>
      <c r="BU351" s="417"/>
      <c r="BV351" s="417"/>
      <c r="BW351" s="417"/>
      <c r="BX351" s="418"/>
      <c r="BZ351" s="375"/>
      <c r="CA351" s="417"/>
      <c r="CB351" s="418"/>
      <c r="CD351" s="375"/>
      <c r="CE351" s="417"/>
      <c r="CF351" s="417"/>
      <c r="CG351" s="378"/>
      <c r="CH351" s="418"/>
    </row>
    <row r="352" spans="2:86">
      <c r="B352" s="463" t="s">
        <v>416</v>
      </c>
      <c r="C352" s="425">
        <f>ID!L74</f>
        <v>37</v>
      </c>
      <c r="D352" s="425">
        <f ca="1">(FORECAST(C352,OFFSET($E$260:$E$272,MATCH(C352,$B$260:$B$272,1)-1,0,2),OFFSET($B$260:$B$272,MATCH(C352,$B$260:$B$272,1)-1,0,2)))+C352</f>
        <v>37.18</v>
      </c>
      <c r="E352" s="425">
        <f t="shared" ca="1" si="362"/>
        <v>0.17999999999999972</v>
      </c>
      <c r="F352" s="462">
        <f t="shared" si="364"/>
        <v>0</v>
      </c>
      <c r="G352" s="377"/>
      <c r="H352" s="463" t="s">
        <v>416</v>
      </c>
      <c r="I352" s="425">
        <f>ID!M74</f>
        <v>37</v>
      </c>
      <c r="J352" s="425">
        <f ca="1">(FORECAST(I352,OFFSET($E$260:$E$272,MATCH(I352,$B$260:$B$272,1)-1,0,2),OFFSET($B$260:$B$272,MATCH(I352,$B$260:$B$272,1)-1,0,2)))+I352</f>
        <v>37.18</v>
      </c>
      <c r="K352" s="425">
        <f t="shared" ca="1" si="363"/>
        <v>0.17999999999999972</v>
      </c>
      <c r="L352" s="462">
        <f t="shared" si="365"/>
        <v>0</v>
      </c>
      <c r="M352" s="377"/>
      <c r="AE352" s="417"/>
      <c r="AF352" s="417"/>
      <c r="AG352" s="417"/>
      <c r="AH352" s="418"/>
      <c r="AJ352" s="375"/>
      <c r="AK352" s="417"/>
      <c r="AL352" s="417"/>
      <c r="AM352" s="417"/>
      <c r="AN352" s="418"/>
      <c r="AP352" s="375"/>
      <c r="AQ352" s="417"/>
      <c r="AR352" s="417"/>
      <c r="AS352" s="417"/>
      <c r="AT352" s="418"/>
      <c r="AV352" s="375"/>
      <c r="AW352" s="417"/>
      <c r="AX352" s="417"/>
      <c r="AY352" s="417"/>
      <c r="AZ352" s="418"/>
      <c r="BB352" s="375"/>
      <c r="BC352" s="417"/>
      <c r="BD352" s="417"/>
      <c r="BE352" s="417"/>
      <c r="BF352" s="418"/>
      <c r="BH352" s="375"/>
      <c r="BI352" s="417"/>
      <c r="BJ352" s="417"/>
      <c r="BK352" s="417"/>
      <c r="BL352" s="418"/>
      <c r="BN352" s="375"/>
      <c r="BO352" s="417"/>
      <c r="BP352" s="417"/>
      <c r="BQ352" s="417"/>
      <c r="BR352" s="418"/>
      <c r="BT352" s="375"/>
      <c r="BU352" s="417"/>
      <c r="BV352" s="417"/>
      <c r="BW352" s="417"/>
      <c r="BX352" s="418"/>
      <c r="BZ352" s="375"/>
      <c r="CA352" s="417"/>
      <c r="CB352" s="418"/>
      <c r="CD352" s="375"/>
      <c r="CE352" s="417"/>
      <c r="CF352" s="417"/>
      <c r="CG352" s="378"/>
      <c r="CH352" s="418"/>
    </row>
    <row r="353" spans="2:86">
      <c r="B353" s="463" t="s">
        <v>417</v>
      </c>
      <c r="C353" s="425">
        <f>ID!L75</f>
        <v>37</v>
      </c>
      <c r="D353" s="425">
        <f ca="1">(FORECAST(C353,OFFSET($F$260:$F$272,MATCH(C353,$B$260:$B$272,1)-1,0,2),OFFSET($B$260:$B$272,MATCH(C353,$B$260:$B$272,1)-1,0,2)))+C353</f>
        <v>37.17</v>
      </c>
      <c r="E353" s="425">
        <f t="shared" ca="1" si="362"/>
        <v>0.17000000000000171</v>
      </c>
      <c r="F353" s="462">
        <f t="shared" si="364"/>
        <v>0</v>
      </c>
      <c r="G353" s="377"/>
      <c r="H353" s="463" t="s">
        <v>417</v>
      </c>
      <c r="I353" s="425">
        <f>ID!M75</f>
        <v>37</v>
      </c>
      <c r="J353" s="425">
        <f ca="1">(FORECAST(I353,OFFSET($F$260:$F$272,MATCH(I353,$B$260:$B$272,1)-1,0,2),OFFSET($B$260:$B$272,MATCH(I353,$B$260:$B$272,1)-1,0,2)))+I353</f>
        <v>37.17</v>
      </c>
      <c r="K353" s="425">
        <f t="shared" ca="1" si="363"/>
        <v>0.17000000000000171</v>
      </c>
      <c r="L353" s="462">
        <f t="shared" si="365"/>
        <v>0</v>
      </c>
      <c r="M353" s="377"/>
      <c r="AE353" s="417"/>
      <c r="AF353" s="417"/>
      <c r="AG353" s="417"/>
      <c r="AH353" s="418"/>
      <c r="AJ353" s="375"/>
      <c r="AK353" s="417"/>
      <c r="AL353" s="417"/>
      <c r="AM353" s="417"/>
      <c r="AN353" s="418"/>
      <c r="AP353" s="375"/>
      <c r="AQ353" s="417"/>
      <c r="AR353" s="417"/>
      <c r="AS353" s="417"/>
      <c r="AT353" s="418"/>
      <c r="AV353" s="375"/>
      <c r="AW353" s="417"/>
      <c r="AX353" s="417"/>
      <c r="AY353" s="417"/>
      <c r="AZ353" s="418"/>
      <c r="BB353" s="375"/>
      <c r="BC353" s="417"/>
      <c r="BD353" s="417"/>
      <c r="BE353" s="417"/>
      <c r="BF353" s="418"/>
      <c r="BH353" s="375"/>
      <c r="BI353" s="417"/>
      <c r="BJ353" s="417"/>
      <c r="BK353" s="417"/>
      <c r="BL353" s="418"/>
      <c r="BN353" s="375"/>
      <c r="BO353" s="417"/>
      <c r="BP353" s="417"/>
      <c r="BQ353" s="417"/>
      <c r="BR353" s="418"/>
      <c r="BT353" s="375"/>
      <c r="BU353" s="417"/>
      <c r="BV353" s="417"/>
      <c r="BW353" s="417"/>
      <c r="BX353" s="418"/>
      <c r="BZ353" s="375"/>
      <c r="CA353" s="417"/>
      <c r="CB353" s="418"/>
      <c r="CD353" s="375"/>
      <c r="CE353" s="417"/>
      <c r="CF353" s="417"/>
      <c r="CG353" s="378"/>
      <c r="CH353" s="418"/>
    </row>
    <row r="354" spans="2:86">
      <c r="B354" s="463" t="s">
        <v>418</v>
      </c>
      <c r="C354" s="425">
        <f>ID!L76</f>
        <v>37</v>
      </c>
      <c r="D354" s="425">
        <f ca="1">(FORECAST(C354,OFFSET($G$260:$G$272,MATCH(C354,$B$260:$B$272,1)-1,0,2),OFFSET($B$260:$B$272,MATCH(C354,$B$260:$B$272,1)-1,0,2)))+C354</f>
        <v>37.18</v>
      </c>
      <c r="E354" s="425">
        <f t="shared" ca="1" si="362"/>
        <v>0.17999999999999972</v>
      </c>
      <c r="F354" s="462">
        <f t="shared" si="364"/>
        <v>0</v>
      </c>
      <c r="G354" s="377"/>
      <c r="H354" s="463" t="s">
        <v>418</v>
      </c>
      <c r="I354" s="425">
        <f>ID!M76</f>
        <v>37</v>
      </c>
      <c r="J354" s="425">
        <f ca="1">(FORECAST(I354,OFFSET($G$260:$G$272,MATCH(I354,$B$260:$B$272,1)-1,0,2),OFFSET($B$260:$B$272,MATCH(I354,$B$260:$B$272,1)-1,0,2)))+I354</f>
        <v>37.18</v>
      </c>
      <c r="K354" s="425">
        <f t="shared" ca="1" si="363"/>
        <v>0.17999999999999972</v>
      </c>
      <c r="L354" s="462">
        <f t="shared" si="365"/>
        <v>0</v>
      </c>
      <c r="M354" s="377"/>
      <c r="P354" s="375"/>
      <c r="Q354" s="417"/>
      <c r="R354" s="417"/>
      <c r="S354" s="417"/>
      <c r="T354" s="466"/>
      <c r="U354" s="466"/>
      <c r="V354" s="466"/>
      <c r="W354" s="466"/>
      <c r="X354" s="466"/>
      <c r="Y354" s="466"/>
      <c r="Z354" s="466"/>
      <c r="AA354" s="466"/>
      <c r="AB354" s="466"/>
      <c r="AD354" s="375"/>
      <c r="AH354" s="382"/>
      <c r="AJ354" s="382"/>
      <c r="AN354" s="382"/>
      <c r="AP354" s="382"/>
      <c r="AT354" s="382"/>
      <c r="AV354" s="382"/>
      <c r="AZ354" s="382"/>
      <c r="BB354" s="382"/>
      <c r="BF354" s="382"/>
      <c r="BH354" s="382"/>
      <c r="BL354" s="382"/>
      <c r="BN354" s="382"/>
      <c r="BR354" s="382"/>
      <c r="BT354" s="382"/>
      <c r="BX354" s="382"/>
      <c r="BZ354" s="382"/>
    </row>
    <row r="355" spans="2:86">
      <c r="B355" s="463" t="s">
        <v>419</v>
      </c>
      <c r="C355" s="425">
        <f>ID!L77</f>
        <v>37</v>
      </c>
      <c r="D355" s="425">
        <f ca="1">(FORECAST(C355,OFFSET($H$260:$H$272,MATCH(C355,$B$260:$B$272,1)-1,0,2),OFFSET($B$260:$B$272,MATCH(C355,$B$260:$B$272,1)-1,0,2)))+C355</f>
        <v>37.19</v>
      </c>
      <c r="E355" s="425">
        <f t="shared" ca="1" si="362"/>
        <v>0.18999999999999773</v>
      </c>
      <c r="F355" s="462">
        <f t="shared" si="364"/>
        <v>0</v>
      </c>
      <c r="G355" s="377"/>
      <c r="H355" s="463" t="s">
        <v>419</v>
      </c>
      <c r="I355" s="425">
        <f>ID!M77</f>
        <v>37</v>
      </c>
      <c r="J355" s="425">
        <f ca="1">(FORECAST(I355,OFFSET($H$260:$H$272,MATCH(I355,$B$260:$B$272,1)-1,0,2),OFFSET($B$260:$B$272,MATCH(I355,$B$260:$B$272,1)-1,0,2)))+I355</f>
        <v>37.19</v>
      </c>
      <c r="K355" s="425">
        <f t="shared" ca="1" si="363"/>
        <v>0.18999999999999773</v>
      </c>
      <c r="L355" s="462">
        <f t="shared" si="365"/>
        <v>0</v>
      </c>
      <c r="M355" s="377"/>
      <c r="P355" s="375"/>
      <c r="Q355" s="417"/>
      <c r="R355" s="417"/>
      <c r="S355" s="417"/>
      <c r="T355" s="466"/>
      <c r="U355" s="466"/>
      <c r="V355" s="466"/>
      <c r="W355" s="466"/>
      <c r="X355" s="466"/>
      <c r="Y355" s="466"/>
      <c r="Z355" s="466"/>
      <c r="AA355" s="466"/>
      <c r="AB355" s="466"/>
      <c r="AD355" s="375"/>
      <c r="AF355" s="375"/>
      <c r="AG355" s="417"/>
      <c r="AI355" s="417"/>
      <c r="AL355" s="375"/>
      <c r="AM355" s="417"/>
      <c r="AO355" s="417"/>
      <c r="AR355" s="375"/>
      <c r="AS355" s="417"/>
      <c r="AU355" s="417"/>
      <c r="AX355" s="375"/>
      <c r="AY355" s="417"/>
      <c r="BA355" s="417"/>
      <c r="BD355" s="375"/>
      <c r="BE355" s="417"/>
      <c r="BG355" s="417"/>
      <c r="BJ355" s="375"/>
      <c r="BK355" s="417"/>
      <c r="BM355" s="417"/>
      <c r="BP355" s="375"/>
      <c r="BQ355" s="417"/>
      <c r="BS355" s="417"/>
      <c r="BV355" s="375"/>
      <c r="BW355" s="417"/>
      <c r="BY355" s="417"/>
    </row>
    <row r="356" spans="2:86">
      <c r="B356" s="463" t="s">
        <v>420</v>
      </c>
      <c r="C356" s="425">
        <f>ID!L78</f>
        <v>37</v>
      </c>
      <c r="D356" s="425">
        <f ca="1">(FORECAST(C356,OFFSET($I$260:$I$272,MATCH(C356,$B$260:$B$272,1)-1,0,2),OFFSET($B$260:$B$272,MATCH(C356,$B$260:$B$272,1)-1,0,2)))+C356</f>
        <v>37.200000000000003</v>
      </c>
      <c r="E356" s="425">
        <f t="shared" ca="1" si="362"/>
        <v>0.20000000000000284</v>
      </c>
      <c r="F356" s="462">
        <f t="shared" si="364"/>
        <v>0</v>
      </c>
      <c r="G356" s="377"/>
      <c r="H356" s="463" t="s">
        <v>420</v>
      </c>
      <c r="I356" s="425">
        <f>ID!M78</f>
        <v>37</v>
      </c>
      <c r="J356" s="425">
        <f ca="1">(FORECAST(I356,OFFSET($I$260:$I$272,MATCH(I356,$B$260:$B$272,1)-1,0,2),OFFSET($B$260:$B$272,MATCH(I356,$B$260:$B$272,1)-1,0,2)))+I356</f>
        <v>37.200000000000003</v>
      </c>
      <c r="K356" s="425">
        <f t="shared" ca="1" si="363"/>
        <v>0.20000000000000284</v>
      </c>
      <c r="L356" s="462">
        <f t="shared" si="365"/>
        <v>0</v>
      </c>
      <c r="M356" s="377"/>
      <c r="P356" s="375"/>
      <c r="Q356" s="417"/>
      <c r="R356" s="417"/>
      <c r="S356" s="417"/>
      <c r="T356" s="466"/>
      <c r="U356" s="466"/>
      <c r="V356" s="466"/>
      <c r="W356" s="466"/>
      <c r="X356" s="466"/>
      <c r="Y356" s="466"/>
      <c r="Z356" s="466"/>
      <c r="AA356" s="466"/>
      <c r="AB356" s="466"/>
      <c r="AD356" s="375"/>
      <c r="AF356" s="375"/>
      <c r="AG356" s="417"/>
      <c r="AI356" s="417"/>
      <c r="AL356" s="375"/>
      <c r="AM356" s="417"/>
      <c r="AO356" s="417"/>
      <c r="AR356" s="375"/>
      <c r="AS356" s="417"/>
      <c r="AU356" s="417"/>
      <c r="AX356" s="375"/>
      <c r="AY356" s="417"/>
      <c r="BA356" s="417"/>
      <c r="BD356" s="375"/>
      <c r="BE356" s="417"/>
      <c r="BG356" s="417"/>
      <c r="BJ356" s="375"/>
      <c r="BK356" s="417"/>
      <c r="BM356" s="417"/>
      <c r="BP356" s="375"/>
      <c r="BQ356" s="417"/>
      <c r="BS356" s="417"/>
      <c r="BV356" s="375"/>
      <c r="BW356" s="417"/>
      <c r="BY356" s="417"/>
    </row>
    <row r="357" spans="2:86">
      <c r="B357" s="463" t="s">
        <v>421</v>
      </c>
      <c r="C357" s="425">
        <f>ID!L79</f>
        <v>37</v>
      </c>
      <c r="D357" s="425">
        <f ca="1">(FORECAST(C357,OFFSET($J$260:$J$272,MATCH(C357,$B$260:$B$272,1)-1,0,2),OFFSET($B$260:$B$272,MATCH(C357,$B$260:$B$272,1)-1,0,2)))+C357</f>
        <v>37.19</v>
      </c>
      <c r="E357" s="425">
        <f t="shared" ca="1" si="362"/>
        <v>0.18999999999999773</v>
      </c>
      <c r="F357" s="462">
        <f t="shared" si="364"/>
        <v>0</v>
      </c>
      <c r="G357" s="377"/>
      <c r="H357" s="463" t="s">
        <v>421</v>
      </c>
      <c r="I357" s="425">
        <f>ID!M79</f>
        <v>37</v>
      </c>
      <c r="J357" s="425">
        <f ca="1">(FORECAST(I357,OFFSET($J$260:$J$272,MATCH(I357,$B$260:$B$272,1)-1,0,2),OFFSET($B$260:$B$272,MATCH(I357,$B$260:$B$272,1)-1,0,2)))+I357</f>
        <v>37.19</v>
      </c>
      <c r="K357" s="425">
        <f t="shared" ca="1" si="363"/>
        <v>0.18999999999999773</v>
      </c>
      <c r="L357" s="462">
        <f t="shared" si="365"/>
        <v>0</v>
      </c>
      <c r="M357" s="377"/>
      <c r="P357" s="375"/>
      <c r="Q357" s="417"/>
      <c r="R357" s="417"/>
      <c r="S357" s="417"/>
      <c r="T357" s="466"/>
      <c r="U357" s="466"/>
      <c r="V357" s="466"/>
      <c r="W357" s="466"/>
      <c r="X357" s="466"/>
      <c r="Y357" s="466"/>
      <c r="Z357" s="466"/>
      <c r="AA357" s="466"/>
      <c r="AB357" s="466"/>
      <c r="AD357" s="375"/>
      <c r="AF357" s="375"/>
      <c r="AG357" s="417"/>
      <c r="AI357" s="417"/>
      <c r="AL357" s="375"/>
      <c r="AM357" s="417"/>
      <c r="AO357" s="417"/>
      <c r="AR357" s="375"/>
      <c r="AS357" s="417"/>
      <c r="AU357" s="417"/>
      <c r="AX357" s="375"/>
      <c r="AY357" s="417"/>
      <c r="BA357" s="417"/>
      <c r="BD357" s="375"/>
      <c r="BE357" s="417"/>
      <c r="BG357" s="417"/>
      <c r="BJ357" s="375"/>
      <c r="BK357" s="417"/>
      <c r="BM357" s="417"/>
      <c r="BP357" s="375"/>
      <c r="BQ357" s="417"/>
      <c r="BS357" s="417"/>
      <c r="BV357" s="375"/>
      <c r="BW357" s="417"/>
      <c r="BY357" s="417"/>
    </row>
    <row r="358" spans="2:86">
      <c r="B358" s="463" t="s">
        <v>422</v>
      </c>
      <c r="C358" s="594" t="s">
        <v>156</v>
      </c>
      <c r="D358" s="594" t="s">
        <v>156</v>
      </c>
      <c r="E358" s="594" t="s">
        <v>156</v>
      </c>
      <c r="F358" s="462">
        <f t="shared" si="364"/>
        <v>0</v>
      </c>
      <c r="G358" s="377"/>
      <c r="H358" s="463" t="s">
        <v>422</v>
      </c>
      <c r="I358" s="594" t="s">
        <v>156</v>
      </c>
      <c r="J358" s="594" t="s">
        <v>156</v>
      </c>
      <c r="K358" s="594" t="s">
        <v>156</v>
      </c>
      <c r="L358" s="462">
        <f t="shared" si="365"/>
        <v>0</v>
      </c>
      <c r="M358" s="377"/>
      <c r="P358" s="375"/>
      <c r="Q358" s="417"/>
      <c r="R358" s="417"/>
      <c r="S358" s="417"/>
      <c r="T358" s="466"/>
      <c r="U358" s="466"/>
      <c r="V358" s="466"/>
      <c r="W358" s="466"/>
      <c r="X358" s="466"/>
      <c r="Y358" s="466"/>
      <c r="Z358" s="466"/>
      <c r="AA358" s="466"/>
      <c r="AB358" s="466"/>
      <c r="AD358" s="375"/>
      <c r="AF358" s="375"/>
      <c r="AG358" s="417"/>
      <c r="AI358" s="417"/>
      <c r="AL358" s="375"/>
      <c r="AM358" s="417"/>
      <c r="AO358" s="417"/>
      <c r="AR358" s="375"/>
      <c r="AS358" s="417"/>
      <c r="AU358" s="417"/>
      <c r="AX358" s="375"/>
      <c r="AY358" s="417"/>
      <c r="BA358" s="417"/>
      <c r="BD358" s="375"/>
      <c r="BE358" s="417"/>
      <c r="BG358" s="417"/>
      <c r="BJ358" s="375"/>
      <c r="BK358" s="417"/>
      <c r="BM358" s="417"/>
      <c r="BP358" s="375"/>
      <c r="BQ358" s="417"/>
      <c r="BS358" s="417"/>
      <c r="BV358" s="375"/>
      <c r="BW358" s="417"/>
      <c r="BY358" s="417"/>
    </row>
    <row r="359" spans="2:86">
      <c r="B359" s="463" t="s">
        <v>423</v>
      </c>
      <c r="C359" s="594" t="s">
        <v>156</v>
      </c>
      <c r="D359" s="594" t="s">
        <v>156</v>
      </c>
      <c r="E359" s="594" t="s">
        <v>156</v>
      </c>
      <c r="F359" s="462">
        <f t="shared" si="364"/>
        <v>0</v>
      </c>
      <c r="G359" s="377"/>
      <c r="H359" s="463" t="s">
        <v>423</v>
      </c>
      <c r="I359" s="594" t="s">
        <v>156</v>
      </c>
      <c r="J359" s="594" t="s">
        <v>156</v>
      </c>
      <c r="K359" s="594" t="s">
        <v>156</v>
      </c>
      <c r="L359" s="467">
        <f t="shared" si="365"/>
        <v>0</v>
      </c>
      <c r="M359" s="377"/>
      <c r="P359" s="375"/>
      <c r="Q359" s="417"/>
      <c r="R359" s="417"/>
      <c r="S359" s="417"/>
      <c r="T359" s="466"/>
      <c r="U359" s="466"/>
      <c r="V359" s="466"/>
      <c r="W359" s="466"/>
      <c r="X359" s="466"/>
      <c r="Y359" s="466"/>
      <c r="Z359" s="466"/>
      <c r="AA359" s="466"/>
      <c r="AB359" s="466"/>
      <c r="AD359" s="375"/>
      <c r="AF359" s="375"/>
      <c r="AG359" s="417"/>
      <c r="AI359" s="417"/>
      <c r="AL359" s="375"/>
      <c r="AM359" s="417"/>
      <c r="AO359" s="417"/>
      <c r="AR359" s="375"/>
      <c r="AS359" s="417"/>
      <c r="AU359" s="417"/>
      <c r="AX359" s="375"/>
      <c r="AY359" s="417"/>
      <c r="BA359" s="417"/>
      <c r="BD359" s="375"/>
      <c r="BE359" s="417"/>
      <c r="BG359" s="417"/>
      <c r="BJ359" s="375"/>
      <c r="BK359" s="417"/>
      <c r="BM359" s="417"/>
      <c r="BP359" s="375"/>
      <c r="BQ359" s="417"/>
      <c r="BS359" s="417"/>
      <c r="BV359" s="375"/>
      <c r="BW359" s="417"/>
      <c r="BY359" s="417"/>
    </row>
    <row r="360" spans="2:86" s="377" customFormat="1">
      <c r="P360" s="396"/>
      <c r="Q360" s="378"/>
      <c r="R360" s="378"/>
      <c r="S360" s="378"/>
      <c r="T360" s="379"/>
      <c r="U360" s="379"/>
      <c r="V360" s="379"/>
      <c r="W360" s="379"/>
      <c r="X360" s="379"/>
      <c r="Y360" s="379"/>
      <c r="Z360" s="379"/>
      <c r="AA360" s="379"/>
      <c r="AB360" s="379"/>
      <c r="AD360" s="396"/>
      <c r="AF360" s="396"/>
      <c r="AG360" s="378"/>
      <c r="AH360" s="378"/>
      <c r="AI360" s="378"/>
      <c r="AJ360" s="379"/>
      <c r="AL360" s="396"/>
      <c r="AM360" s="378"/>
      <c r="AN360" s="378"/>
      <c r="AO360" s="378"/>
      <c r="AP360" s="379"/>
      <c r="AR360" s="396"/>
      <c r="AS360" s="378"/>
      <c r="AT360" s="378"/>
      <c r="AU360" s="378"/>
      <c r="AV360" s="379"/>
      <c r="AX360" s="396"/>
      <c r="AY360" s="378"/>
      <c r="AZ360" s="378"/>
      <c r="BA360" s="378"/>
      <c r="BB360" s="379"/>
      <c r="BD360" s="396"/>
      <c r="BE360" s="378"/>
      <c r="BF360" s="378"/>
      <c r="BG360" s="378"/>
      <c r="BH360" s="379"/>
      <c r="BJ360" s="396"/>
      <c r="BK360" s="378"/>
      <c r="BL360" s="378"/>
      <c r="BM360" s="378"/>
      <c r="BN360" s="379"/>
      <c r="BP360" s="396"/>
      <c r="BQ360" s="378"/>
      <c r="BR360" s="378"/>
      <c r="BS360" s="378"/>
      <c r="BT360" s="379"/>
      <c r="BV360" s="396"/>
      <c r="BW360" s="378"/>
      <c r="BX360" s="378"/>
      <c r="BY360" s="378"/>
      <c r="BZ360" s="379"/>
    </row>
    <row r="361" spans="2:86" s="377" customFormat="1">
      <c r="P361" s="396"/>
      <c r="Q361" s="378"/>
      <c r="R361" s="378"/>
      <c r="S361" s="378"/>
      <c r="T361" s="379"/>
      <c r="U361" s="379"/>
      <c r="V361" s="379"/>
      <c r="W361" s="379"/>
      <c r="X361" s="379"/>
      <c r="Y361" s="379"/>
      <c r="Z361" s="379"/>
      <c r="AA361" s="379"/>
      <c r="AB361" s="379"/>
      <c r="AD361" s="396"/>
      <c r="AF361" s="396"/>
      <c r="AG361" s="378"/>
      <c r="AH361" s="378"/>
      <c r="AI361" s="378"/>
      <c r="AJ361" s="379"/>
      <c r="AL361" s="396"/>
      <c r="AM361" s="378"/>
      <c r="AN361" s="378"/>
      <c r="AO361" s="378"/>
      <c r="AP361" s="379"/>
      <c r="AR361" s="396"/>
      <c r="AS361" s="378"/>
      <c r="AT361" s="378"/>
      <c r="AU361" s="378"/>
      <c r="AV361" s="379"/>
      <c r="AX361" s="396"/>
      <c r="AY361" s="378"/>
      <c r="AZ361" s="378"/>
      <c r="BA361" s="378"/>
      <c r="BB361" s="379"/>
      <c r="BD361" s="396"/>
      <c r="BE361" s="378"/>
      <c r="BF361" s="378"/>
      <c r="BG361" s="378"/>
      <c r="BH361" s="379"/>
      <c r="BJ361" s="396"/>
      <c r="BK361" s="378"/>
      <c r="BL361" s="378"/>
      <c r="BM361" s="378"/>
      <c r="BN361" s="379"/>
      <c r="BP361" s="396"/>
      <c r="BQ361" s="378"/>
      <c r="BR361" s="378"/>
      <c r="BS361" s="378"/>
      <c r="BT361" s="379"/>
      <c r="BV361" s="396"/>
      <c r="BW361" s="378"/>
      <c r="BX361" s="378"/>
      <c r="BY361" s="378"/>
      <c r="BZ361" s="379"/>
    </row>
    <row r="362" spans="2:86">
      <c r="P362" s="375"/>
      <c r="Q362" s="417"/>
      <c r="R362" s="417"/>
      <c r="S362" s="417"/>
      <c r="T362" s="466"/>
      <c r="U362" s="466"/>
      <c r="V362" s="466"/>
      <c r="W362" s="466"/>
      <c r="X362" s="466"/>
      <c r="Y362" s="466"/>
      <c r="Z362" s="466"/>
      <c r="AA362" s="466"/>
      <c r="AB362" s="466"/>
      <c r="AD362" s="375"/>
      <c r="AF362" s="375"/>
      <c r="AG362" s="417"/>
      <c r="AI362" s="417"/>
      <c r="AL362" s="375"/>
      <c r="AM362" s="417"/>
      <c r="AO362" s="417"/>
      <c r="AR362" s="375"/>
      <c r="AS362" s="417"/>
      <c r="AU362" s="417"/>
      <c r="AX362" s="375"/>
      <c r="AY362" s="417"/>
      <c r="BA362" s="417"/>
      <c r="BD362" s="375"/>
      <c r="BE362" s="417"/>
      <c r="BG362" s="417"/>
      <c r="BJ362" s="375"/>
      <c r="BK362" s="417"/>
      <c r="BM362" s="417"/>
      <c r="BP362" s="375"/>
      <c r="BQ362" s="417"/>
      <c r="BS362" s="417"/>
      <c r="BV362" s="375"/>
      <c r="BW362" s="417"/>
      <c r="BY362" s="417"/>
    </row>
    <row r="363" spans="2:86">
      <c r="P363" s="375"/>
      <c r="Q363" s="417"/>
      <c r="R363" s="417"/>
      <c r="S363" s="417"/>
      <c r="T363" s="466"/>
      <c r="U363" s="466"/>
      <c r="V363" s="466"/>
      <c r="W363" s="466"/>
      <c r="X363" s="466"/>
      <c r="Y363" s="466"/>
      <c r="Z363" s="466"/>
      <c r="AA363" s="466"/>
      <c r="AB363" s="466"/>
      <c r="AD363" s="375"/>
      <c r="AF363" s="375"/>
      <c r="AG363" s="417"/>
      <c r="AI363" s="417"/>
      <c r="AJ363" s="466"/>
      <c r="AL363" s="375"/>
      <c r="AM363" s="417"/>
      <c r="AO363" s="417"/>
      <c r="AP363" s="466"/>
      <c r="AR363" s="375"/>
      <c r="AS363" s="417"/>
      <c r="AU363" s="417"/>
      <c r="AV363" s="466"/>
      <c r="AX363" s="375"/>
      <c r="AY363" s="417"/>
      <c r="BA363" s="417"/>
      <c r="BB363" s="466"/>
      <c r="BD363" s="375"/>
      <c r="BE363" s="417"/>
      <c r="BG363" s="417"/>
      <c r="BH363" s="466"/>
      <c r="BJ363" s="375"/>
      <c r="BK363" s="417"/>
      <c r="BM363" s="417"/>
      <c r="BN363" s="466"/>
      <c r="BP363" s="375"/>
      <c r="BQ363" s="417"/>
      <c r="BS363" s="417"/>
      <c r="BT363" s="466"/>
      <c r="BV363" s="375"/>
      <c r="BW363" s="417"/>
      <c r="BY363" s="417"/>
      <c r="BZ363" s="466"/>
    </row>
    <row r="364" spans="2:86">
      <c r="P364" s="375"/>
      <c r="Q364" s="417"/>
      <c r="R364" s="417"/>
      <c r="S364" s="417"/>
      <c r="T364" s="466"/>
      <c r="U364" s="466"/>
      <c r="V364" s="466"/>
      <c r="W364" s="466"/>
      <c r="X364" s="466"/>
      <c r="Y364" s="466"/>
      <c r="Z364" s="466"/>
      <c r="AA364" s="466"/>
      <c r="AB364" s="466"/>
      <c r="AD364" s="375"/>
      <c r="AF364" s="375"/>
      <c r="AG364" s="417"/>
      <c r="AI364" s="417"/>
      <c r="AJ364" s="466"/>
      <c r="AL364" s="375"/>
      <c r="AM364" s="417"/>
      <c r="AO364" s="417"/>
      <c r="AP364" s="466"/>
      <c r="AR364" s="375"/>
      <c r="AS364" s="417"/>
      <c r="AU364" s="417"/>
      <c r="AV364" s="466"/>
      <c r="AX364" s="375"/>
      <c r="AY364" s="417"/>
      <c r="BA364" s="417"/>
      <c r="BB364" s="466"/>
      <c r="BD364" s="375"/>
      <c r="BE364" s="417"/>
      <c r="BG364" s="417"/>
      <c r="BH364" s="466"/>
      <c r="BJ364" s="375"/>
      <c r="BK364" s="417"/>
      <c r="BM364" s="417"/>
      <c r="BN364" s="466"/>
      <c r="BP364" s="375"/>
      <c r="BQ364" s="417"/>
      <c r="BS364" s="417"/>
      <c r="BT364" s="466"/>
      <c r="BV364" s="375"/>
      <c r="BW364" s="417"/>
      <c r="BY364" s="417"/>
      <c r="BZ364" s="466"/>
    </row>
    <row r="365" spans="2:86">
      <c r="P365" s="375"/>
      <c r="Q365" s="417"/>
      <c r="R365" s="417"/>
      <c r="S365" s="417"/>
      <c r="T365" s="466"/>
      <c r="U365" s="466"/>
      <c r="V365" s="466"/>
      <c r="W365" s="466"/>
      <c r="X365" s="466"/>
      <c r="Y365" s="466"/>
      <c r="Z365" s="466"/>
      <c r="AA365" s="466"/>
      <c r="AB365" s="466"/>
      <c r="AD365" s="375"/>
      <c r="AF365" s="375"/>
      <c r="AG365" s="417"/>
      <c r="AI365" s="417"/>
      <c r="AJ365" s="466"/>
      <c r="AL365" s="375"/>
      <c r="AM365" s="417"/>
      <c r="AO365" s="417"/>
      <c r="AP365" s="466"/>
      <c r="AR365" s="375"/>
      <c r="AS365" s="417"/>
      <c r="AU365" s="417"/>
      <c r="AV365" s="466"/>
      <c r="AX365" s="375"/>
      <c r="AY365" s="417"/>
      <c r="BA365" s="417"/>
      <c r="BB365" s="466"/>
      <c r="BD365" s="375"/>
      <c r="BE365" s="417"/>
      <c r="BG365" s="417"/>
      <c r="BH365" s="466"/>
      <c r="BJ365" s="375"/>
      <c r="BK365" s="417"/>
      <c r="BM365" s="417"/>
      <c r="BN365" s="466"/>
      <c r="BP365" s="375"/>
      <c r="BQ365" s="417"/>
      <c r="BS365" s="417"/>
      <c r="BT365" s="466"/>
      <c r="BV365" s="375"/>
      <c r="BW365" s="417"/>
      <c r="BY365" s="417"/>
      <c r="BZ365" s="466"/>
    </row>
    <row r="368" spans="2:86" ht="26.15" customHeight="1">
      <c r="Q368" s="468"/>
      <c r="R368" s="468"/>
      <c r="S368" s="468"/>
      <c r="T368" s="468"/>
      <c r="U368" s="468"/>
      <c r="V368" s="468"/>
      <c r="W368" s="468"/>
      <c r="X368" s="468"/>
      <c r="Y368" s="468"/>
      <c r="Z368" s="468"/>
      <c r="AA368" s="468"/>
      <c r="AB368" s="468"/>
      <c r="AC368" s="468"/>
      <c r="AD368" s="468"/>
      <c r="AE368" s="468"/>
      <c r="AF368" s="468"/>
      <c r="AG368" s="468"/>
      <c r="AH368" s="468"/>
      <c r="AI368" s="468"/>
      <c r="AJ368" s="468"/>
      <c r="AK368" s="468"/>
      <c r="AL368" s="468"/>
      <c r="AM368" s="468"/>
      <c r="AN368" s="468"/>
      <c r="AO368" s="468"/>
      <c r="AP368" s="468"/>
      <c r="AQ368" s="468"/>
      <c r="AR368" s="469"/>
      <c r="AS368" s="469"/>
      <c r="AT368" s="469"/>
      <c r="AU368" s="469"/>
      <c r="AV368" s="469"/>
      <c r="AX368" s="469"/>
      <c r="AY368" s="469"/>
      <c r="AZ368" s="469"/>
      <c r="BA368" s="469"/>
      <c r="BB368" s="469"/>
      <c r="BC368" s="470"/>
      <c r="BD368" s="469"/>
      <c r="BE368" s="469"/>
      <c r="BF368" s="469"/>
      <c r="BG368" s="469"/>
      <c r="BH368" s="469"/>
      <c r="BI368" s="470"/>
      <c r="BJ368" s="469"/>
      <c r="BK368" s="469"/>
      <c r="BL368" s="469"/>
      <c r="BM368" s="469"/>
      <c r="BN368" s="469"/>
      <c r="BO368" s="470"/>
      <c r="BP368" s="469"/>
      <c r="BQ368" s="469"/>
      <c r="BR368" s="469"/>
      <c r="BS368" s="469"/>
      <c r="BT368" s="469"/>
      <c r="BU368" s="470"/>
      <c r="BV368" s="469"/>
      <c r="BW368" s="469"/>
      <c r="BX368" s="469"/>
      <c r="BY368" s="469"/>
      <c r="BZ368" s="469"/>
      <c r="CA368" s="470"/>
      <c r="CB368" s="417"/>
    </row>
    <row r="369" spans="17:80" ht="26.15" customHeight="1">
      <c r="Q369" s="471"/>
      <c r="R369" s="418"/>
      <c r="S369" s="418"/>
      <c r="T369" s="418"/>
      <c r="U369" s="418"/>
      <c r="V369" s="418"/>
      <c r="W369" s="418"/>
      <c r="X369" s="418"/>
      <c r="Y369" s="418"/>
      <c r="Z369" s="418"/>
      <c r="AA369" s="418"/>
      <c r="AB369" s="418"/>
      <c r="AC369" s="418"/>
      <c r="AD369" s="418"/>
      <c r="AE369" s="418"/>
      <c r="AF369" s="418"/>
      <c r="AG369" s="471"/>
      <c r="AH369" s="418"/>
      <c r="AI369" s="418"/>
      <c r="AK369" s="418"/>
      <c r="AL369" s="418"/>
      <c r="AM369" s="471"/>
      <c r="AN369" s="418"/>
      <c r="AO369" s="418"/>
      <c r="AQ369" s="418"/>
      <c r="AR369" s="418"/>
      <c r="AS369" s="471"/>
      <c r="AT369" s="418"/>
      <c r="AU369" s="418"/>
      <c r="AX369" s="418"/>
      <c r="AY369" s="471"/>
      <c r="AZ369" s="418"/>
      <c r="BA369" s="418"/>
      <c r="BC369" s="470"/>
      <c r="BD369" s="418"/>
      <c r="BE369" s="471"/>
      <c r="BF369" s="418"/>
      <c r="BG369" s="418"/>
      <c r="BI369" s="470"/>
      <c r="BJ369" s="418"/>
      <c r="BK369" s="471"/>
      <c r="BL369" s="418"/>
      <c r="BM369" s="418"/>
      <c r="BO369" s="470"/>
      <c r="BP369" s="418"/>
      <c r="BQ369" s="471"/>
      <c r="BR369" s="418"/>
      <c r="BS369" s="418"/>
      <c r="BU369" s="470"/>
      <c r="BV369" s="418"/>
      <c r="BW369" s="471"/>
      <c r="BX369" s="418"/>
      <c r="BY369" s="418"/>
      <c r="CA369" s="470"/>
      <c r="CB369" s="417"/>
    </row>
    <row r="370" spans="17:80" ht="26.15" customHeight="1">
      <c r="Q370" s="471"/>
      <c r="R370" s="418"/>
      <c r="S370" s="418"/>
      <c r="T370" s="418"/>
      <c r="U370" s="418"/>
      <c r="V370" s="418"/>
      <c r="W370" s="418"/>
      <c r="X370" s="418"/>
      <c r="Y370" s="418"/>
      <c r="Z370" s="418"/>
      <c r="AA370" s="418"/>
      <c r="AB370" s="418"/>
      <c r="AC370" s="418"/>
      <c r="AD370" s="418"/>
      <c r="AE370" s="418"/>
      <c r="AF370" s="418"/>
      <c r="AG370" s="471"/>
      <c r="AH370" s="418"/>
      <c r="AI370" s="418"/>
      <c r="AK370" s="418"/>
      <c r="AL370" s="418"/>
      <c r="AM370" s="471"/>
      <c r="AN370" s="418"/>
      <c r="AO370" s="418"/>
      <c r="AQ370" s="418"/>
      <c r="AR370" s="418"/>
      <c r="AS370" s="471"/>
      <c r="AT370" s="418"/>
      <c r="AU370" s="418"/>
      <c r="AX370" s="418"/>
      <c r="AY370" s="471"/>
      <c r="AZ370" s="418"/>
      <c r="BA370" s="418"/>
      <c r="BC370" s="470"/>
      <c r="BD370" s="418"/>
      <c r="BE370" s="471"/>
      <c r="BF370" s="418"/>
      <c r="BG370" s="418"/>
      <c r="BI370" s="470"/>
      <c r="BJ370" s="418"/>
      <c r="BK370" s="471"/>
      <c r="BL370" s="418"/>
      <c r="BM370" s="418"/>
      <c r="BO370" s="470"/>
      <c r="BP370" s="418"/>
      <c r="BQ370" s="471"/>
      <c r="BR370" s="418"/>
      <c r="BS370" s="418"/>
      <c r="BU370" s="470"/>
      <c r="BV370" s="418"/>
      <c r="BW370" s="471"/>
      <c r="BX370" s="418"/>
      <c r="BY370" s="418"/>
      <c r="CA370" s="470"/>
      <c r="CB370" s="417"/>
    </row>
    <row r="371" spans="17:80" ht="26.15" customHeight="1">
      <c r="Q371" s="471"/>
      <c r="R371" s="418"/>
      <c r="S371" s="418"/>
      <c r="T371" s="418"/>
      <c r="U371" s="418"/>
      <c r="V371" s="418"/>
      <c r="W371" s="418"/>
      <c r="X371" s="418"/>
      <c r="Y371" s="418"/>
      <c r="Z371" s="418"/>
      <c r="AA371" s="418"/>
      <c r="AB371" s="418"/>
      <c r="AC371" s="418"/>
      <c r="AD371" s="418"/>
      <c r="AE371" s="418"/>
      <c r="AF371" s="418"/>
      <c r="AG371" s="471"/>
      <c r="AH371" s="418"/>
      <c r="AI371" s="418"/>
      <c r="AK371" s="418"/>
      <c r="AL371" s="418"/>
      <c r="AM371" s="471"/>
      <c r="AN371" s="418"/>
      <c r="AO371" s="418"/>
      <c r="AQ371" s="418"/>
      <c r="AR371" s="418"/>
      <c r="AS371" s="471"/>
      <c r="AT371" s="418"/>
      <c r="AU371" s="418"/>
      <c r="AX371" s="418"/>
      <c r="AY371" s="471"/>
      <c r="AZ371" s="418"/>
      <c r="BA371" s="418"/>
      <c r="BC371" s="470"/>
      <c r="BD371" s="418"/>
      <c r="BE371" s="471"/>
      <c r="BF371" s="418"/>
      <c r="BG371" s="418"/>
      <c r="BI371" s="470"/>
      <c r="BJ371" s="418"/>
      <c r="BK371" s="471"/>
      <c r="BL371" s="418"/>
      <c r="BM371" s="418"/>
      <c r="BO371" s="470"/>
      <c r="BP371" s="418"/>
      <c r="BQ371" s="471"/>
      <c r="BR371" s="418"/>
      <c r="BS371" s="418"/>
      <c r="BU371" s="470"/>
      <c r="BV371" s="418"/>
      <c r="BW371" s="471"/>
      <c r="BX371" s="418"/>
      <c r="BY371" s="418"/>
      <c r="CA371" s="470"/>
      <c r="CB371" s="417"/>
    </row>
    <row r="372" spans="17:80" ht="26.15" customHeight="1">
      <c r="Q372" s="471"/>
      <c r="R372" s="418"/>
      <c r="S372" s="418"/>
      <c r="T372" s="418"/>
      <c r="U372" s="418"/>
      <c r="V372" s="418"/>
      <c r="W372" s="418"/>
      <c r="X372" s="418"/>
      <c r="Y372" s="418"/>
      <c r="Z372" s="418"/>
      <c r="AA372" s="418"/>
      <c r="AB372" s="418"/>
      <c r="AC372" s="418"/>
      <c r="AD372" s="418"/>
      <c r="AE372" s="418"/>
      <c r="AF372" s="418"/>
      <c r="AG372" s="471"/>
      <c r="AH372" s="418"/>
      <c r="AI372" s="418"/>
      <c r="AK372" s="418"/>
      <c r="AL372" s="418"/>
      <c r="AM372" s="471"/>
      <c r="AN372" s="418"/>
      <c r="AO372" s="418"/>
      <c r="AQ372" s="418"/>
      <c r="AR372" s="418"/>
      <c r="AS372" s="471"/>
      <c r="AT372" s="418"/>
      <c r="AU372" s="418"/>
      <c r="AX372" s="418"/>
      <c r="AY372" s="471"/>
      <c r="AZ372" s="418"/>
      <c r="BA372" s="418"/>
      <c r="BC372" s="470"/>
      <c r="BD372" s="418"/>
      <c r="BE372" s="471"/>
      <c r="BF372" s="418"/>
      <c r="BG372" s="418"/>
      <c r="BI372" s="470"/>
      <c r="BJ372" s="418"/>
      <c r="BK372" s="471"/>
      <c r="BL372" s="418"/>
      <c r="BM372" s="418"/>
      <c r="BO372" s="470"/>
      <c r="BP372" s="418"/>
      <c r="BQ372" s="471"/>
      <c r="BR372" s="418"/>
      <c r="BS372" s="418"/>
      <c r="BU372" s="470"/>
      <c r="BV372" s="418"/>
      <c r="BW372" s="471"/>
      <c r="BX372" s="418"/>
      <c r="BY372" s="418"/>
      <c r="CA372" s="470"/>
      <c r="CB372" s="417"/>
    </row>
    <row r="373" spans="17:80" ht="26.15" customHeight="1">
      <c r="Q373" s="471"/>
      <c r="R373" s="418"/>
      <c r="S373" s="418"/>
      <c r="T373" s="418"/>
      <c r="U373" s="418"/>
      <c r="V373" s="418"/>
      <c r="W373" s="418"/>
      <c r="X373" s="418"/>
      <c r="Y373" s="418"/>
      <c r="Z373" s="418"/>
      <c r="AA373" s="418"/>
      <c r="AB373" s="418"/>
      <c r="AC373" s="418"/>
      <c r="AD373" s="418"/>
      <c r="AE373" s="418"/>
      <c r="AF373" s="418"/>
      <c r="AG373" s="471"/>
      <c r="AH373" s="418"/>
      <c r="AI373" s="418"/>
      <c r="AK373" s="418"/>
      <c r="AL373" s="418"/>
      <c r="AM373" s="471"/>
      <c r="AN373" s="418"/>
      <c r="AO373" s="418"/>
      <c r="AQ373" s="418"/>
      <c r="AR373" s="418"/>
      <c r="AS373" s="471"/>
      <c r="AT373" s="418"/>
      <c r="AU373" s="418"/>
      <c r="AX373" s="418"/>
      <c r="AY373" s="471"/>
      <c r="AZ373" s="418"/>
      <c r="BA373" s="418"/>
      <c r="BC373" s="470"/>
      <c r="BD373" s="418"/>
      <c r="BE373" s="471"/>
      <c r="BF373" s="418"/>
      <c r="BG373" s="418"/>
      <c r="BI373" s="470"/>
      <c r="BJ373" s="418"/>
      <c r="BK373" s="471"/>
      <c r="BL373" s="418"/>
      <c r="BM373" s="418"/>
      <c r="BO373" s="470"/>
      <c r="BP373" s="418"/>
      <c r="BQ373" s="471"/>
      <c r="BR373" s="418"/>
      <c r="BS373" s="418"/>
      <c r="BU373" s="470"/>
      <c r="BV373" s="418"/>
      <c r="BW373" s="471"/>
      <c r="BX373" s="418"/>
      <c r="BY373" s="418"/>
      <c r="CA373" s="470"/>
      <c r="CB373" s="417"/>
    </row>
    <row r="374" spans="17:80" ht="26.15" customHeight="1">
      <c r="Q374" s="471"/>
      <c r="R374" s="418"/>
      <c r="S374" s="418"/>
      <c r="T374" s="418"/>
      <c r="U374" s="418"/>
      <c r="V374" s="418"/>
      <c r="W374" s="418"/>
      <c r="X374" s="418"/>
      <c r="Y374" s="418"/>
      <c r="Z374" s="418"/>
      <c r="AA374" s="418"/>
      <c r="AB374" s="418"/>
      <c r="AC374" s="418"/>
      <c r="AD374" s="418"/>
      <c r="AE374" s="418"/>
      <c r="AF374" s="418"/>
      <c r="AG374" s="471"/>
      <c r="AH374" s="418"/>
      <c r="AI374" s="418"/>
      <c r="AK374" s="418"/>
      <c r="AL374" s="418"/>
      <c r="AM374" s="471"/>
      <c r="AN374" s="418"/>
      <c r="AO374" s="418"/>
      <c r="AQ374" s="418"/>
      <c r="AR374" s="418"/>
      <c r="AS374" s="471"/>
      <c r="AT374" s="418"/>
      <c r="AU374" s="418"/>
      <c r="AX374" s="418"/>
      <c r="AY374" s="471"/>
      <c r="AZ374" s="418"/>
      <c r="BA374" s="418"/>
      <c r="BC374" s="470"/>
      <c r="BD374" s="418"/>
      <c r="BE374" s="471"/>
      <c r="BF374" s="418"/>
      <c r="BG374" s="418"/>
      <c r="BI374" s="470"/>
      <c r="BJ374" s="418"/>
      <c r="BK374" s="471"/>
      <c r="BL374" s="418"/>
      <c r="BM374" s="418"/>
      <c r="BO374" s="470"/>
      <c r="BP374" s="418"/>
      <c r="BQ374" s="471"/>
      <c r="BR374" s="418"/>
      <c r="BS374" s="418"/>
      <c r="BU374" s="470"/>
      <c r="BV374" s="418"/>
      <c r="BW374" s="471"/>
      <c r="BX374" s="418"/>
      <c r="BY374" s="418"/>
      <c r="CA374" s="470"/>
      <c r="CB374" s="417"/>
    </row>
    <row r="375" spans="17:80" ht="26.15" customHeight="1">
      <c r="Q375" s="471"/>
      <c r="R375" s="418"/>
      <c r="S375" s="418"/>
      <c r="T375" s="418"/>
      <c r="U375" s="418"/>
      <c r="V375" s="418"/>
      <c r="W375" s="418"/>
      <c r="X375" s="418"/>
      <c r="Y375" s="418"/>
      <c r="Z375" s="418"/>
      <c r="AA375" s="418"/>
      <c r="AB375" s="418"/>
      <c r="AC375" s="418"/>
      <c r="AD375" s="418"/>
      <c r="AE375" s="418"/>
      <c r="AF375" s="418"/>
      <c r="AG375" s="471"/>
      <c r="AH375" s="418"/>
      <c r="AI375" s="418"/>
      <c r="AK375" s="418"/>
      <c r="AL375" s="418"/>
      <c r="AM375" s="471"/>
      <c r="AN375" s="418"/>
      <c r="AO375" s="418"/>
      <c r="AQ375" s="418"/>
      <c r="AR375" s="418"/>
      <c r="AS375" s="471"/>
      <c r="AT375" s="418"/>
      <c r="AU375" s="418"/>
      <c r="AX375" s="418"/>
      <c r="AY375" s="471"/>
      <c r="AZ375" s="418"/>
      <c r="BA375" s="418"/>
      <c r="BC375" s="470"/>
      <c r="BD375" s="418"/>
      <c r="BE375" s="471"/>
      <c r="BF375" s="418"/>
      <c r="BG375" s="418"/>
      <c r="BI375" s="470"/>
      <c r="BJ375" s="418"/>
      <c r="BK375" s="471"/>
      <c r="BL375" s="418"/>
      <c r="BM375" s="418"/>
      <c r="BO375" s="470"/>
      <c r="BP375" s="418"/>
      <c r="BQ375" s="471"/>
      <c r="BR375" s="418"/>
      <c r="BS375" s="418"/>
      <c r="BU375" s="470"/>
      <c r="BV375" s="418"/>
      <c r="BW375" s="471"/>
      <c r="BX375" s="418"/>
      <c r="BY375" s="418"/>
      <c r="CA375" s="470"/>
      <c r="CB375" s="417"/>
    </row>
    <row r="376" spans="17:80" ht="26.15" customHeight="1">
      <c r="Q376" s="471"/>
      <c r="R376" s="418"/>
      <c r="S376" s="418"/>
      <c r="T376" s="418"/>
      <c r="U376" s="418"/>
      <c r="V376" s="418"/>
      <c r="W376" s="418"/>
      <c r="X376" s="418"/>
      <c r="Y376" s="418"/>
      <c r="Z376" s="418"/>
      <c r="AA376" s="418"/>
      <c r="AB376" s="418"/>
      <c r="AC376" s="418"/>
      <c r="AD376" s="418"/>
      <c r="AE376" s="418"/>
      <c r="AF376" s="418"/>
      <c r="AG376" s="471"/>
      <c r="AH376" s="418"/>
      <c r="AI376" s="418"/>
      <c r="AK376" s="418"/>
      <c r="AL376" s="418"/>
      <c r="AM376" s="471"/>
      <c r="AN376" s="418"/>
      <c r="AO376" s="418"/>
      <c r="AQ376" s="418"/>
      <c r="AR376" s="418"/>
      <c r="AS376" s="471"/>
      <c r="AT376" s="418"/>
      <c r="AU376" s="418"/>
      <c r="AX376" s="418"/>
      <c r="AY376" s="471"/>
      <c r="AZ376" s="418"/>
      <c r="BA376" s="418"/>
      <c r="BC376" s="472"/>
      <c r="BD376" s="418"/>
      <c r="BE376" s="471"/>
      <c r="BF376" s="418"/>
      <c r="BG376" s="418"/>
      <c r="BI376" s="472"/>
      <c r="BJ376" s="418"/>
      <c r="BK376" s="471"/>
      <c r="BL376" s="418"/>
      <c r="BM376" s="418"/>
      <c r="BO376" s="472"/>
      <c r="BP376" s="418"/>
      <c r="BQ376" s="471"/>
      <c r="BR376" s="418"/>
      <c r="BS376" s="418"/>
      <c r="BU376" s="472"/>
      <c r="BV376" s="418"/>
      <c r="BW376" s="471"/>
      <c r="BX376" s="418"/>
      <c r="BY376" s="418"/>
      <c r="CA376" s="472"/>
    </row>
    <row r="377" spans="17:80" ht="26.15" customHeight="1">
      <c r="Q377" s="471"/>
      <c r="R377" s="418"/>
      <c r="S377" s="418"/>
      <c r="T377" s="418"/>
      <c r="U377" s="418"/>
      <c r="V377" s="418"/>
      <c r="W377" s="418"/>
      <c r="X377" s="418"/>
      <c r="Y377" s="418"/>
      <c r="Z377" s="418"/>
      <c r="AA377" s="418"/>
      <c r="AB377" s="418"/>
      <c r="AC377" s="418"/>
      <c r="AD377" s="418"/>
      <c r="AE377" s="418"/>
      <c r="AF377" s="418"/>
      <c r="AG377" s="471"/>
      <c r="AH377" s="418"/>
      <c r="AI377" s="418"/>
      <c r="AK377" s="418"/>
      <c r="AL377" s="418"/>
      <c r="AM377" s="471"/>
      <c r="AN377" s="418"/>
      <c r="AO377" s="418"/>
      <c r="AQ377" s="418"/>
      <c r="AR377" s="418"/>
      <c r="AS377" s="471"/>
      <c r="AT377" s="418"/>
      <c r="AU377" s="418"/>
      <c r="AX377" s="418"/>
      <c r="AY377" s="471"/>
      <c r="AZ377" s="418"/>
      <c r="BA377" s="418"/>
      <c r="BC377" s="472"/>
      <c r="BD377" s="418"/>
      <c r="BE377" s="471"/>
      <c r="BF377" s="418"/>
      <c r="BG377" s="418"/>
      <c r="BI377" s="472"/>
      <c r="BJ377" s="418"/>
      <c r="BK377" s="471"/>
      <c r="BL377" s="418"/>
      <c r="BM377" s="418"/>
      <c r="BO377" s="472"/>
      <c r="BP377" s="418"/>
      <c r="BQ377" s="471"/>
      <c r="BR377" s="418"/>
      <c r="BS377" s="418"/>
      <c r="BU377" s="472"/>
      <c r="BV377" s="418"/>
      <c r="BW377" s="471"/>
      <c r="BX377" s="418"/>
      <c r="BY377" s="418"/>
      <c r="CA377" s="472"/>
    </row>
    <row r="378" spans="17:80" ht="26.15" customHeight="1">
      <c r="Q378" s="471"/>
      <c r="R378" s="418"/>
      <c r="S378" s="418"/>
      <c r="T378" s="418"/>
      <c r="U378" s="418"/>
      <c r="V378" s="418"/>
      <c r="W378" s="418"/>
      <c r="X378" s="418"/>
      <c r="Y378" s="418"/>
      <c r="Z378" s="418"/>
      <c r="AA378" s="418"/>
      <c r="AB378" s="418"/>
      <c r="AC378" s="418"/>
      <c r="AD378" s="418"/>
      <c r="AE378" s="418"/>
      <c r="AF378" s="418"/>
      <c r="AG378" s="471"/>
      <c r="AH378" s="418"/>
      <c r="AI378" s="418"/>
      <c r="AK378" s="418"/>
      <c r="AL378" s="418"/>
      <c r="AM378" s="471"/>
      <c r="AN378" s="418"/>
      <c r="AO378" s="418"/>
      <c r="AQ378" s="418"/>
      <c r="AR378" s="418"/>
      <c r="AS378" s="471"/>
      <c r="AT378" s="418"/>
      <c r="AU378" s="418"/>
      <c r="AX378" s="418"/>
      <c r="AY378" s="471"/>
      <c r="AZ378" s="418"/>
      <c r="BA378" s="418"/>
      <c r="BD378" s="418"/>
      <c r="BE378" s="471"/>
      <c r="BF378" s="418"/>
      <c r="BG378" s="418"/>
      <c r="BJ378" s="418"/>
      <c r="BK378" s="471"/>
      <c r="BL378" s="418"/>
      <c r="BM378" s="418"/>
      <c r="BP378" s="418"/>
      <c r="BQ378" s="471"/>
      <c r="BR378" s="418"/>
      <c r="BS378" s="418"/>
      <c r="BV378" s="418"/>
      <c r="BW378" s="471"/>
      <c r="BX378" s="418"/>
      <c r="BY378" s="418"/>
    </row>
    <row r="379" spans="17:80" ht="26.15" customHeight="1">
      <c r="Q379" s="471"/>
      <c r="R379" s="418"/>
      <c r="S379" s="418"/>
      <c r="T379" s="418"/>
      <c r="U379" s="418"/>
      <c r="V379" s="418"/>
      <c r="W379" s="418"/>
      <c r="X379" s="418"/>
      <c r="Y379" s="418"/>
      <c r="Z379" s="418"/>
      <c r="AA379" s="418"/>
      <c r="AB379" s="418"/>
      <c r="AC379" s="418"/>
      <c r="AD379" s="418"/>
      <c r="AE379" s="418"/>
      <c r="AF379" s="418"/>
      <c r="AG379" s="471"/>
      <c r="AH379" s="418"/>
      <c r="AI379" s="418"/>
      <c r="AK379" s="418"/>
      <c r="AL379" s="418"/>
      <c r="AM379" s="471"/>
      <c r="AN379" s="418"/>
      <c r="AO379" s="418"/>
      <c r="AQ379" s="418"/>
      <c r="AR379" s="418"/>
      <c r="AS379" s="471"/>
      <c r="AT379" s="418"/>
      <c r="AU379" s="418"/>
      <c r="AX379" s="418"/>
      <c r="AY379" s="471"/>
      <c r="AZ379" s="418"/>
      <c r="BA379" s="418"/>
      <c r="BC379" s="455"/>
      <c r="BD379" s="418"/>
      <c r="BE379" s="471"/>
      <c r="BF379" s="418"/>
      <c r="BG379" s="418"/>
      <c r="BI379" s="455"/>
      <c r="BJ379" s="418"/>
      <c r="BK379" s="471"/>
      <c r="BL379" s="418"/>
      <c r="BM379" s="418"/>
      <c r="BO379" s="455"/>
      <c r="BP379" s="418"/>
      <c r="BQ379" s="471"/>
      <c r="BR379" s="418"/>
      <c r="BS379" s="418"/>
      <c r="BU379" s="455"/>
      <c r="BV379" s="418"/>
      <c r="BW379" s="471"/>
      <c r="BX379" s="418"/>
      <c r="BY379" s="418"/>
      <c r="CA379" s="455"/>
      <c r="CB379" s="455"/>
    </row>
    <row r="380" spans="17:80" ht="26.15" customHeight="1">
      <c r="Q380" s="471"/>
      <c r="R380" s="418"/>
      <c r="S380" s="418"/>
      <c r="T380" s="418"/>
      <c r="U380" s="418"/>
      <c r="V380" s="418"/>
      <c r="W380" s="418"/>
      <c r="X380" s="418"/>
      <c r="Y380" s="418"/>
      <c r="Z380" s="418"/>
      <c r="AA380" s="418"/>
      <c r="AB380" s="418"/>
      <c r="AC380" s="418"/>
      <c r="AD380" s="418"/>
      <c r="AE380" s="418"/>
      <c r="AF380" s="418"/>
      <c r="AG380" s="471"/>
      <c r="AH380" s="418"/>
      <c r="AI380" s="418"/>
      <c r="AK380" s="418"/>
      <c r="AL380" s="418"/>
      <c r="AM380" s="471"/>
      <c r="AN380" s="418"/>
      <c r="AO380" s="418"/>
      <c r="AQ380" s="418"/>
      <c r="AR380" s="418"/>
      <c r="AS380" s="471"/>
      <c r="AT380" s="418"/>
      <c r="AU380" s="418"/>
      <c r="AX380" s="418"/>
      <c r="AY380" s="471"/>
      <c r="AZ380" s="418"/>
      <c r="BA380" s="418"/>
      <c r="BC380" s="375"/>
      <c r="BD380" s="418"/>
      <c r="BE380" s="471"/>
      <c r="BF380" s="418"/>
      <c r="BG380" s="418"/>
      <c r="BI380" s="375"/>
      <c r="BJ380" s="418"/>
      <c r="BK380" s="471"/>
      <c r="BL380" s="418"/>
      <c r="BM380" s="418"/>
      <c r="BO380" s="375"/>
      <c r="BP380" s="418"/>
      <c r="BQ380" s="471"/>
      <c r="BR380" s="418"/>
      <c r="BS380" s="418"/>
      <c r="BU380" s="375"/>
      <c r="BV380" s="418"/>
      <c r="BW380" s="471"/>
      <c r="BX380" s="418"/>
      <c r="BY380" s="418"/>
      <c r="CA380" s="375"/>
      <c r="CB380" s="417"/>
    </row>
    <row r="381" spans="17:80" ht="26.15" customHeight="1">
      <c r="Q381" s="471"/>
      <c r="R381" s="418"/>
      <c r="S381" s="418"/>
      <c r="T381" s="418"/>
      <c r="U381" s="418"/>
      <c r="V381" s="418"/>
      <c r="W381" s="418"/>
      <c r="X381" s="418"/>
      <c r="Y381" s="418"/>
      <c r="Z381" s="418"/>
      <c r="AA381" s="418"/>
      <c r="AB381" s="418"/>
      <c r="AC381" s="418"/>
      <c r="AD381" s="418"/>
      <c r="AE381" s="418"/>
      <c r="AF381" s="418"/>
      <c r="AG381" s="471"/>
      <c r="AH381" s="418"/>
      <c r="AI381" s="418"/>
      <c r="AK381" s="418"/>
      <c r="AL381" s="418"/>
      <c r="AM381" s="471"/>
      <c r="AN381" s="418"/>
      <c r="AO381" s="418"/>
      <c r="AQ381" s="418"/>
      <c r="AR381" s="418"/>
      <c r="AS381" s="471"/>
      <c r="AT381" s="418"/>
      <c r="AU381" s="418"/>
      <c r="AX381" s="418"/>
      <c r="AY381" s="471"/>
      <c r="AZ381" s="418"/>
      <c r="BA381" s="418"/>
      <c r="BC381" s="375"/>
      <c r="BD381" s="418"/>
      <c r="BE381" s="471"/>
      <c r="BF381" s="418"/>
      <c r="BG381" s="418"/>
      <c r="BI381" s="375"/>
      <c r="BJ381" s="418"/>
      <c r="BK381" s="471"/>
      <c r="BL381" s="418"/>
      <c r="BM381" s="418"/>
      <c r="BO381" s="375"/>
      <c r="BP381" s="418"/>
      <c r="BQ381" s="471"/>
      <c r="BR381" s="418"/>
      <c r="BS381" s="418"/>
      <c r="BU381" s="375"/>
      <c r="BV381" s="418"/>
      <c r="BW381" s="471"/>
      <c r="BX381" s="418"/>
      <c r="BY381" s="418"/>
      <c r="CA381" s="375"/>
      <c r="CB381" s="417"/>
    </row>
    <row r="382" spans="17:80" ht="26.15" customHeight="1">
      <c r="Q382" s="471"/>
      <c r="R382" s="418"/>
      <c r="S382" s="418"/>
      <c r="T382" s="418"/>
      <c r="U382" s="418"/>
      <c r="V382" s="418"/>
      <c r="W382" s="418"/>
      <c r="X382" s="418"/>
      <c r="Y382" s="418"/>
      <c r="Z382" s="418"/>
      <c r="AA382" s="418"/>
      <c r="AB382" s="418"/>
      <c r="AC382" s="418"/>
      <c r="AD382" s="418"/>
      <c r="AE382" s="418"/>
      <c r="AF382" s="418"/>
      <c r="AG382" s="471"/>
      <c r="AH382" s="418"/>
      <c r="AI382" s="418"/>
      <c r="AK382" s="418"/>
      <c r="AL382" s="418"/>
      <c r="AM382" s="471"/>
      <c r="AN382" s="418"/>
      <c r="AO382" s="418"/>
      <c r="AQ382" s="418"/>
      <c r="AR382" s="418"/>
      <c r="AS382" s="471"/>
      <c r="AT382" s="418"/>
      <c r="AU382" s="418"/>
      <c r="AX382" s="418"/>
      <c r="AY382" s="471"/>
      <c r="AZ382" s="418"/>
      <c r="BA382" s="418"/>
      <c r="BC382" s="375"/>
      <c r="BD382" s="418"/>
      <c r="BE382" s="471"/>
      <c r="BF382" s="418"/>
      <c r="BG382" s="418"/>
      <c r="BI382" s="375"/>
      <c r="BJ382" s="418"/>
      <c r="BK382" s="471"/>
      <c r="BL382" s="418"/>
      <c r="BM382" s="418"/>
      <c r="BO382" s="375"/>
      <c r="BP382" s="418"/>
      <c r="BQ382" s="471"/>
      <c r="BR382" s="418"/>
      <c r="BS382" s="418"/>
      <c r="BU382" s="375"/>
      <c r="BV382" s="418"/>
      <c r="BW382" s="471"/>
      <c r="BX382" s="418"/>
      <c r="BY382" s="418"/>
      <c r="CA382" s="375"/>
      <c r="CB382" s="417"/>
    </row>
    <row r="383" spans="17:80" ht="26.15" customHeight="1">
      <c r="Q383" s="471"/>
      <c r="R383" s="418"/>
      <c r="S383" s="418"/>
      <c r="T383" s="418"/>
      <c r="U383" s="418"/>
      <c r="V383" s="418"/>
      <c r="W383" s="418"/>
      <c r="X383" s="418"/>
      <c r="Y383" s="418"/>
      <c r="Z383" s="418"/>
      <c r="AA383" s="418"/>
      <c r="AB383" s="418"/>
      <c r="AC383" s="418"/>
      <c r="AD383" s="418"/>
      <c r="AE383" s="418"/>
      <c r="AF383" s="418"/>
      <c r="AG383" s="471"/>
      <c r="AH383" s="418"/>
      <c r="AI383" s="418"/>
      <c r="AK383" s="418"/>
      <c r="AL383" s="418"/>
      <c r="AM383" s="471"/>
      <c r="AN383" s="418"/>
      <c r="AO383" s="418"/>
      <c r="AQ383" s="418"/>
      <c r="AR383" s="418"/>
      <c r="AS383" s="471"/>
      <c r="AT383" s="418"/>
      <c r="AU383" s="418"/>
      <c r="AX383" s="418"/>
      <c r="AY383" s="471"/>
      <c r="AZ383" s="418"/>
      <c r="BA383" s="418"/>
      <c r="BC383" s="375"/>
      <c r="BD383" s="418"/>
      <c r="BE383" s="471"/>
      <c r="BF383" s="418"/>
      <c r="BG383" s="418"/>
      <c r="BI383" s="375"/>
      <c r="BJ383" s="418"/>
      <c r="BK383" s="471"/>
      <c r="BL383" s="418"/>
      <c r="BM383" s="418"/>
      <c r="BO383" s="375"/>
      <c r="BP383" s="418"/>
      <c r="BQ383" s="471"/>
      <c r="BR383" s="418"/>
      <c r="BS383" s="418"/>
      <c r="BU383" s="375"/>
      <c r="BV383" s="418"/>
      <c r="BW383" s="471"/>
      <c r="BX383" s="418"/>
      <c r="BY383" s="418"/>
      <c r="CA383" s="375"/>
      <c r="CB383" s="417"/>
    </row>
    <row r="384" spans="17:80" ht="26.15" customHeight="1">
      <c r="Q384" s="471"/>
      <c r="R384" s="418"/>
      <c r="S384" s="418"/>
      <c r="T384" s="418"/>
      <c r="U384" s="418"/>
      <c r="V384" s="418"/>
      <c r="W384" s="418"/>
      <c r="X384" s="418"/>
      <c r="Y384" s="418"/>
      <c r="Z384" s="418"/>
      <c r="AA384" s="418"/>
      <c r="AB384" s="418"/>
      <c r="AC384" s="418"/>
      <c r="AD384" s="418"/>
      <c r="AE384" s="418"/>
      <c r="AF384" s="418"/>
      <c r="AG384" s="471"/>
      <c r="AH384" s="418"/>
      <c r="AI384" s="418"/>
      <c r="AK384" s="418"/>
      <c r="AL384" s="418"/>
      <c r="AM384" s="471"/>
      <c r="AN384" s="418"/>
      <c r="AO384" s="418"/>
      <c r="AQ384" s="418"/>
      <c r="AR384" s="418"/>
      <c r="AS384" s="471"/>
      <c r="AT384" s="418"/>
      <c r="AU384" s="418"/>
      <c r="AX384" s="418"/>
      <c r="AY384" s="471"/>
      <c r="AZ384" s="418"/>
      <c r="BA384" s="418"/>
      <c r="BC384" s="375"/>
      <c r="BD384" s="418"/>
      <c r="BE384" s="471"/>
      <c r="BF384" s="418"/>
      <c r="BG384" s="418"/>
      <c r="BI384" s="375"/>
      <c r="BJ384" s="418"/>
      <c r="BK384" s="471"/>
      <c r="BL384" s="418"/>
      <c r="BM384" s="418"/>
      <c r="BO384" s="375"/>
      <c r="BP384" s="418"/>
      <c r="BQ384" s="471"/>
      <c r="BR384" s="418"/>
      <c r="BS384" s="418"/>
      <c r="BU384" s="375"/>
      <c r="BV384" s="418"/>
      <c r="BW384" s="471"/>
      <c r="BX384" s="418"/>
      <c r="BY384" s="418"/>
      <c r="CA384" s="375"/>
      <c r="CB384" s="417"/>
    </row>
    <row r="385" spans="34:80">
      <c r="AH385" s="382"/>
      <c r="AN385" s="382"/>
      <c r="AT385" s="382"/>
      <c r="AZ385" s="382"/>
      <c r="BC385" s="375"/>
      <c r="BF385" s="382"/>
      <c r="BI385" s="375"/>
      <c r="BL385" s="382"/>
      <c r="BO385" s="375"/>
      <c r="BR385" s="382"/>
      <c r="BU385" s="375"/>
      <c r="BX385" s="382"/>
      <c r="CA385" s="375"/>
      <c r="CB385" s="417"/>
    </row>
    <row r="386" spans="34:80">
      <c r="AH386" s="382"/>
      <c r="AN386" s="382"/>
      <c r="AT386" s="382"/>
      <c r="AZ386" s="382"/>
      <c r="BC386" s="375"/>
      <c r="BF386" s="382"/>
      <c r="BI386" s="375"/>
      <c r="BL386" s="382"/>
      <c r="BO386" s="375"/>
      <c r="BR386" s="382"/>
      <c r="BU386" s="375"/>
      <c r="BX386" s="382"/>
      <c r="CA386" s="375"/>
      <c r="CB386" s="417"/>
    </row>
  </sheetData>
  <mergeCells count="341">
    <mergeCell ref="B154:R154"/>
    <mergeCell ref="T154:AJ154"/>
    <mergeCell ref="B257:L257"/>
    <mergeCell ref="B258:L258"/>
    <mergeCell ref="B278:R278"/>
    <mergeCell ref="CB138:CB139"/>
    <mergeCell ref="CC138:CE138"/>
    <mergeCell ref="CH138:CH139"/>
    <mergeCell ref="CI138:CK138"/>
    <mergeCell ref="Z138:Z139"/>
    <mergeCell ref="AA138:AC138"/>
    <mergeCell ref="AF138:AF139"/>
    <mergeCell ref="AG138:AI138"/>
    <mergeCell ref="AL138:AL139"/>
    <mergeCell ref="AM138:AO138"/>
    <mergeCell ref="B138:B139"/>
    <mergeCell ref="C138:E138"/>
    <mergeCell ref="H138:H139"/>
    <mergeCell ref="I138:K138"/>
    <mergeCell ref="N138:N139"/>
    <mergeCell ref="O138:Q138"/>
    <mergeCell ref="T138:T139"/>
    <mergeCell ref="U138:W138"/>
    <mergeCell ref="CN138:CN139"/>
    <mergeCell ref="CO138:CQ138"/>
    <mergeCell ref="BJ138:BJ139"/>
    <mergeCell ref="BK138:BM138"/>
    <mergeCell ref="BP138:BP139"/>
    <mergeCell ref="BQ138:BS138"/>
    <mergeCell ref="BV138:BV139"/>
    <mergeCell ref="BW138:BY138"/>
    <mergeCell ref="AR138:AR139"/>
    <mergeCell ref="AS138:AU138"/>
    <mergeCell ref="AX138:AX139"/>
    <mergeCell ref="AY138:BA138"/>
    <mergeCell ref="BD138:BD139"/>
    <mergeCell ref="BE138:BG138"/>
    <mergeCell ref="T123:T124"/>
    <mergeCell ref="U123:W123"/>
    <mergeCell ref="Z123:Z124"/>
    <mergeCell ref="AA123:AC123"/>
    <mergeCell ref="AF123:AF124"/>
    <mergeCell ref="AG123:AI123"/>
    <mergeCell ref="CN123:CN124"/>
    <mergeCell ref="CO123:CQ123"/>
    <mergeCell ref="BW123:BY123"/>
    <mergeCell ref="CB123:CB124"/>
    <mergeCell ref="CC123:CE123"/>
    <mergeCell ref="CH123:CH124"/>
    <mergeCell ref="CI123:CK123"/>
    <mergeCell ref="BV123:BV124"/>
    <mergeCell ref="BD123:BD124"/>
    <mergeCell ref="BE123:BG123"/>
    <mergeCell ref="BJ123:BJ124"/>
    <mergeCell ref="BK123:BM123"/>
    <mergeCell ref="BP123:BP124"/>
    <mergeCell ref="BQ123:BS123"/>
    <mergeCell ref="AL123:AL124"/>
    <mergeCell ref="AM123:AO123"/>
    <mergeCell ref="AY123:BA123"/>
    <mergeCell ref="B123:B124"/>
    <mergeCell ref="C123:E123"/>
    <mergeCell ref="H123:H124"/>
    <mergeCell ref="I123:K123"/>
    <mergeCell ref="N123:N124"/>
    <mergeCell ref="O123:Q123"/>
    <mergeCell ref="CB108:CB109"/>
    <mergeCell ref="CC108:CE108"/>
    <mergeCell ref="CH108:CH109"/>
    <mergeCell ref="AR108:AR109"/>
    <mergeCell ref="AS108:AU108"/>
    <mergeCell ref="AX108:AX109"/>
    <mergeCell ref="AY108:BA108"/>
    <mergeCell ref="BD108:BD109"/>
    <mergeCell ref="BE108:BG108"/>
    <mergeCell ref="Z108:Z109"/>
    <mergeCell ref="AA108:AC108"/>
    <mergeCell ref="AF108:AF109"/>
    <mergeCell ref="AG108:AI108"/>
    <mergeCell ref="AL108:AL109"/>
    <mergeCell ref="AM108:AO108"/>
    <mergeCell ref="AR123:AR124"/>
    <mergeCell ref="AS123:AU123"/>
    <mergeCell ref="AX123:AX124"/>
    <mergeCell ref="CI108:CK108"/>
    <mergeCell ref="CN108:CN109"/>
    <mergeCell ref="CO108:CQ108"/>
    <mergeCell ref="BJ108:BJ109"/>
    <mergeCell ref="BK108:BM108"/>
    <mergeCell ref="BP108:BP109"/>
    <mergeCell ref="BQ108:BS108"/>
    <mergeCell ref="BV108:BV109"/>
    <mergeCell ref="BW108:BY108"/>
    <mergeCell ref="T108:T109"/>
    <mergeCell ref="U108:W108"/>
    <mergeCell ref="BV93:BV94"/>
    <mergeCell ref="BD93:BD94"/>
    <mergeCell ref="BE93:BG93"/>
    <mergeCell ref="BJ93:BJ94"/>
    <mergeCell ref="BK93:BM93"/>
    <mergeCell ref="BP93:BP94"/>
    <mergeCell ref="BQ93:BS93"/>
    <mergeCell ref="AL93:AL94"/>
    <mergeCell ref="AM93:AO93"/>
    <mergeCell ref="AY93:BA93"/>
    <mergeCell ref="T93:T94"/>
    <mergeCell ref="U93:W93"/>
    <mergeCell ref="Z93:Z94"/>
    <mergeCell ref="AA93:AC93"/>
    <mergeCell ref="AF93:AF94"/>
    <mergeCell ref="AG93:AI93"/>
    <mergeCell ref="B93:B94"/>
    <mergeCell ref="C93:E93"/>
    <mergeCell ref="H93:H94"/>
    <mergeCell ref="I93:K93"/>
    <mergeCell ref="N93:N94"/>
    <mergeCell ref="O93:Q93"/>
    <mergeCell ref="B108:B109"/>
    <mergeCell ref="C108:E108"/>
    <mergeCell ref="H108:H109"/>
    <mergeCell ref="I108:K108"/>
    <mergeCell ref="N108:N109"/>
    <mergeCell ref="O108:Q108"/>
    <mergeCell ref="AY78:BA78"/>
    <mergeCell ref="BD78:BD79"/>
    <mergeCell ref="BE78:BG78"/>
    <mergeCell ref="CN93:CN94"/>
    <mergeCell ref="CO93:CQ93"/>
    <mergeCell ref="BW93:BY93"/>
    <mergeCell ref="CB93:CB94"/>
    <mergeCell ref="CC93:CE93"/>
    <mergeCell ref="CH93:CH94"/>
    <mergeCell ref="CI93:CK93"/>
    <mergeCell ref="CI78:CK78"/>
    <mergeCell ref="CN78:CN79"/>
    <mergeCell ref="CO78:CQ78"/>
    <mergeCell ref="BJ78:BJ79"/>
    <mergeCell ref="BK78:BM78"/>
    <mergeCell ref="BP78:BP79"/>
    <mergeCell ref="BQ78:BS78"/>
    <mergeCell ref="BV78:BV79"/>
    <mergeCell ref="BW78:BY78"/>
    <mergeCell ref="CB78:CB79"/>
    <mergeCell ref="CC78:CE78"/>
    <mergeCell ref="CH78:CH79"/>
    <mergeCell ref="Z78:Z79"/>
    <mergeCell ref="AA78:AC78"/>
    <mergeCell ref="AF78:AF79"/>
    <mergeCell ref="AG78:AI78"/>
    <mergeCell ref="AL78:AL79"/>
    <mergeCell ref="AM78:AO78"/>
    <mergeCell ref="AR93:AR94"/>
    <mergeCell ref="AS93:AU93"/>
    <mergeCell ref="AX93:AX94"/>
    <mergeCell ref="AR78:AR79"/>
    <mergeCell ref="AS78:AU78"/>
    <mergeCell ref="AX78:AX79"/>
    <mergeCell ref="B78:B79"/>
    <mergeCell ref="C78:E78"/>
    <mergeCell ref="H78:H79"/>
    <mergeCell ref="I78:K78"/>
    <mergeCell ref="N78:N79"/>
    <mergeCell ref="O78:Q78"/>
    <mergeCell ref="T78:T79"/>
    <mergeCell ref="U78:W78"/>
    <mergeCell ref="BV63:BV64"/>
    <mergeCell ref="BD63:BD64"/>
    <mergeCell ref="BE63:BG63"/>
    <mergeCell ref="BJ63:BJ64"/>
    <mergeCell ref="BK63:BM63"/>
    <mergeCell ref="BP63:BP64"/>
    <mergeCell ref="BQ63:BS63"/>
    <mergeCell ref="AL63:AL64"/>
    <mergeCell ref="AM63:AO63"/>
    <mergeCell ref="AY63:BA63"/>
    <mergeCell ref="T63:T64"/>
    <mergeCell ref="U63:W63"/>
    <mergeCell ref="Z63:Z64"/>
    <mergeCell ref="AA63:AC63"/>
    <mergeCell ref="AF63:AF64"/>
    <mergeCell ref="AG63:AI63"/>
    <mergeCell ref="CN63:CN64"/>
    <mergeCell ref="CO63:CQ63"/>
    <mergeCell ref="BW63:BY63"/>
    <mergeCell ref="CB63:CB64"/>
    <mergeCell ref="CC63:CE63"/>
    <mergeCell ref="CH63:CH64"/>
    <mergeCell ref="CI63:CK63"/>
    <mergeCell ref="B63:B64"/>
    <mergeCell ref="C63:E63"/>
    <mergeCell ref="H63:H64"/>
    <mergeCell ref="I63:K63"/>
    <mergeCell ref="N63:N64"/>
    <mergeCell ref="O63:Q63"/>
    <mergeCell ref="Z48:Z49"/>
    <mergeCell ref="AA48:AC48"/>
    <mergeCell ref="AF48:AF49"/>
    <mergeCell ref="AG48:AI48"/>
    <mergeCell ref="AL48:AL49"/>
    <mergeCell ref="AM48:AO48"/>
    <mergeCell ref="AR63:AR64"/>
    <mergeCell ref="AS63:AU63"/>
    <mergeCell ref="AX63:AX64"/>
    <mergeCell ref="AR48:AR49"/>
    <mergeCell ref="AS48:AU48"/>
    <mergeCell ref="AX48:AX49"/>
    <mergeCell ref="BJ33:BJ34"/>
    <mergeCell ref="BK33:BM33"/>
    <mergeCell ref="BP33:BP34"/>
    <mergeCell ref="BQ33:BS33"/>
    <mergeCell ref="AL33:AL34"/>
    <mergeCell ref="AM33:AO33"/>
    <mergeCell ref="CI48:CK48"/>
    <mergeCell ref="CN48:CN49"/>
    <mergeCell ref="CO48:CQ48"/>
    <mergeCell ref="BJ48:BJ49"/>
    <mergeCell ref="BK48:BM48"/>
    <mergeCell ref="BP48:BP49"/>
    <mergeCell ref="BQ48:BS48"/>
    <mergeCell ref="BV48:BV49"/>
    <mergeCell ref="BW48:BY48"/>
    <mergeCell ref="CB48:CB49"/>
    <mergeCell ref="CC48:CE48"/>
    <mergeCell ref="CH48:CH49"/>
    <mergeCell ref="AY48:BA48"/>
    <mergeCell ref="BD48:BD49"/>
    <mergeCell ref="BE48:BG48"/>
    <mergeCell ref="T33:T34"/>
    <mergeCell ref="U33:W33"/>
    <mergeCell ref="Z33:Z34"/>
    <mergeCell ref="AA33:AC33"/>
    <mergeCell ref="AF33:AF34"/>
    <mergeCell ref="AG33:AI33"/>
    <mergeCell ref="CN33:CN34"/>
    <mergeCell ref="CO33:CQ33"/>
    <mergeCell ref="B48:B49"/>
    <mergeCell ref="C48:E48"/>
    <mergeCell ref="H48:H49"/>
    <mergeCell ref="I48:K48"/>
    <mergeCell ref="N48:N49"/>
    <mergeCell ref="O48:Q48"/>
    <mergeCell ref="T48:T49"/>
    <mergeCell ref="U48:W48"/>
    <mergeCell ref="BV33:BV34"/>
    <mergeCell ref="BW33:BY33"/>
    <mergeCell ref="CB33:CB34"/>
    <mergeCell ref="CC33:CE33"/>
    <mergeCell ref="CH33:CH34"/>
    <mergeCell ref="CI33:CK33"/>
    <mergeCell ref="BD33:BD34"/>
    <mergeCell ref="BE33:BG33"/>
    <mergeCell ref="AA18:AC18"/>
    <mergeCell ref="AF18:AF19"/>
    <mergeCell ref="AG18:AI18"/>
    <mergeCell ref="AL18:AL19"/>
    <mergeCell ref="AM18:AO18"/>
    <mergeCell ref="AR33:AR34"/>
    <mergeCell ref="AS33:AU33"/>
    <mergeCell ref="AX33:AX34"/>
    <mergeCell ref="AY33:BA33"/>
    <mergeCell ref="CN18:CN19"/>
    <mergeCell ref="CO18:CQ18"/>
    <mergeCell ref="BJ18:BJ19"/>
    <mergeCell ref="BK18:BM18"/>
    <mergeCell ref="BP18:BP19"/>
    <mergeCell ref="BQ18:BS18"/>
    <mergeCell ref="BV18:BV19"/>
    <mergeCell ref="BW18:BY18"/>
    <mergeCell ref="B33:B34"/>
    <mergeCell ref="C33:E33"/>
    <mergeCell ref="H33:H34"/>
    <mergeCell ref="I33:K33"/>
    <mergeCell ref="N33:N34"/>
    <mergeCell ref="O33:Q33"/>
    <mergeCell ref="CB18:CB19"/>
    <mergeCell ref="CC18:CE18"/>
    <mergeCell ref="CH18:CH19"/>
    <mergeCell ref="AR18:AR19"/>
    <mergeCell ref="AS18:AU18"/>
    <mergeCell ref="AX18:AX19"/>
    <mergeCell ref="AY18:BA18"/>
    <mergeCell ref="BD18:BD19"/>
    <mergeCell ref="BE18:BG18"/>
    <mergeCell ref="Z18:Z19"/>
    <mergeCell ref="CO3:CQ3"/>
    <mergeCell ref="B18:B19"/>
    <mergeCell ref="C18:E18"/>
    <mergeCell ref="H18:H19"/>
    <mergeCell ref="I18:K18"/>
    <mergeCell ref="N18:N19"/>
    <mergeCell ref="O18:Q18"/>
    <mergeCell ref="T18:T19"/>
    <mergeCell ref="U18:W18"/>
    <mergeCell ref="BV3:BV4"/>
    <mergeCell ref="BW3:BY3"/>
    <mergeCell ref="CB3:CB4"/>
    <mergeCell ref="CC3:CE3"/>
    <mergeCell ref="CH3:CH4"/>
    <mergeCell ref="CI3:CK3"/>
    <mergeCell ref="BD3:BD4"/>
    <mergeCell ref="BE3:BG3"/>
    <mergeCell ref="BJ3:BJ4"/>
    <mergeCell ref="BK3:BM3"/>
    <mergeCell ref="BP3:BP4"/>
    <mergeCell ref="BQ3:BS3"/>
    <mergeCell ref="AL3:AL4"/>
    <mergeCell ref="AM3:AO3"/>
    <mergeCell ref="CI18:CK18"/>
    <mergeCell ref="AX3:AX4"/>
    <mergeCell ref="AY3:BA3"/>
    <mergeCell ref="T3:T4"/>
    <mergeCell ref="U3:W3"/>
    <mergeCell ref="Z3:Z4"/>
    <mergeCell ref="AA3:AC3"/>
    <mergeCell ref="AF3:AF4"/>
    <mergeCell ref="AG3:AI3"/>
    <mergeCell ref="CN3:CN4"/>
    <mergeCell ref="BV1:BZ1"/>
    <mergeCell ref="CB1:CF1"/>
    <mergeCell ref="CH1:CL1"/>
    <mergeCell ref="CN1:CR1"/>
    <mergeCell ref="B3:B4"/>
    <mergeCell ref="C3:E3"/>
    <mergeCell ref="H3:H4"/>
    <mergeCell ref="I3:K3"/>
    <mergeCell ref="N3:N4"/>
    <mergeCell ref="O3:Q3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AR3:AR4"/>
    <mergeCell ref="AS3:A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Lembar Kerja</vt:lpstr>
      <vt:lpstr>Riwayat Revisi</vt:lpstr>
      <vt:lpstr>ID</vt:lpstr>
      <vt:lpstr>Uncertainty Budget</vt:lpstr>
      <vt:lpstr>Lembar Penyelia</vt:lpstr>
      <vt:lpstr>LHK</vt:lpstr>
      <vt:lpstr>LH</vt:lpstr>
      <vt:lpstr>SERTIFIKAT</vt:lpstr>
      <vt:lpstr>Data Standar</vt:lpstr>
      <vt:lpstr>DB Thermo</vt:lpstr>
      <vt:lpstr>DB Kelistrikan</vt:lpstr>
      <vt:lpstr>Data Alat</vt:lpstr>
      <vt:lpstr>ID!Print_Area</vt:lpstr>
      <vt:lpstr>'Lembar Kerja'!Print_Area</vt:lpstr>
      <vt:lpstr>'Lembar Penyelia'!Print_Area</vt:lpstr>
      <vt:lpstr>LH!Print_Area</vt:lpstr>
      <vt:lpstr>LHK!Print_Area</vt:lpstr>
      <vt:lpstr>SERTIFIKAT!Print_Area</vt:lpstr>
      <vt:lpstr>'Uncertainty Budget'!Print_Area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Lab incu 2017</dc:title>
  <dc:subject/>
  <dc:creator>BPFK Banjarbaru 2017</dc:creator>
  <cp:keywords/>
  <dc:description/>
  <cp:lastModifiedBy>User 1 lenovo</cp:lastModifiedBy>
  <cp:revision/>
  <cp:lastPrinted>2023-06-09T03:11:32Z</cp:lastPrinted>
  <dcterms:created xsi:type="dcterms:W3CDTF">2002-06-28T14:09:00Z</dcterms:created>
  <dcterms:modified xsi:type="dcterms:W3CDTF">2023-09-23T15:30:03Z</dcterms:modified>
  <cp:category>LAB SUHU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