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D9A6D861-F29B-4850-B326-734B232DB013}" xr6:coauthVersionLast="47" xr6:coauthVersionMax="47" xr10:uidLastSave="{00000000-0000-0000-0000-000000000000}"/>
  <bookViews>
    <workbookView xWindow="-110" yWindow="-110" windowWidth="19420" windowHeight="10300" tabRatio="685" activeTab="2" xr2:uid="{00000000-000D-0000-FFFF-FFFF00000000}"/>
  </bookViews>
  <sheets>
    <sheet name="ID" sheetId="19" r:id="rId1"/>
    <sheet name="LH" sheetId="27" r:id="rId2"/>
    <sheet name="UB" sheetId="9" r:id="rId3"/>
    <sheet name="Data LUX Meter" sheetId="38" r:id="rId4"/>
    <sheet name="DB ESA 2023" sheetId="40" r:id="rId5"/>
    <sheet name="DB Thermohygro" sheetId="41" r:id="rId6"/>
    <sheet name="Cetik - Cetik" sheetId="20" r:id="rId7"/>
    <sheet name="SERTIFIKAT" sheetId="42" r:id="rId8"/>
    <sheet name="Riwayat Revisi" sheetId="32" state="hidden" r:id="rId9"/>
    <sheet name="Lembar Kerja" sheetId="39" r:id="rId10"/>
    <sheet name="LP" sheetId="17" r:id="rId11"/>
    <sheet name="SURAT KETERANGAN" sheetId="35" state="hidden" r:id="rId12"/>
    <sheet name="DB SERTIFIKAT" sheetId="36" state="hidden" r:id="rId13"/>
    <sheet name="KESIMPULAN" sheetId="26" r:id="rId14"/>
  </sheets>
  <externalReferences>
    <externalReference r:id="rId15"/>
    <externalReference r:id="rId16"/>
  </externalReferences>
  <definedNames>
    <definedName name="_xlnm.Print_Area" localSheetId="0">ID!$A$1:$K$58</definedName>
    <definedName name="_xlnm.Print_Area" localSheetId="9">'Lembar Kerja'!$A$1:$M$61</definedName>
    <definedName name="_xlnm.Print_Area" localSheetId="1">LH!$A$1:$L$66</definedName>
    <definedName name="_xlnm.Print_Area" localSheetId="10">LP!$A$1:$K$60</definedName>
    <definedName name="_xlnm.Print_Area" localSheetId="7">SERTIFIKAT!$A$1:$F$33</definedName>
    <definedName name="_xlnm.Print_Area" localSheetId="11">'SURAT KETERANGAN'!$A$1:$G$33</definedName>
    <definedName name="_xlnm.Print_Area" localSheetId="2">UB!$A$1:$K$34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8" l="1"/>
  <c r="D49" i="38"/>
  <c r="AE38" i="38"/>
  <c r="B45" i="27"/>
  <c r="B44" i="27"/>
  <c r="D17" i="42"/>
  <c r="D21" i="42"/>
  <c r="D20" i="42"/>
  <c r="D19" i="42"/>
  <c r="B54" i="42" s="1"/>
  <c r="B55" i="42" s="1"/>
  <c r="D18" i="42"/>
  <c r="D10" i="42"/>
  <c r="D9" i="42"/>
  <c r="D8" i="42"/>
  <c r="D4" i="42"/>
  <c r="D23" i="42" s="1"/>
  <c r="B45" i="42"/>
  <c r="B46" i="42" s="1"/>
  <c r="B43" i="42"/>
  <c r="E26" i="42"/>
  <c r="A17" i="42"/>
  <c r="D12" i="42"/>
  <c r="F11" i="42"/>
  <c r="D11" i="42"/>
  <c r="B59" i="42" l="1"/>
  <c r="B58" i="42"/>
  <c r="B57" i="42" s="1"/>
  <c r="A2" i="42"/>
  <c r="B50" i="42" s="1"/>
  <c r="A20" i="42" l="1"/>
  <c r="A19" i="42"/>
  <c r="A21" i="42"/>
  <c r="A22" i="42"/>
  <c r="J16" i="27" l="1"/>
  <c r="I16" i="27"/>
  <c r="G16" i="27"/>
  <c r="E16" i="27"/>
  <c r="U276" i="40"/>
  <c r="T276" i="40"/>
  <c r="R276" i="40"/>
  <c r="P276" i="40"/>
  <c r="G15" i="27"/>
  <c r="I15" i="27"/>
  <c r="J15" i="27"/>
  <c r="E15" i="27"/>
  <c r="J14" i="27"/>
  <c r="G14" i="27"/>
  <c r="I14" i="27"/>
  <c r="E14" i="27"/>
  <c r="AA382" i="41"/>
  <c r="Z382" i="41"/>
  <c r="X382" i="41"/>
  <c r="V382" i="41"/>
  <c r="AA381" i="41"/>
  <c r="Z381" i="41"/>
  <c r="X381" i="41"/>
  <c r="V381" i="41"/>
  <c r="A389" i="41"/>
  <c r="A410" i="41" s="1"/>
  <c r="A373" i="41" s="1"/>
  <c r="G373" i="41" s="1"/>
  <c r="A298" i="40"/>
  <c r="V378" i="41" l="1"/>
  <c r="V377" i="41"/>
  <c r="K409" i="41"/>
  <c r="J409" i="41"/>
  <c r="I409" i="41"/>
  <c r="K408" i="41"/>
  <c r="J408" i="41"/>
  <c r="I408" i="41"/>
  <c r="K407" i="41"/>
  <c r="J407" i="41"/>
  <c r="I407" i="41"/>
  <c r="K406" i="41"/>
  <c r="J406" i="41"/>
  <c r="I406" i="41"/>
  <c r="K405" i="41"/>
  <c r="J405" i="41"/>
  <c r="I405" i="41"/>
  <c r="K404" i="41"/>
  <c r="J404" i="41"/>
  <c r="I404" i="41"/>
  <c r="K403" i="41"/>
  <c r="J403" i="41"/>
  <c r="I403" i="41"/>
  <c r="K402" i="41"/>
  <c r="J402" i="41"/>
  <c r="I402" i="41"/>
  <c r="K401" i="41"/>
  <c r="J401" i="41"/>
  <c r="I401" i="41"/>
  <c r="K400" i="41"/>
  <c r="J400" i="41"/>
  <c r="I400" i="41"/>
  <c r="K399" i="41"/>
  <c r="J399" i="41"/>
  <c r="I399" i="41"/>
  <c r="K398" i="41"/>
  <c r="J398" i="41"/>
  <c r="I398" i="41"/>
  <c r="K397" i="41"/>
  <c r="J397" i="41"/>
  <c r="I397" i="41"/>
  <c r="K396" i="41"/>
  <c r="J396" i="41"/>
  <c r="I396" i="41"/>
  <c r="K395" i="41"/>
  <c r="J395" i="41"/>
  <c r="I395" i="41"/>
  <c r="K394" i="41"/>
  <c r="J394" i="41"/>
  <c r="I394" i="41"/>
  <c r="K393" i="41"/>
  <c r="J393" i="41"/>
  <c r="I393" i="41"/>
  <c r="K392" i="41"/>
  <c r="J392" i="41"/>
  <c r="I392" i="41"/>
  <c r="K391" i="41"/>
  <c r="J391" i="41"/>
  <c r="I391" i="41"/>
  <c r="K390" i="41"/>
  <c r="J390" i="41"/>
  <c r="I390" i="41"/>
  <c r="B373" i="41"/>
  <c r="H373" i="41" s="1"/>
  <c r="V371" i="41"/>
  <c r="U371" i="41"/>
  <c r="T371" i="41"/>
  <c r="S371" i="41"/>
  <c r="N371" i="41"/>
  <c r="M371" i="41"/>
  <c r="L371" i="41"/>
  <c r="K371" i="41"/>
  <c r="F371" i="41"/>
  <c r="E371" i="41"/>
  <c r="D371" i="41"/>
  <c r="C371" i="41"/>
  <c r="V370" i="41"/>
  <c r="U370" i="41"/>
  <c r="T370" i="41"/>
  <c r="S370" i="41"/>
  <c r="N370" i="41"/>
  <c r="M370" i="41"/>
  <c r="L370" i="41"/>
  <c r="K370" i="41"/>
  <c r="F370" i="41"/>
  <c r="E370" i="41"/>
  <c r="D370" i="41"/>
  <c r="C370" i="41"/>
  <c r="V369" i="41"/>
  <c r="U369" i="41"/>
  <c r="T369" i="41"/>
  <c r="S369" i="41"/>
  <c r="N369" i="41"/>
  <c r="M369" i="41"/>
  <c r="L369" i="41"/>
  <c r="K369" i="41"/>
  <c r="F369" i="41"/>
  <c r="E369" i="41"/>
  <c r="D369" i="41"/>
  <c r="C369" i="41"/>
  <c r="V368" i="41"/>
  <c r="U368" i="41"/>
  <c r="T368" i="41"/>
  <c r="S368" i="41"/>
  <c r="N368" i="41"/>
  <c r="M368" i="41"/>
  <c r="L368" i="41"/>
  <c r="K368" i="41"/>
  <c r="F368" i="41"/>
  <c r="E368" i="41"/>
  <c r="D368" i="41"/>
  <c r="C368" i="41"/>
  <c r="V367" i="41"/>
  <c r="U367" i="41"/>
  <c r="T367" i="41"/>
  <c r="S367" i="41"/>
  <c r="N367" i="41"/>
  <c r="M367" i="41"/>
  <c r="L367" i="41"/>
  <c r="K367" i="41"/>
  <c r="F367" i="41"/>
  <c r="E367" i="41"/>
  <c r="D367" i="41"/>
  <c r="C367" i="41"/>
  <c r="U366" i="41"/>
  <c r="T366" i="41"/>
  <c r="S366" i="41"/>
  <c r="M366" i="41"/>
  <c r="L366" i="41"/>
  <c r="K366" i="41"/>
  <c r="E366" i="41"/>
  <c r="D366" i="41"/>
  <c r="C366" i="41"/>
  <c r="U365" i="41"/>
  <c r="T365" i="41"/>
  <c r="S365" i="41"/>
  <c r="M365" i="41"/>
  <c r="L365" i="41"/>
  <c r="K365" i="41"/>
  <c r="E365" i="41"/>
  <c r="D365" i="41"/>
  <c r="C365" i="41"/>
  <c r="U364" i="41"/>
  <c r="S364" i="41"/>
  <c r="M364" i="41"/>
  <c r="L364" i="41"/>
  <c r="K364" i="41"/>
  <c r="E364" i="41"/>
  <c r="D364" i="41"/>
  <c r="C364" i="41"/>
  <c r="V363" i="41"/>
  <c r="U363" i="41"/>
  <c r="T363" i="41"/>
  <c r="S363" i="41"/>
  <c r="N363" i="41"/>
  <c r="M363" i="41"/>
  <c r="L363" i="41"/>
  <c r="K363" i="41"/>
  <c r="F363" i="41"/>
  <c r="E363" i="41"/>
  <c r="D363" i="41"/>
  <c r="C363" i="41"/>
  <c r="V362" i="41"/>
  <c r="U362" i="41"/>
  <c r="T362" i="41"/>
  <c r="S362" i="41"/>
  <c r="N362" i="41"/>
  <c r="M362" i="41"/>
  <c r="L362" i="41"/>
  <c r="K362" i="41"/>
  <c r="F362" i="41"/>
  <c r="E362" i="41"/>
  <c r="D362" i="41"/>
  <c r="C362" i="41"/>
  <c r="V361" i="41"/>
  <c r="U361" i="41"/>
  <c r="T361" i="41"/>
  <c r="S361" i="41"/>
  <c r="N361" i="41"/>
  <c r="M361" i="41"/>
  <c r="L361" i="41"/>
  <c r="K361" i="41"/>
  <c r="F361" i="41"/>
  <c r="E361" i="41"/>
  <c r="D361" i="41"/>
  <c r="C361" i="41"/>
  <c r="V360" i="41"/>
  <c r="U360" i="41"/>
  <c r="T360" i="41"/>
  <c r="S360" i="41"/>
  <c r="N360" i="41"/>
  <c r="M360" i="41"/>
  <c r="L360" i="41"/>
  <c r="K360" i="41"/>
  <c r="F360" i="41"/>
  <c r="E360" i="41"/>
  <c r="D360" i="41"/>
  <c r="C360" i="41"/>
  <c r="V359" i="41"/>
  <c r="U359" i="41"/>
  <c r="T359" i="41"/>
  <c r="S359" i="41"/>
  <c r="N359" i="41"/>
  <c r="M359" i="41"/>
  <c r="L359" i="41"/>
  <c r="K359" i="41"/>
  <c r="F359" i="41"/>
  <c r="E359" i="41"/>
  <c r="D359" i="41"/>
  <c r="C359" i="41"/>
  <c r="V358" i="41"/>
  <c r="U358" i="41"/>
  <c r="T358" i="41"/>
  <c r="S358" i="41"/>
  <c r="N358" i="41"/>
  <c r="M358" i="41"/>
  <c r="L358" i="41"/>
  <c r="K358" i="41"/>
  <c r="F358" i="41"/>
  <c r="E358" i="41"/>
  <c r="D358" i="41"/>
  <c r="C358" i="41"/>
  <c r="V357" i="41"/>
  <c r="U357" i="41"/>
  <c r="T357" i="41"/>
  <c r="S357" i="41"/>
  <c r="N357" i="41"/>
  <c r="M357" i="41"/>
  <c r="L357" i="41"/>
  <c r="K357" i="41"/>
  <c r="F357" i="41"/>
  <c r="E357" i="41"/>
  <c r="D357" i="41"/>
  <c r="C357" i="41"/>
  <c r="V356" i="41"/>
  <c r="U356" i="41"/>
  <c r="T356" i="41"/>
  <c r="S356" i="41"/>
  <c r="N356" i="41"/>
  <c r="M356" i="41"/>
  <c r="L356" i="41"/>
  <c r="K356" i="41"/>
  <c r="F356" i="41"/>
  <c r="E356" i="41"/>
  <c r="D356" i="41"/>
  <c r="C356" i="41"/>
  <c r="V355" i="41"/>
  <c r="U355" i="41"/>
  <c r="T355" i="41"/>
  <c r="S355" i="41"/>
  <c r="N355" i="41"/>
  <c r="M355" i="41"/>
  <c r="L355" i="41"/>
  <c r="K355" i="41"/>
  <c r="F355" i="41"/>
  <c r="E355" i="41"/>
  <c r="D355" i="41"/>
  <c r="C355" i="41"/>
  <c r="V354" i="41"/>
  <c r="U354" i="41"/>
  <c r="T354" i="41"/>
  <c r="S354" i="41"/>
  <c r="N354" i="41"/>
  <c r="M354" i="41"/>
  <c r="L354" i="41"/>
  <c r="K354" i="41"/>
  <c r="F354" i="41"/>
  <c r="E354" i="41"/>
  <c r="D354" i="41"/>
  <c r="C354" i="41"/>
  <c r="V353" i="41"/>
  <c r="U353" i="41"/>
  <c r="T353" i="41"/>
  <c r="S353" i="41"/>
  <c r="N353" i="41"/>
  <c r="M353" i="41"/>
  <c r="L353" i="41"/>
  <c r="K353" i="41"/>
  <c r="F353" i="41"/>
  <c r="E353" i="41"/>
  <c r="D353" i="41"/>
  <c r="C353" i="41"/>
  <c r="V352" i="41"/>
  <c r="U352" i="41"/>
  <c r="T352" i="41"/>
  <c r="S352" i="41"/>
  <c r="N352" i="41"/>
  <c r="M352" i="41"/>
  <c r="L352" i="41"/>
  <c r="K352" i="41"/>
  <c r="F352" i="41"/>
  <c r="E352" i="41"/>
  <c r="D352" i="41"/>
  <c r="C352" i="41"/>
  <c r="V350" i="41"/>
  <c r="U350" i="41"/>
  <c r="T350" i="41"/>
  <c r="S350" i="41"/>
  <c r="N350" i="41"/>
  <c r="M350" i="41"/>
  <c r="L350" i="41"/>
  <c r="K350" i="41"/>
  <c r="F350" i="41"/>
  <c r="E350" i="41"/>
  <c r="D350" i="41"/>
  <c r="C350" i="41"/>
  <c r="V349" i="41"/>
  <c r="U349" i="41"/>
  <c r="T349" i="41"/>
  <c r="S349" i="41"/>
  <c r="N349" i="41"/>
  <c r="M349" i="41"/>
  <c r="L349" i="41"/>
  <c r="K349" i="41"/>
  <c r="F349" i="41"/>
  <c r="E349" i="41"/>
  <c r="D349" i="41"/>
  <c r="C349" i="41"/>
  <c r="V348" i="41"/>
  <c r="U348" i="41"/>
  <c r="T348" i="41"/>
  <c r="S348" i="41"/>
  <c r="N348" i="41"/>
  <c r="M348" i="41"/>
  <c r="L348" i="41"/>
  <c r="K348" i="41"/>
  <c r="F348" i="41"/>
  <c r="E348" i="41"/>
  <c r="D348" i="41"/>
  <c r="C348" i="41"/>
  <c r="V347" i="41"/>
  <c r="U347" i="41"/>
  <c r="T347" i="41"/>
  <c r="S347" i="41"/>
  <c r="N347" i="41"/>
  <c r="M347" i="41"/>
  <c r="L347" i="41"/>
  <c r="K347" i="41"/>
  <c r="F347" i="41"/>
  <c r="E347" i="41"/>
  <c r="D347" i="41"/>
  <c r="C347" i="41"/>
  <c r="V346" i="41"/>
  <c r="U346" i="41"/>
  <c r="T346" i="41"/>
  <c r="S346" i="41"/>
  <c r="N346" i="41"/>
  <c r="M346" i="41"/>
  <c r="L346" i="41"/>
  <c r="K346" i="41"/>
  <c r="F346" i="41"/>
  <c r="E346" i="41"/>
  <c r="D346" i="41"/>
  <c r="C346" i="41"/>
  <c r="U345" i="41"/>
  <c r="T345" i="41"/>
  <c r="S345" i="41"/>
  <c r="M345" i="41"/>
  <c r="L345" i="41"/>
  <c r="K345" i="41"/>
  <c r="E345" i="41"/>
  <c r="D345" i="41"/>
  <c r="C345" i="41"/>
  <c r="U344" i="41"/>
  <c r="T344" i="41"/>
  <c r="S344" i="41"/>
  <c r="M344" i="41"/>
  <c r="L344" i="41"/>
  <c r="K344" i="41"/>
  <c r="E344" i="41"/>
  <c r="D344" i="41"/>
  <c r="C344" i="41"/>
  <c r="U343" i="41"/>
  <c r="T343" i="41"/>
  <c r="S343" i="41"/>
  <c r="M343" i="41"/>
  <c r="L343" i="41"/>
  <c r="K343" i="41"/>
  <c r="E343" i="41"/>
  <c r="D343" i="41"/>
  <c r="C343" i="41"/>
  <c r="V342" i="41"/>
  <c r="U342" i="41"/>
  <c r="T342" i="41"/>
  <c r="S342" i="41"/>
  <c r="N342" i="41"/>
  <c r="M342" i="41"/>
  <c r="L342" i="41"/>
  <c r="K342" i="41"/>
  <c r="F342" i="41"/>
  <c r="E342" i="41"/>
  <c r="D342" i="41"/>
  <c r="C342" i="41"/>
  <c r="V341" i="41"/>
  <c r="U341" i="41"/>
  <c r="T341" i="41"/>
  <c r="S341" i="41"/>
  <c r="N341" i="41"/>
  <c r="M341" i="41"/>
  <c r="L341" i="41"/>
  <c r="K341" i="41"/>
  <c r="F341" i="41"/>
  <c r="E341" i="41"/>
  <c r="D341" i="41"/>
  <c r="C341" i="41"/>
  <c r="V340" i="41"/>
  <c r="U340" i="41"/>
  <c r="T340" i="41"/>
  <c r="S340" i="41"/>
  <c r="N340" i="41"/>
  <c r="M340" i="41"/>
  <c r="L340" i="41"/>
  <c r="K340" i="41"/>
  <c r="F340" i="41"/>
  <c r="E340" i="41"/>
  <c r="D340" i="41"/>
  <c r="C340" i="41"/>
  <c r="V339" i="41"/>
  <c r="U339" i="41"/>
  <c r="T339" i="41"/>
  <c r="S339" i="41"/>
  <c r="N339" i="41"/>
  <c r="M339" i="41"/>
  <c r="L339" i="41"/>
  <c r="K339" i="41"/>
  <c r="F339" i="41"/>
  <c r="E339" i="41"/>
  <c r="D339" i="41"/>
  <c r="C339" i="41"/>
  <c r="V338" i="41"/>
  <c r="U338" i="41"/>
  <c r="T338" i="41"/>
  <c r="S338" i="41"/>
  <c r="N338" i="41"/>
  <c r="M338" i="41"/>
  <c r="L338" i="41"/>
  <c r="K338" i="41"/>
  <c r="F338" i="41"/>
  <c r="E338" i="41"/>
  <c r="D338" i="41"/>
  <c r="C338" i="41"/>
  <c r="V337" i="41"/>
  <c r="U337" i="41"/>
  <c r="T337" i="41"/>
  <c r="S337" i="41"/>
  <c r="N337" i="41"/>
  <c r="M337" i="41"/>
  <c r="L337" i="41"/>
  <c r="K337" i="41"/>
  <c r="F337" i="41"/>
  <c r="E337" i="41"/>
  <c r="D337" i="41"/>
  <c r="C337" i="41"/>
  <c r="V336" i="41"/>
  <c r="U336" i="41"/>
  <c r="T336" i="41"/>
  <c r="S336" i="41"/>
  <c r="N336" i="41"/>
  <c r="M336" i="41"/>
  <c r="L336" i="41"/>
  <c r="K336" i="41"/>
  <c r="F336" i="41"/>
  <c r="E336" i="41"/>
  <c r="D336" i="41"/>
  <c r="C336" i="41"/>
  <c r="V335" i="41"/>
  <c r="U335" i="41"/>
  <c r="T335" i="41"/>
  <c r="S335" i="41"/>
  <c r="N335" i="41"/>
  <c r="M335" i="41"/>
  <c r="L335" i="41"/>
  <c r="K335" i="41"/>
  <c r="F335" i="41"/>
  <c r="E335" i="41"/>
  <c r="D335" i="41"/>
  <c r="C335" i="41"/>
  <c r="V334" i="41"/>
  <c r="U334" i="41"/>
  <c r="T334" i="41"/>
  <c r="S334" i="41"/>
  <c r="N334" i="41"/>
  <c r="M334" i="41"/>
  <c r="L334" i="41"/>
  <c r="K334" i="41"/>
  <c r="F334" i="41"/>
  <c r="E334" i="41"/>
  <c r="D334" i="41"/>
  <c r="C334" i="41"/>
  <c r="V333" i="41"/>
  <c r="U333" i="41"/>
  <c r="T333" i="41"/>
  <c r="S333" i="41"/>
  <c r="N333" i="41"/>
  <c r="M333" i="41"/>
  <c r="L333" i="41"/>
  <c r="K333" i="41"/>
  <c r="F333" i="41"/>
  <c r="E333" i="41"/>
  <c r="D333" i="41"/>
  <c r="C333" i="41"/>
  <c r="V332" i="41"/>
  <c r="U332" i="41"/>
  <c r="T332" i="41"/>
  <c r="S332" i="41"/>
  <c r="N332" i="41"/>
  <c r="M332" i="41"/>
  <c r="L332" i="41"/>
  <c r="K332" i="41"/>
  <c r="F332" i="41"/>
  <c r="E332" i="41"/>
  <c r="D332" i="41"/>
  <c r="C332" i="41"/>
  <c r="V331" i="41"/>
  <c r="U331" i="41"/>
  <c r="T331" i="41"/>
  <c r="S331" i="41"/>
  <c r="N331" i="41"/>
  <c r="M331" i="41"/>
  <c r="L331" i="41"/>
  <c r="K331" i="41"/>
  <c r="F331" i="41"/>
  <c r="E331" i="41"/>
  <c r="D331" i="41"/>
  <c r="C331" i="41"/>
  <c r="V329" i="41"/>
  <c r="U329" i="41"/>
  <c r="T329" i="41"/>
  <c r="S329" i="41"/>
  <c r="N329" i="41"/>
  <c r="M329" i="41"/>
  <c r="L329" i="41"/>
  <c r="K329" i="41"/>
  <c r="F329" i="41"/>
  <c r="E329" i="41"/>
  <c r="D329" i="41"/>
  <c r="C329" i="41"/>
  <c r="V328" i="41"/>
  <c r="U328" i="41"/>
  <c r="T328" i="41"/>
  <c r="S328" i="41"/>
  <c r="N328" i="41"/>
  <c r="M328" i="41"/>
  <c r="L328" i="41"/>
  <c r="K328" i="41"/>
  <c r="F328" i="41"/>
  <c r="E328" i="41"/>
  <c r="D328" i="41"/>
  <c r="C328" i="41"/>
  <c r="V327" i="41"/>
  <c r="U327" i="41"/>
  <c r="T327" i="41"/>
  <c r="S327" i="41"/>
  <c r="N327" i="41"/>
  <c r="M327" i="41"/>
  <c r="L327" i="41"/>
  <c r="K327" i="41"/>
  <c r="F327" i="41"/>
  <c r="E327" i="41"/>
  <c r="D327" i="41"/>
  <c r="C327" i="41"/>
  <c r="V326" i="41"/>
  <c r="U326" i="41"/>
  <c r="T326" i="41"/>
  <c r="S326" i="41"/>
  <c r="N326" i="41"/>
  <c r="M326" i="41"/>
  <c r="L326" i="41"/>
  <c r="K326" i="41"/>
  <c r="F326" i="41"/>
  <c r="E326" i="41"/>
  <c r="D326" i="41"/>
  <c r="C326" i="41"/>
  <c r="V325" i="41"/>
  <c r="U325" i="41"/>
  <c r="T325" i="41"/>
  <c r="S325" i="41"/>
  <c r="N325" i="41"/>
  <c r="M325" i="41"/>
  <c r="L325" i="41"/>
  <c r="K325" i="41"/>
  <c r="F325" i="41"/>
  <c r="E325" i="41"/>
  <c r="D325" i="41"/>
  <c r="C325" i="41"/>
  <c r="U324" i="41"/>
  <c r="T324" i="41"/>
  <c r="S324" i="41"/>
  <c r="M324" i="41"/>
  <c r="L324" i="41"/>
  <c r="K324" i="41"/>
  <c r="E324" i="41"/>
  <c r="D324" i="41"/>
  <c r="C324" i="41"/>
  <c r="U323" i="41"/>
  <c r="T323" i="41"/>
  <c r="S323" i="41"/>
  <c r="M323" i="41"/>
  <c r="L323" i="41"/>
  <c r="K323" i="41"/>
  <c r="E323" i="41"/>
  <c r="D323" i="41"/>
  <c r="C323" i="41"/>
  <c r="U322" i="41"/>
  <c r="T322" i="41"/>
  <c r="S322" i="41"/>
  <c r="M322" i="41"/>
  <c r="L322" i="41"/>
  <c r="K322" i="41"/>
  <c r="E322" i="41"/>
  <c r="D322" i="41"/>
  <c r="C322" i="41"/>
  <c r="V321" i="41"/>
  <c r="U321" i="41"/>
  <c r="T321" i="41"/>
  <c r="S321" i="41"/>
  <c r="N321" i="41"/>
  <c r="M321" i="41"/>
  <c r="L321" i="41"/>
  <c r="K321" i="41"/>
  <c r="F321" i="41"/>
  <c r="E321" i="41"/>
  <c r="D321" i="41"/>
  <c r="C321" i="41"/>
  <c r="V320" i="41"/>
  <c r="U320" i="41"/>
  <c r="T320" i="41"/>
  <c r="S320" i="41"/>
  <c r="N320" i="41"/>
  <c r="M320" i="41"/>
  <c r="L320" i="41"/>
  <c r="K320" i="41"/>
  <c r="F320" i="41"/>
  <c r="E320" i="41"/>
  <c r="D320" i="41"/>
  <c r="C320" i="41"/>
  <c r="V319" i="41"/>
  <c r="U319" i="41"/>
  <c r="T319" i="41"/>
  <c r="S319" i="41"/>
  <c r="N319" i="41"/>
  <c r="M319" i="41"/>
  <c r="L319" i="41"/>
  <c r="K319" i="41"/>
  <c r="F319" i="41"/>
  <c r="E319" i="41"/>
  <c r="D319" i="41"/>
  <c r="C319" i="41"/>
  <c r="V318" i="41"/>
  <c r="U318" i="41"/>
  <c r="T318" i="41"/>
  <c r="S318" i="41"/>
  <c r="N318" i="41"/>
  <c r="M318" i="41"/>
  <c r="L318" i="41"/>
  <c r="K318" i="41"/>
  <c r="F318" i="41"/>
  <c r="E318" i="41"/>
  <c r="D318" i="41"/>
  <c r="C318" i="41"/>
  <c r="V317" i="41"/>
  <c r="U317" i="41"/>
  <c r="T317" i="41"/>
  <c r="S317" i="41"/>
  <c r="N317" i="41"/>
  <c r="M317" i="41"/>
  <c r="L317" i="41"/>
  <c r="K317" i="41"/>
  <c r="F317" i="41"/>
  <c r="E317" i="41"/>
  <c r="D317" i="41"/>
  <c r="C317" i="41"/>
  <c r="V316" i="41"/>
  <c r="U316" i="41"/>
  <c r="T316" i="41"/>
  <c r="S316" i="41"/>
  <c r="N316" i="41"/>
  <c r="M316" i="41"/>
  <c r="L316" i="41"/>
  <c r="K316" i="41"/>
  <c r="F316" i="41"/>
  <c r="E316" i="41"/>
  <c r="D316" i="41"/>
  <c r="C316" i="41"/>
  <c r="V315" i="41"/>
  <c r="U315" i="41"/>
  <c r="T315" i="41"/>
  <c r="S315" i="41"/>
  <c r="N315" i="41"/>
  <c r="M315" i="41"/>
  <c r="L315" i="41"/>
  <c r="K315" i="41"/>
  <c r="F315" i="41"/>
  <c r="E315" i="41"/>
  <c r="D315" i="41"/>
  <c r="C315" i="41"/>
  <c r="V314" i="41"/>
  <c r="U314" i="41"/>
  <c r="T314" i="41"/>
  <c r="S314" i="41"/>
  <c r="N314" i="41"/>
  <c r="M314" i="41"/>
  <c r="L314" i="41"/>
  <c r="K314" i="41"/>
  <c r="F314" i="41"/>
  <c r="E314" i="41"/>
  <c r="D314" i="41"/>
  <c r="C314" i="41"/>
  <c r="V313" i="41"/>
  <c r="U313" i="41"/>
  <c r="T313" i="41"/>
  <c r="S313" i="41"/>
  <c r="N313" i="41"/>
  <c r="M313" i="41"/>
  <c r="L313" i="41"/>
  <c r="K313" i="41"/>
  <c r="F313" i="41"/>
  <c r="E313" i="41"/>
  <c r="D313" i="41"/>
  <c r="C313" i="41"/>
  <c r="V312" i="41"/>
  <c r="U312" i="41"/>
  <c r="T312" i="41"/>
  <c r="S312" i="41"/>
  <c r="N312" i="41"/>
  <c r="M312" i="41"/>
  <c r="L312" i="41"/>
  <c r="K312" i="41"/>
  <c r="F312" i="41"/>
  <c r="E312" i="41"/>
  <c r="D312" i="41"/>
  <c r="C312" i="41"/>
  <c r="V311" i="41"/>
  <c r="U311" i="41"/>
  <c r="T311" i="41"/>
  <c r="S311" i="41"/>
  <c r="N311" i="41"/>
  <c r="M311" i="41"/>
  <c r="L311" i="41"/>
  <c r="K311" i="41"/>
  <c r="F311" i="41"/>
  <c r="E311" i="41"/>
  <c r="D311" i="41"/>
  <c r="C311" i="41"/>
  <c r="V310" i="41"/>
  <c r="U310" i="41"/>
  <c r="T310" i="41"/>
  <c r="S310" i="41"/>
  <c r="N310" i="41"/>
  <c r="M310" i="41"/>
  <c r="L310" i="41"/>
  <c r="K310" i="41"/>
  <c r="F310" i="41"/>
  <c r="E310" i="41"/>
  <c r="D310" i="41"/>
  <c r="C310" i="41"/>
  <c r="V308" i="41"/>
  <c r="U308" i="41"/>
  <c r="T308" i="41"/>
  <c r="S308" i="41"/>
  <c r="N308" i="41"/>
  <c r="M308" i="41"/>
  <c r="L308" i="41"/>
  <c r="K308" i="41"/>
  <c r="F308" i="41"/>
  <c r="E308" i="41"/>
  <c r="D308" i="41"/>
  <c r="C308" i="41"/>
  <c r="V307" i="41"/>
  <c r="U307" i="41"/>
  <c r="T307" i="41"/>
  <c r="S307" i="41"/>
  <c r="N307" i="41"/>
  <c r="M307" i="41"/>
  <c r="L307" i="41"/>
  <c r="K307" i="41"/>
  <c r="F307" i="41"/>
  <c r="E307" i="41"/>
  <c r="D307" i="41"/>
  <c r="C307" i="41"/>
  <c r="V306" i="41"/>
  <c r="U306" i="41"/>
  <c r="T306" i="41"/>
  <c r="S306" i="41"/>
  <c r="N306" i="41"/>
  <c r="M306" i="41"/>
  <c r="L306" i="41"/>
  <c r="K306" i="41"/>
  <c r="F306" i="41"/>
  <c r="E306" i="41"/>
  <c r="D306" i="41"/>
  <c r="C306" i="41"/>
  <c r="V305" i="41"/>
  <c r="U305" i="41"/>
  <c r="T305" i="41"/>
  <c r="S305" i="41"/>
  <c r="N305" i="41"/>
  <c r="M305" i="41"/>
  <c r="L305" i="41"/>
  <c r="K305" i="41"/>
  <c r="F305" i="41"/>
  <c r="E305" i="41"/>
  <c r="D305" i="41"/>
  <c r="C305" i="41"/>
  <c r="V304" i="41"/>
  <c r="U304" i="41"/>
  <c r="T304" i="41"/>
  <c r="S304" i="41"/>
  <c r="N304" i="41"/>
  <c r="M304" i="41"/>
  <c r="L304" i="41"/>
  <c r="K304" i="41"/>
  <c r="F304" i="41"/>
  <c r="E304" i="41"/>
  <c r="D304" i="41"/>
  <c r="C304" i="41"/>
  <c r="U303" i="41"/>
  <c r="T303" i="41"/>
  <c r="S303" i="41"/>
  <c r="M303" i="41"/>
  <c r="L303" i="41"/>
  <c r="K303" i="41"/>
  <c r="E303" i="41"/>
  <c r="D303" i="41"/>
  <c r="C303" i="41"/>
  <c r="U302" i="41"/>
  <c r="T302" i="41"/>
  <c r="S302" i="41"/>
  <c r="M302" i="41"/>
  <c r="L302" i="41"/>
  <c r="K302" i="41"/>
  <c r="E302" i="41"/>
  <c r="D302" i="41"/>
  <c r="C302" i="41"/>
  <c r="U301" i="41"/>
  <c r="T301" i="41"/>
  <c r="S301" i="41"/>
  <c r="M301" i="41"/>
  <c r="L301" i="41"/>
  <c r="K301" i="41"/>
  <c r="E301" i="41"/>
  <c r="D301" i="41"/>
  <c r="C301" i="41"/>
  <c r="V300" i="41"/>
  <c r="U300" i="41"/>
  <c r="T300" i="41"/>
  <c r="S300" i="41"/>
  <c r="N300" i="41"/>
  <c r="M300" i="41"/>
  <c r="L300" i="41"/>
  <c r="K300" i="41"/>
  <c r="F300" i="41"/>
  <c r="E300" i="41"/>
  <c r="D300" i="41"/>
  <c r="C300" i="41"/>
  <c r="V299" i="41"/>
  <c r="U299" i="41"/>
  <c r="T299" i="41"/>
  <c r="S299" i="41"/>
  <c r="N299" i="41"/>
  <c r="M299" i="41"/>
  <c r="L299" i="41"/>
  <c r="K299" i="41"/>
  <c r="F299" i="41"/>
  <c r="E299" i="41"/>
  <c r="D299" i="41"/>
  <c r="C299" i="41"/>
  <c r="V298" i="41"/>
  <c r="U298" i="41"/>
  <c r="T298" i="41"/>
  <c r="S298" i="41"/>
  <c r="N298" i="41"/>
  <c r="M298" i="41"/>
  <c r="L298" i="41"/>
  <c r="K298" i="41"/>
  <c r="F298" i="41"/>
  <c r="E298" i="41"/>
  <c r="D298" i="41"/>
  <c r="C298" i="41"/>
  <c r="V297" i="41"/>
  <c r="U297" i="41"/>
  <c r="T297" i="41"/>
  <c r="S297" i="41"/>
  <c r="N297" i="41"/>
  <c r="M297" i="41"/>
  <c r="L297" i="41"/>
  <c r="K297" i="41"/>
  <c r="F297" i="41"/>
  <c r="E297" i="41"/>
  <c r="D297" i="41"/>
  <c r="C297" i="41"/>
  <c r="V296" i="41"/>
  <c r="U296" i="41"/>
  <c r="T296" i="41"/>
  <c r="S296" i="41"/>
  <c r="N296" i="41"/>
  <c r="M296" i="41"/>
  <c r="L296" i="41"/>
  <c r="K296" i="41"/>
  <c r="F296" i="41"/>
  <c r="E296" i="41"/>
  <c r="D296" i="41"/>
  <c r="C296" i="41"/>
  <c r="V295" i="41"/>
  <c r="U295" i="41"/>
  <c r="T295" i="41"/>
  <c r="S295" i="41"/>
  <c r="N295" i="41"/>
  <c r="M295" i="41"/>
  <c r="L295" i="41"/>
  <c r="K295" i="41"/>
  <c r="F295" i="41"/>
  <c r="E295" i="41"/>
  <c r="D295" i="41"/>
  <c r="C295" i="41"/>
  <c r="V294" i="41"/>
  <c r="U294" i="41"/>
  <c r="T294" i="41"/>
  <c r="S294" i="41"/>
  <c r="N294" i="41"/>
  <c r="M294" i="41"/>
  <c r="L294" i="41"/>
  <c r="K294" i="41"/>
  <c r="F294" i="41"/>
  <c r="E294" i="41"/>
  <c r="D294" i="41"/>
  <c r="C294" i="41"/>
  <c r="V293" i="41"/>
  <c r="U293" i="41"/>
  <c r="T293" i="41"/>
  <c r="S293" i="41"/>
  <c r="N293" i="41"/>
  <c r="M293" i="41"/>
  <c r="L293" i="41"/>
  <c r="K293" i="41"/>
  <c r="F293" i="41"/>
  <c r="E293" i="41"/>
  <c r="D293" i="41"/>
  <c r="C293" i="41"/>
  <c r="Z292" i="41"/>
  <c r="V292" i="41"/>
  <c r="U292" i="41"/>
  <c r="T292" i="41"/>
  <c r="S292" i="41"/>
  <c r="N292" i="41"/>
  <c r="M292" i="41"/>
  <c r="L292" i="41"/>
  <c r="K292" i="41"/>
  <c r="F292" i="41"/>
  <c r="E292" i="41"/>
  <c r="D292" i="41"/>
  <c r="C292" i="41"/>
  <c r="Z291" i="41"/>
  <c r="V291" i="41"/>
  <c r="U291" i="41"/>
  <c r="T291" i="41"/>
  <c r="S291" i="41"/>
  <c r="N291" i="41"/>
  <c r="M291" i="41"/>
  <c r="L291" i="41"/>
  <c r="K291" i="41"/>
  <c r="F291" i="41"/>
  <c r="E291" i="41"/>
  <c r="D291" i="41"/>
  <c r="C291" i="41"/>
  <c r="Z290" i="41"/>
  <c r="V290" i="41"/>
  <c r="U290" i="41"/>
  <c r="T290" i="41"/>
  <c r="S290" i="41"/>
  <c r="N290" i="41"/>
  <c r="M290" i="41"/>
  <c r="L290" i="41"/>
  <c r="K290" i="41"/>
  <c r="F290" i="41"/>
  <c r="E290" i="41"/>
  <c r="D290" i="41"/>
  <c r="C290" i="41"/>
  <c r="Z289" i="41"/>
  <c r="V289" i="41"/>
  <c r="U289" i="41"/>
  <c r="T289" i="41"/>
  <c r="S289" i="41"/>
  <c r="N289" i="41"/>
  <c r="M289" i="41"/>
  <c r="L289" i="41"/>
  <c r="K289" i="41"/>
  <c r="F289" i="41"/>
  <c r="E289" i="41"/>
  <c r="D289" i="41"/>
  <c r="C289" i="41"/>
  <c r="Z288" i="41"/>
  <c r="Z287" i="41"/>
  <c r="V287" i="41"/>
  <c r="U287" i="41"/>
  <c r="T287" i="41"/>
  <c r="S287" i="41"/>
  <c r="N287" i="41"/>
  <c r="M287" i="41"/>
  <c r="L287" i="41"/>
  <c r="K287" i="41"/>
  <c r="F287" i="41"/>
  <c r="E287" i="41"/>
  <c r="D287" i="41"/>
  <c r="C287" i="41"/>
  <c r="Z286" i="41"/>
  <c r="V286" i="41"/>
  <c r="U286" i="41"/>
  <c r="T286" i="41"/>
  <c r="S286" i="41"/>
  <c r="N286" i="41"/>
  <c r="M286" i="41"/>
  <c r="L286" i="41"/>
  <c r="K286" i="41"/>
  <c r="F286" i="41"/>
  <c r="E286" i="41"/>
  <c r="D286" i="41"/>
  <c r="C286" i="41"/>
  <c r="Z285" i="41"/>
  <c r="V285" i="41"/>
  <c r="U285" i="41"/>
  <c r="T285" i="41"/>
  <c r="S285" i="41"/>
  <c r="N285" i="41"/>
  <c r="M285" i="41"/>
  <c r="L285" i="41"/>
  <c r="K285" i="41"/>
  <c r="F285" i="41"/>
  <c r="E285" i="41"/>
  <c r="D285" i="41"/>
  <c r="C285" i="41"/>
  <c r="Z284" i="41"/>
  <c r="V284" i="41"/>
  <c r="U284" i="41"/>
  <c r="T284" i="41"/>
  <c r="S284" i="41"/>
  <c r="N284" i="41"/>
  <c r="M284" i="41"/>
  <c r="L284" i="41"/>
  <c r="K284" i="41"/>
  <c r="F284" i="41"/>
  <c r="E284" i="41"/>
  <c r="D284" i="41"/>
  <c r="C284" i="41"/>
  <c r="Z283" i="41"/>
  <c r="V283" i="41"/>
  <c r="U283" i="41"/>
  <c r="T283" i="41"/>
  <c r="S283" i="41"/>
  <c r="N283" i="41"/>
  <c r="M283" i="41"/>
  <c r="L283" i="41"/>
  <c r="K283" i="41"/>
  <c r="F283" i="41"/>
  <c r="E283" i="41"/>
  <c r="D283" i="41"/>
  <c r="C283" i="41"/>
  <c r="Z282" i="41"/>
  <c r="U282" i="41"/>
  <c r="T282" i="41"/>
  <c r="S282" i="41"/>
  <c r="M282" i="41"/>
  <c r="L282" i="41"/>
  <c r="K282" i="41"/>
  <c r="E282" i="41"/>
  <c r="D282" i="41"/>
  <c r="C282" i="41"/>
  <c r="Z281" i="41"/>
  <c r="U281" i="41"/>
  <c r="T281" i="41"/>
  <c r="S281" i="41"/>
  <c r="M281" i="41"/>
  <c r="L281" i="41"/>
  <c r="K281" i="41"/>
  <c r="E281" i="41"/>
  <c r="D281" i="41"/>
  <c r="C281" i="41"/>
  <c r="Z280" i="41"/>
  <c r="U280" i="41"/>
  <c r="T280" i="41"/>
  <c r="S280" i="41"/>
  <c r="M280" i="41"/>
  <c r="L280" i="41"/>
  <c r="K280" i="41"/>
  <c r="E280" i="41"/>
  <c r="D280" i="41"/>
  <c r="C280" i="41"/>
  <c r="Z279" i="41"/>
  <c r="V279" i="41"/>
  <c r="U279" i="41"/>
  <c r="T279" i="41"/>
  <c r="S279" i="41"/>
  <c r="N279" i="41"/>
  <c r="M279" i="41"/>
  <c r="L279" i="41"/>
  <c r="K279" i="41"/>
  <c r="F279" i="41"/>
  <c r="E279" i="41"/>
  <c r="D279" i="41"/>
  <c r="C279" i="41"/>
  <c r="Z278" i="41"/>
  <c r="V278" i="41"/>
  <c r="U278" i="41"/>
  <c r="T278" i="41"/>
  <c r="S278" i="41"/>
  <c r="N278" i="41"/>
  <c r="M278" i="41"/>
  <c r="L278" i="41"/>
  <c r="K278" i="41"/>
  <c r="F278" i="41"/>
  <c r="E278" i="41"/>
  <c r="D278" i="41"/>
  <c r="C278" i="41"/>
  <c r="Z277" i="41"/>
  <c r="V277" i="41"/>
  <c r="U277" i="41"/>
  <c r="T277" i="41"/>
  <c r="S277" i="41"/>
  <c r="N277" i="41"/>
  <c r="M277" i="41"/>
  <c r="L277" i="41"/>
  <c r="K277" i="41"/>
  <c r="F277" i="41"/>
  <c r="E277" i="41"/>
  <c r="D277" i="41"/>
  <c r="C277" i="41"/>
  <c r="Z276" i="41"/>
  <c r="V276" i="41"/>
  <c r="U276" i="41"/>
  <c r="T276" i="41"/>
  <c r="S276" i="41"/>
  <c r="N276" i="41"/>
  <c r="M276" i="41"/>
  <c r="L276" i="41"/>
  <c r="K276" i="41"/>
  <c r="F276" i="41"/>
  <c r="E276" i="41"/>
  <c r="D276" i="41"/>
  <c r="C276" i="41"/>
  <c r="Z275" i="41"/>
  <c r="V275" i="41"/>
  <c r="U275" i="41"/>
  <c r="T275" i="41"/>
  <c r="S275" i="41"/>
  <c r="N275" i="41"/>
  <c r="M275" i="41"/>
  <c r="L275" i="41"/>
  <c r="K275" i="41"/>
  <c r="F275" i="41"/>
  <c r="E275" i="41"/>
  <c r="D275" i="41"/>
  <c r="C275" i="41"/>
  <c r="Z274" i="41"/>
  <c r="V274" i="41"/>
  <c r="U274" i="41"/>
  <c r="T274" i="41"/>
  <c r="S274" i="41"/>
  <c r="N274" i="41"/>
  <c r="M274" i="41"/>
  <c r="L274" i="41"/>
  <c r="K274" i="41"/>
  <c r="F274" i="41"/>
  <c r="E274" i="41"/>
  <c r="D274" i="41"/>
  <c r="C274" i="41"/>
  <c r="Z273" i="41"/>
  <c r="V273" i="41"/>
  <c r="U273" i="41"/>
  <c r="T273" i="41"/>
  <c r="S273" i="41"/>
  <c r="N273" i="41"/>
  <c r="M273" i="41"/>
  <c r="L273" i="41"/>
  <c r="K273" i="41"/>
  <c r="F273" i="41"/>
  <c r="E273" i="41"/>
  <c r="D273" i="41"/>
  <c r="C273" i="41"/>
  <c r="V272" i="41"/>
  <c r="U272" i="41"/>
  <c r="T272" i="41"/>
  <c r="S272" i="41"/>
  <c r="N272" i="41"/>
  <c r="M272" i="41"/>
  <c r="L272" i="41"/>
  <c r="K272" i="41"/>
  <c r="F272" i="41"/>
  <c r="E272" i="41"/>
  <c r="D272" i="41"/>
  <c r="C272" i="41"/>
  <c r="V271" i="41"/>
  <c r="U271" i="41"/>
  <c r="T271" i="41"/>
  <c r="S271" i="41"/>
  <c r="N271" i="41"/>
  <c r="M271" i="41"/>
  <c r="L271" i="41"/>
  <c r="K271" i="41"/>
  <c r="F271" i="41"/>
  <c r="E271" i="41"/>
  <c r="D271" i="41"/>
  <c r="C271" i="41"/>
  <c r="V270" i="41"/>
  <c r="U270" i="41"/>
  <c r="T270" i="41"/>
  <c r="S270" i="41"/>
  <c r="N270" i="41"/>
  <c r="M270" i="41"/>
  <c r="L270" i="41"/>
  <c r="K270" i="41"/>
  <c r="F270" i="41"/>
  <c r="E270" i="41"/>
  <c r="D270" i="41"/>
  <c r="C270" i="41"/>
  <c r="V269" i="41"/>
  <c r="U269" i="41"/>
  <c r="T269" i="41"/>
  <c r="S269" i="41"/>
  <c r="N269" i="41"/>
  <c r="M269" i="41"/>
  <c r="L269" i="41"/>
  <c r="K269" i="41"/>
  <c r="F269" i="41"/>
  <c r="E269" i="41"/>
  <c r="D269" i="41"/>
  <c r="C269" i="41"/>
  <c r="Z268" i="41"/>
  <c r="V268" i="41"/>
  <c r="U268" i="41"/>
  <c r="T268" i="41"/>
  <c r="S268" i="41"/>
  <c r="N268" i="41"/>
  <c r="M268" i="41"/>
  <c r="L268" i="41"/>
  <c r="K268" i="41"/>
  <c r="F268" i="41"/>
  <c r="E268" i="41"/>
  <c r="D268" i="41"/>
  <c r="C268" i="41"/>
  <c r="Z267" i="41"/>
  <c r="Z266" i="41"/>
  <c r="V266" i="41"/>
  <c r="U266" i="41"/>
  <c r="T266" i="41"/>
  <c r="S266" i="41"/>
  <c r="N266" i="41"/>
  <c r="M266" i="41"/>
  <c r="L266" i="41"/>
  <c r="K266" i="41"/>
  <c r="F266" i="41"/>
  <c r="E266" i="41"/>
  <c r="D266" i="41"/>
  <c r="C266" i="41"/>
  <c r="Z265" i="41"/>
  <c r="V265" i="41"/>
  <c r="U265" i="41"/>
  <c r="T265" i="41"/>
  <c r="S265" i="41"/>
  <c r="N265" i="41"/>
  <c r="M265" i="41"/>
  <c r="L265" i="41"/>
  <c r="K265" i="41"/>
  <c r="F265" i="41"/>
  <c r="E265" i="41"/>
  <c r="D265" i="41"/>
  <c r="C265" i="41"/>
  <c r="Z264" i="41"/>
  <c r="V264" i="41"/>
  <c r="U264" i="41"/>
  <c r="T264" i="41"/>
  <c r="S264" i="41"/>
  <c r="N264" i="41"/>
  <c r="M264" i="41"/>
  <c r="L264" i="41"/>
  <c r="K264" i="41"/>
  <c r="F264" i="41"/>
  <c r="E264" i="41"/>
  <c r="D264" i="41"/>
  <c r="C264" i="41"/>
  <c r="Z263" i="41"/>
  <c r="V263" i="41"/>
  <c r="U263" i="41"/>
  <c r="T263" i="41"/>
  <c r="S263" i="41"/>
  <c r="N263" i="41"/>
  <c r="M263" i="41"/>
  <c r="L263" i="41"/>
  <c r="K263" i="41"/>
  <c r="F263" i="41"/>
  <c r="E263" i="41"/>
  <c r="D263" i="41"/>
  <c r="C263" i="41"/>
  <c r="Z262" i="41"/>
  <c r="V262" i="41"/>
  <c r="U262" i="41"/>
  <c r="T262" i="41"/>
  <c r="S262" i="41"/>
  <c r="N262" i="41"/>
  <c r="M262" i="41"/>
  <c r="L262" i="41"/>
  <c r="K262" i="41"/>
  <c r="F262" i="41"/>
  <c r="E262" i="41"/>
  <c r="D262" i="41"/>
  <c r="C262" i="41"/>
  <c r="Z261" i="41"/>
  <c r="U261" i="41"/>
  <c r="T261" i="41"/>
  <c r="S261" i="41"/>
  <c r="M261" i="41"/>
  <c r="L261" i="41"/>
  <c r="K261" i="41"/>
  <c r="E261" i="41"/>
  <c r="D261" i="41"/>
  <c r="C261" i="41"/>
  <c r="Z260" i="41"/>
  <c r="U260" i="41"/>
  <c r="T260" i="41"/>
  <c r="S260" i="41"/>
  <c r="M260" i="41"/>
  <c r="L260" i="41"/>
  <c r="K260" i="41"/>
  <c r="E260" i="41"/>
  <c r="D260" i="41"/>
  <c r="C260" i="41"/>
  <c r="Z259" i="41"/>
  <c r="U259" i="41"/>
  <c r="T259" i="41"/>
  <c r="S259" i="41"/>
  <c r="M259" i="41"/>
  <c r="L259" i="41"/>
  <c r="K259" i="41"/>
  <c r="E259" i="41"/>
  <c r="D259" i="41"/>
  <c r="C259" i="41"/>
  <c r="Z258" i="41"/>
  <c r="V258" i="41"/>
  <c r="U258" i="41"/>
  <c r="T258" i="41"/>
  <c r="S258" i="41"/>
  <c r="N258" i="41"/>
  <c r="M258" i="41"/>
  <c r="L258" i="41"/>
  <c r="K258" i="41"/>
  <c r="F258" i="41"/>
  <c r="E258" i="41"/>
  <c r="D258" i="41"/>
  <c r="C258" i="41"/>
  <c r="Z257" i="41"/>
  <c r="V257" i="41"/>
  <c r="U257" i="41"/>
  <c r="T257" i="41"/>
  <c r="S257" i="41"/>
  <c r="N257" i="41"/>
  <c r="M257" i="41"/>
  <c r="L257" i="41"/>
  <c r="K257" i="41"/>
  <c r="F257" i="41"/>
  <c r="E257" i="41"/>
  <c r="D257" i="41"/>
  <c r="C257" i="41"/>
  <c r="Z256" i="41"/>
  <c r="V256" i="41"/>
  <c r="U256" i="41"/>
  <c r="T256" i="41"/>
  <c r="S256" i="41"/>
  <c r="N256" i="41"/>
  <c r="M256" i="41"/>
  <c r="L256" i="41"/>
  <c r="K256" i="41"/>
  <c r="F256" i="41"/>
  <c r="E256" i="41"/>
  <c r="D256" i="41"/>
  <c r="C256" i="41"/>
  <c r="Z255" i="41"/>
  <c r="V255" i="41"/>
  <c r="U255" i="41"/>
  <c r="T255" i="41"/>
  <c r="S255" i="41"/>
  <c r="N255" i="41"/>
  <c r="M255" i="41"/>
  <c r="L255" i="41"/>
  <c r="K255" i="41"/>
  <c r="F255" i="41"/>
  <c r="E255" i="41"/>
  <c r="D255" i="41"/>
  <c r="C255" i="41"/>
  <c r="Z254" i="41"/>
  <c r="V254" i="41"/>
  <c r="U254" i="41"/>
  <c r="T254" i="41"/>
  <c r="S254" i="41"/>
  <c r="N254" i="41"/>
  <c r="M254" i="41"/>
  <c r="L254" i="41"/>
  <c r="K254" i="41"/>
  <c r="F254" i="41"/>
  <c r="E254" i="41"/>
  <c r="D254" i="41"/>
  <c r="C254" i="41"/>
  <c r="Z253" i="41"/>
  <c r="V253" i="41"/>
  <c r="U253" i="41"/>
  <c r="T253" i="41"/>
  <c r="S253" i="41"/>
  <c r="N253" i="41"/>
  <c r="M253" i="41"/>
  <c r="L253" i="41"/>
  <c r="K253" i="41"/>
  <c r="F253" i="41"/>
  <c r="E253" i="41"/>
  <c r="D253" i="41"/>
  <c r="C253" i="41"/>
  <c r="Z252" i="41"/>
  <c r="V252" i="41"/>
  <c r="U252" i="41"/>
  <c r="T252" i="41"/>
  <c r="S252" i="41"/>
  <c r="N252" i="41"/>
  <c r="M252" i="41"/>
  <c r="L252" i="41"/>
  <c r="K252" i="41"/>
  <c r="F252" i="41"/>
  <c r="E252" i="41"/>
  <c r="D252" i="41"/>
  <c r="C252" i="41"/>
  <c r="Z251" i="41"/>
  <c r="V251" i="41"/>
  <c r="U251" i="41"/>
  <c r="T251" i="41"/>
  <c r="S251" i="41"/>
  <c r="N251" i="41"/>
  <c r="M251" i="41"/>
  <c r="L251" i="41"/>
  <c r="K251" i="41"/>
  <c r="F251" i="41"/>
  <c r="E251" i="41"/>
  <c r="D251" i="41"/>
  <c r="C251" i="41"/>
  <c r="Z250" i="41"/>
  <c r="V250" i="41"/>
  <c r="U250" i="41"/>
  <c r="T250" i="41"/>
  <c r="S250" i="41"/>
  <c r="N250" i="41"/>
  <c r="M250" i="41"/>
  <c r="L250" i="41"/>
  <c r="K250" i="41"/>
  <c r="F250" i="41"/>
  <c r="E250" i="41"/>
  <c r="D250" i="41"/>
  <c r="C250" i="41"/>
  <c r="Z249" i="41"/>
  <c r="V249" i="41"/>
  <c r="U249" i="41"/>
  <c r="T249" i="41"/>
  <c r="S249" i="41"/>
  <c r="N249" i="41"/>
  <c r="M249" i="41"/>
  <c r="L249" i="41"/>
  <c r="K249" i="41"/>
  <c r="F249" i="41"/>
  <c r="E249" i="41"/>
  <c r="D249" i="41"/>
  <c r="C249" i="41"/>
  <c r="V248" i="41"/>
  <c r="U248" i="41"/>
  <c r="T248" i="41"/>
  <c r="S248" i="41"/>
  <c r="N248" i="41"/>
  <c r="M248" i="41"/>
  <c r="L248" i="41"/>
  <c r="K248" i="41"/>
  <c r="F248" i="41"/>
  <c r="E248" i="41"/>
  <c r="D248" i="41"/>
  <c r="C248" i="41"/>
  <c r="V247" i="41"/>
  <c r="U247" i="41"/>
  <c r="T247" i="41"/>
  <c r="S247" i="41"/>
  <c r="N247" i="41"/>
  <c r="M247" i="41"/>
  <c r="L247" i="41"/>
  <c r="K247" i="41"/>
  <c r="F247" i="41"/>
  <c r="E247" i="41"/>
  <c r="D247" i="41"/>
  <c r="C247" i="41"/>
  <c r="V245" i="41"/>
  <c r="U245" i="41"/>
  <c r="T245" i="41"/>
  <c r="S245" i="41"/>
  <c r="N245" i="41"/>
  <c r="M245" i="41"/>
  <c r="L245" i="41"/>
  <c r="K245" i="41"/>
  <c r="F245" i="41"/>
  <c r="E245" i="41"/>
  <c r="D245" i="41"/>
  <c r="C245" i="41"/>
  <c r="Z244" i="41"/>
  <c r="V244" i="41"/>
  <c r="U244" i="41"/>
  <c r="T244" i="41"/>
  <c r="S244" i="41"/>
  <c r="N244" i="41"/>
  <c r="M244" i="41"/>
  <c r="L244" i="41"/>
  <c r="K244" i="41"/>
  <c r="F244" i="41"/>
  <c r="E244" i="41"/>
  <c r="D244" i="41"/>
  <c r="C244" i="41"/>
  <c r="Z243" i="41"/>
  <c r="V243" i="41"/>
  <c r="U243" i="41"/>
  <c r="T243" i="41"/>
  <c r="S243" i="41"/>
  <c r="N243" i="41"/>
  <c r="M243" i="41"/>
  <c r="L243" i="41"/>
  <c r="K243" i="41"/>
  <c r="F243" i="41"/>
  <c r="E243" i="41"/>
  <c r="D243" i="41"/>
  <c r="C243" i="41"/>
  <c r="Z242" i="41"/>
  <c r="V242" i="41"/>
  <c r="U242" i="41"/>
  <c r="T242" i="41"/>
  <c r="S242" i="41"/>
  <c r="N242" i="41"/>
  <c r="M242" i="41"/>
  <c r="L242" i="41"/>
  <c r="K242" i="41"/>
  <c r="F242" i="41"/>
  <c r="E242" i="41"/>
  <c r="D242" i="41"/>
  <c r="C242" i="41"/>
  <c r="Z241" i="41"/>
  <c r="V241" i="41"/>
  <c r="U241" i="41"/>
  <c r="T241" i="41"/>
  <c r="S241" i="41"/>
  <c r="N241" i="41"/>
  <c r="M241" i="41"/>
  <c r="L241" i="41"/>
  <c r="K241" i="41"/>
  <c r="F241" i="41"/>
  <c r="E241" i="41"/>
  <c r="D241" i="41"/>
  <c r="C241" i="41"/>
  <c r="Z240" i="41"/>
  <c r="U240" i="41"/>
  <c r="T240" i="41"/>
  <c r="S240" i="41"/>
  <c r="M240" i="41"/>
  <c r="L240" i="41"/>
  <c r="K240" i="41"/>
  <c r="E240" i="41"/>
  <c r="D240" i="41"/>
  <c r="C240" i="41"/>
  <c r="Z239" i="41"/>
  <c r="U239" i="41"/>
  <c r="T239" i="41"/>
  <c r="S239" i="41"/>
  <c r="M239" i="41"/>
  <c r="L239" i="41"/>
  <c r="K239" i="41"/>
  <c r="E239" i="41"/>
  <c r="D239" i="41"/>
  <c r="C239" i="41"/>
  <c r="Z238" i="41"/>
  <c r="U238" i="41"/>
  <c r="T238" i="41"/>
  <c r="S238" i="41"/>
  <c r="M238" i="41"/>
  <c r="L238" i="41"/>
  <c r="K238" i="41"/>
  <c r="E238" i="41"/>
  <c r="D238" i="41"/>
  <c r="C238" i="41"/>
  <c r="Z237" i="41"/>
  <c r="V237" i="41"/>
  <c r="U237" i="41"/>
  <c r="T237" i="41"/>
  <c r="S237" i="41"/>
  <c r="N237" i="41"/>
  <c r="M237" i="41"/>
  <c r="L237" i="41"/>
  <c r="K237" i="41"/>
  <c r="F237" i="41"/>
  <c r="E237" i="41"/>
  <c r="D237" i="41"/>
  <c r="C237" i="41"/>
  <c r="Z236" i="41"/>
  <c r="V236" i="41"/>
  <c r="U236" i="41"/>
  <c r="T236" i="41"/>
  <c r="S236" i="41"/>
  <c r="N236" i="41"/>
  <c r="M236" i="41"/>
  <c r="L236" i="41"/>
  <c r="K236" i="41"/>
  <c r="F236" i="41"/>
  <c r="E236" i="41"/>
  <c r="D236" i="41"/>
  <c r="C236" i="41"/>
  <c r="Z235" i="41"/>
  <c r="V235" i="41"/>
  <c r="U235" i="41"/>
  <c r="T235" i="41"/>
  <c r="S235" i="41"/>
  <c r="N235" i="41"/>
  <c r="M235" i="41"/>
  <c r="L235" i="41"/>
  <c r="K235" i="41"/>
  <c r="F235" i="41"/>
  <c r="E235" i="41"/>
  <c r="D235" i="41"/>
  <c r="C235" i="41"/>
  <c r="Z234" i="41"/>
  <c r="V234" i="41"/>
  <c r="U234" i="41"/>
  <c r="T234" i="41"/>
  <c r="S234" i="41"/>
  <c r="N234" i="41"/>
  <c r="M234" i="41"/>
  <c r="L234" i="41"/>
  <c r="K234" i="41"/>
  <c r="F234" i="41"/>
  <c r="E234" i="41"/>
  <c r="D234" i="41"/>
  <c r="C234" i="41"/>
  <c r="Z233" i="41"/>
  <c r="V233" i="41"/>
  <c r="U233" i="41"/>
  <c r="T233" i="41"/>
  <c r="S233" i="41"/>
  <c r="N233" i="41"/>
  <c r="M233" i="41"/>
  <c r="L233" i="41"/>
  <c r="K233" i="41"/>
  <c r="F233" i="41"/>
  <c r="E233" i="41"/>
  <c r="D233" i="41"/>
  <c r="C233" i="41"/>
  <c r="Z232" i="41"/>
  <c r="V232" i="41"/>
  <c r="U232" i="41"/>
  <c r="T232" i="41"/>
  <c r="S232" i="41"/>
  <c r="N232" i="41"/>
  <c r="M232" i="41"/>
  <c r="L232" i="41"/>
  <c r="K232" i="41"/>
  <c r="F232" i="41"/>
  <c r="E232" i="41"/>
  <c r="D232" i="41"/>
  <c r="C232" i="41"/>
  <c r="Z231" i="41"/>
  <c r="V231" i="41"/>
  <c r="U231" i="41"/>
  <c r="T231" i="41"/>
  <c r="S231" i="41"/>
  <c r="N231" i="41"/>
  <c r="M231" i="41"/>
  <c r="L231" i="41"/>
  <c r="K231" i="41"/>
  <c r="F231" i="41"/>
  <c r="E231" i="41"/>
  <c r="D231" i="41"/>
  <c r="C231" i="41"/>
  <c r="Z230" i="41"/>
  <c r="V230" i="41"/>
  <c r="U230" i="41"/>
  <c r="T230" i="41"/>
  <c r="S230" i="41"/>
  <c r="N230" i="41"/>
  <c r="M230" i="41"/>
  <c r="L230" i="41"/>
  <c r="K230" i="41"/>
  <c r="F230" i="41"/>
  <c r="E230" i="41"/>
  <c r="D230" i="41"/>
  <c r="C230" i="41"/>
  <c r="Z229" i="41"/>
  <c r="V229" i="41"/>
  <c r="U229" i="41"/>
  <c r="T229" i="41"/>
  <c r="S229" i="41"/>
  <c r="N229" i="41"/>
  <c r="M229" i="41"/>
  <c r="L229" i="41"/>
  <c r="K229" i="41"/>
  <c r="F229" i="41"/>
  <c r="E229" i="41"/>
  <c r="D229" i="41"/>
  <c r="C229" i="41"/>
  <c r="Z228" i="41"/>
  <c r="V228" i="41"/>
  <c r="U228" i="41"/>
  <c r="T228" i="41"/>
  <c r="S228" i="41"/>
  <c r="N228" i="41"/>
  <c r="M228" i="41"/>
  <c r="L228" i="41"/>
  <c r="K228" i="41"/>
  <c r="F228" i="41"/>
  <c r="E228" i="41"/>
  <c r="D228" i="41"/>
  <c r="C228" i="41"/>
  <c r="Z227" i="41"/>
  <c r="V227" i="41"/>
  <c r="U227" i="41"/>
  <c r="T227" i="41"/>
  <c r="S227" i="41"/>
  <c r="N227" i="41"/>
  <c r="M227" i="41"/>
  <c r="L227" i="41"/>
  <c r="K227" i="41"/>
  <c r="F227" i="41"/>
  <c r="E227" i="41"/>
  <c r="D227" i="41"/>
  <c r="C227" i="41"/>
  <c r="Z226" i="41"/>
  <c r="V226" i="41"/>
  <c r="U226" i="41"/>
  <c r="T226" i="41"/>
  <c r="S226" i="41"/>
  <c r="N226" i="41"/>
  <c r="M226" i="41"/>
  <c r="L226" i="41"/>
  <c r="K226" i="41"/>
  <c r="F226" i="41"/>
  <c r="E226" i="41"/>
  <c r="D226" i="41"/>
  <c r="C226" i="41"/>
  <c r="Z225" i="41"/>
  <c r="U220" i="41"/>
  <c r="W371" i="41" s="1"/>
  <c r="N220" i="41"/>
  <c r="O371" i="41" s="1"/>
  <c r="G220" i="41"/>
  <c r="G371" i="41" s="1"/>
  <c r="U219" i="41"/>
  <c r="W350" i="41" s="1"/>
  <c r="N219" i="41"/>
  <c r="O350" i="41" s="1"/>
  <c r="G219" i="41"/>
  <c r="G350" i="41" s="1"/>
  <c r="U218" i="41"/>
  <c r="W329" i="41" s="1"/>
  <c r="N218" i="41"/>
  <c r="O329" i="41" s="1"/>
  <c r="G218" i="41"/>
  <c r="G329" i="41" s="1"/>
  <c r="U217" i="41"/>
  <c r="W308" i="41" s="1"/>
  <c r="N217" i="41"/>
  <c r="O308" i="41" s="1"/>
  <c r="G217" i="41"/>
  <c r="G308" i="41" s="1"/>
  <c r="U216" i="41"/>
  <c r="W287" i="41" s="1"/>
  <c r="N216" i="41"/>
  <c r="O287" i="41" s="1"/>
  <c r="G216" i="41"/>
  <c r="G287" i="41" s="1"/>
  <c r="U215" i="41"/>
  <c r="W266" i="41" s="1"/>
  <c r="N215" i="41"/>
  <c r="O266" i="41" s="1"/>
  <c r="G215" i="41"/>
  <c r="G266" i="41" s="1"/>
  <c r="U214" i="41"/>
  <c r="W245" i="41" s="1"/>
  <c r="N214" i="41"/>
  <c r="O245" i="41" s="1"/>
  <c r="G214" i="41"/>
  <c r="G245" i="41" s="1"/>
  <c r="L213" i="41"/>
  <c r="S213" i="41" s="1"/>
  <c r="K213" i="41"/>
  <c r="R213" i="41" s="1"/>
  <c r="I211" i="41"/>
  <c r="P211" i="41" s="1"/>
  <c r="U209" i="41"/>
  <c r="W370" i="41" s="1"/>
  <c r="N209" i="41"/>
  <c r="O370" i="41" s="1"/>
  <c r="G209" i="41"/>
  <c r="G370" i="41" s="1"/>
  <c r="U208" i="41"/>
  <c r="W349" i="41" s="1"/>
  <c r="N208" i="41"/>
  <c r="O349" i="41" s="1"/>
  <c r="G208" i="41"/>
  <c r="G349" i="41" s="1"/>
  <c r="U207" i="41"/>
  <c r="W328" i="41" s="1"/>
  <c r="N207" i="41"/>
  <c r="O328" i="41" s="1"/>
  <c r="G207" i="41"/>
  <c r="G328" i="41" s="1"/>
  <c r="U206" i="41"/>
  <c r="W307" i="41" s="1"/>
  <c r="N206" i="41"/>
  <c r="O307" i="41" s="1"/>
  <c r="G206" i="41"/>
  <c r="G307" i="41" s="1"/>
  <c r="U205" i="41"/>
  <c r="W286" i="41" s="1"/>
  <c r="N205" i="41"/>
  <c r="O286" i="41" s="1"/>
  <c r="G205" i="41"/>
  <c r="U204" i="41"/>
  <c r="W265" i="41" s="1"/>
  <c r="N204" i="41"/>
  <c r="O265" i="41" s="1"/>
  <c r="G204" i="41"/>
  <c r="G265" i="41" s="1"/>
  <c r="U203" i="41"/>
  <c r="W244" i="41" s="1"/>
  <c r="N203" i="41"/>
  <c r="O244" i="41" s="1"/>
  <c r="G203" i="41"/>
  <c r="G244" i="41" s="1"/>
  <c r="L202" i="41"/>
  <c r="S202" i="41" s="1"/>
  <c r="K202" i="41"/>
  <c r="R202" i="41" s="1"/>
  <c r="I200" i="41"/>
  <c r="P200" i="41" s="1"/>
  <c r="U198" i="41"/>
  <c r="W369" i="41" s="1"/>
  <c r="N198" i="41"/>
  <c r="O369" i="41" s="1"/>
  <c r="G198" i="41"/>
  <c r="G369" i="41" s="1"/>
  <c r="U197" i="41"/>
  <c r="W348" i="41" s="1"/>
  <c r="N197" i="41"/>
  <c r="O348" i="41" s="1"/>
  <c r="G197" i="41"/>
  <c r="G348" i="41" s="1"/>
  <c r="U196" i="41"/>
  <c r="W327" i="41" s="1"/>
  <c r="N196" i="41"/>
  <c r="O327" i="41" s="1"/>
  <c r="G196" i="41"/>
  <c r="G327" i="41" s="1"/>
  <c r="U195" i="41"/>
  <c r="W306" i="41" s="1"/>
  <c r="N195" i="41"/>
  <c r="O306" i="41" s="1"/>
  <c r="G195" i="41"/>
  <c r="G306" i="41" s="1"/>
  <c r="U194" i="41"/>
  <c r="W285" i="41" s="1"/>
  <c r="N194" i="41"/>
  <c r="O285" i="41" s="1"/>
  <c r="G194" i="41"/>
  <c r="U193" i="41"/>
  <c r="W264" i="41" s="1"/>
  <c r="N193" i="41"/>
  <c r="O264" i="41" s="1"/>
  <c r="G193" i="41"/>
  <c r="G264" i="41" s="1"/>
  <c r="U192" i="41"/>
  <c r="W243" i="41" s="1"/>
  <c r="N192" i="41"/>
  <c r="O243" i="41" s="1"/>
  <c r="G192" i="41"/>
  <c r="G243" i="41" s="1"/>
  <c r="L191" i="41"/>
  <c r="S191" i="41" s="1"/>
  <c r="K191" i="41"/>
  <c r="R191" i="41" s="1"/>
  <c r="I189" i="41"/>
  <c r="P189" i="41" s="1"/>
  <c r="U187" i="41"/>
  <c r="W368" i="41" s="1"/>
  <c r="N187" i="41"/>
  <c r="O368" i="41" s="1"/>
  <c r="G187" i="41"/>
  <c r="G368" i="41" s="1"/>
  <c r="U186" i="41"/>
  <c r="W347" i="41" s="1"/>
  <c r="N186" i="41"/>
  <c r="O347" i="41" s="1"/>
  <c r="G186" i="41"/>
  <c r="G347" i="41" s="1"/>
  <c r="U185" i="41"/>
  <c r="W326" i="41" s="1"/>
  <c r="N185" i="41"/>
  <c r="O326" i="41" s="1"/>
  <c r="G185" i="41"/>
  <c r="G326" i="41" s="1"/>
  <c r="U184" i="41"/>
  <c r="W305" i="41" s="1"/>
  <c r="N184" i="41"/>
  <c r="O305" i="41" s="1"/>
  <c r="G184" i="41"/>
  <c r="G305" i="41" s="1"/>
  <c r="U183" i="41"/>
  <c r="W284" i="41" s="1"/>
  <c r="N183" i="41"/>
  <c r="O284" i="41" s="1"/>
  <c r="G183" i="41"/>
  <c r="G284" i="41" s="1"/>
  <c r="U182" i="41"/>
  <c r="W263" i="41" s="1"/>
  <c r="N182" i="41"/>
  <c r="O263" i="41" s="1"/>
  <c r="G182" i="41"/>
  <c r="G263" i="41" s="1"/>
  <c r="U181" i="41"/>
  <c r="W242" i="41" s="1"/>
  <c r="N181" i="41"/>
  <c r="O242" i="41" s="1"/>
  <c r="G181" i="41"/>
  <c r="G242" i="41" s="1"/>
  <c r="L180" i="41"/>
  <c r="S180" i="41" s="1"/>
  <c r="K180" i="41"/>
  <c r="R180" i="41" s="1"/>
  <c r="I178" i="41"/>
  <c r="P178" i="41" s="1"/>
  <c r="U176" i="41"/>
  <c r="W367" i="41" s="1"/>
  <c r="N176" i="41"/>
  <c r="O367" i="41" s="1"/>
  <c r="G176" i="41"/>
  <c r="G367" i="41" s="1"/>
  <c r="U175" i="41"/>
  <c r="W346" i="41" s="1"/>
  <c r="N175" i="41"/>
  <c r="O346" i="41" s="1"/>
  <c r="G175" i="41"/>
  <c r="G346" i="41" s="1"/>
  <c r="U174" i="41"/>
  <c r="W325" i="41" s="1"/>
  <c r="N174" i="41"/>
  <c r="O325" i="41" s="1"/>
  <c r="G174" i="41"/>
  <c r="G325" i="41" s="1"/>
  <c r="U173" i="41"/>
  <c r="W304" i="41" s="1"/>
  <c r="N173" i="41"/>
  <c r="O304" i="41" s="1"/>
  <c r="G173" i="41"/>
  <c r="G304" i="41" s="1"/>
  <c r="U172" i="41"/>
  <c r="W283" i="41" s="1"/>
  <c r="N172" i="41"/>
  <c r="O283" i="41" s="1"/>
  <c r="G172" i="41"/>
  <c r="G283" i="41" s="1"/>
  <c r="U171" i="41"/>
  <c r="W262" i="41" s="1"/>
  <c r="N171" i="41"/>
  <c r="O262" i="41" s="1"/>
  <c r="G171" i="41"/>
  <c r="G262" i="41" s="1"/>
  <c r="U170" i="41"/>
  <c r="W241" i="41" s="1"/>
  <c r="N170" i="41"/>
  <c r="O241" i="41" s="1"/>
  <c r="G170" i="41"/>
  <c r="G241" i="41" s="1"/>
  <c r="L169" i="41"/>
  <c r="S169" i="41" s="1"/>
  <c r="K169" i="41"/>
  <c r="R169" i="41" s="1"/>
  <c r="I167" i="41"/>
  <c r="P167" i="41" s="1"/>
  <c r="U165" i="41"/>
  <c r="W366" i="41" s="1"/>
  <c r="N165" i="41"/>
  <c r="O366" i="41" s="1"/>
  <c r="G165" i="41"/>
  <c r="G366" i="41" s="1"/>
  <c r="U164" i="41"/>
  <c r="W345" i="41" s="1"/>
  <c r="N164" i="41"/>
  <c r="O345" i="41" s="1"/>
  <c r="G164" i="41"/>
  <c r="G345" i="41" s="1"/>
  <c r="U163" i="41"/>
  <c r="W324" i="41" s="1"/>
  <c r="N163" i="41"/>
  <c r="O324" i="41" s="1"/>
  <c r="G163" i="41"/>
  <c r="G324" i="41" s="1"/>
  <c r="U162" i="41"/>
  <c r="W303" i="41" s="1"/>
  <c r="N162" i="41"/>
  <c r="O303" i="41" s="1"/>
  <c r="G162" i="41"/>
  <c r="G303" i="41" s="1"/>
  <c r="U161" i="41"/>
  <c r="W282" i="41" s="1"/>
  <c r="N161" i="41"/>
  <c r="O282" i="41" s="1"/>
  <c r="G161" i="41"/>
  <c r="G282" i="41" s="1"/>
  <c r="U160" i="41"/>
  <c r="W261" i="41" s="1"/>
  <c r="N160" i="41"/>
  <c r="O261" i="41" s="1"/>
  <c r="G160" i="41"/>
  <c r="G261" i="41" s="1"/>
  <c r="U159" i="41"/>
  <c r="W240" i="41" s="1"/>
  <c r="R159" i="41"/>
  <c r="N159" i="41"/>
  <c r="O240" i="41" s="1"/>
  <c r="G159" i="41"/>
  <c r="G240" i="41" s="1"/>
  <c r="M158" i="41"/>
  <c r="T158" i="41" s="1"/>
  <c r="L158" i="41"/>
  <c r="S158" i="41" s="1"/>
  <c r="I156" i="41"/>
  <c r="P156" i="41" s="1"/>
  <c r="U154" i="41"/>
  <c r="W365" i="41" s="1"/>
  <c r="N154" i="41"/>
  <c r="O365" i="41" s="1"/>
  <c r="G154" i="41"/>
  <c r="G365" i="41" s="1"/>
  <c r="U153" i="41"/>
  <c r="W344" i="41" s="1"/>
  <c r="N153" i="41"/>
  <c r="O344" i="41" s="1"/>
  <c r="G153" i="41"/>
  <c r="G344" i="41" s="1"/>
  <c r="U152" i="41"/>
  <c r="W323" i="41" s="1"/>
  <c r="N152" i="41"/>
  <c r="O323" i="41" s="1"/>
  <c r="G152" i="41"/>
  <c r="G323" i="41" s="1"/>
  <c r="U151" i="41"/>
  <c r="W302" i="41" s="1"/>
  <c r="N151" i="41"/>
  <c r="G151" i="41"/>
  <c r="U150" i="41"/>
  <c r="W281" i="41" s="1"/>
  <c r="N150" i="41"/>
  <c r="G150" i="41"/>
  <c r="G281" i="41" s="1"/>
  <c r="U149" i="41"/>
  <c r="W260" i="41" s="1"/>
  <c r="N149" i="41"/>
  <c r="O260" i="41" s="1"/>
  <c r="G149" i="41"/>
  <c r="G260" i="41" s="1"/>
  <c r="U148" i="41"/>
  <c r="W239" i="41" s="1"/>
  <c r="R148" i="41"/>
  <c r="N148" i="41"/>
  <c r="O239" i="41" s="1"/>
  <c r="G148" i="41"/>
  <c r="G239" i="41" s="1"/>
  <c r="M147" i="41"/>
  <c r="T147" i="41" s="1"/>
  <c r="L147" i="41"/>
  <c r="S147" i="41" s="1"/>
  <c r="I145" i="41"/>
  <c r="P145" i="41" s="1"/>
  <c r="S143" i="41"/>
  <c r="T364" i="41" s="1"/>
  <c r="N143" i="41"/>
  <c r="O364" i="41" s="1"/>
  <c r="G143" i="41"/>
  <c r="G364" i="41" s="1"/>
  <c r="U142" i="41"/>
  <c r="W343" i="41" s="1"/>
  <c r="N142" i="41"/>
  <c r="O343" i="41" s="1"/>
  <c r="G142" i="41"/>
  <c r="G343" i="41" s="1"/>
  <c r="U141" i="41"/>
  <c r="W322" i="41" s="1"/>
  <c r="N141" i="41"/>
  <c r="O322" i="41" s="1"/>
  <c r="G141" i="41"/>
  <c r="G322" i="41" s="1"/>
  <c r="U140" i="41"/>
  <c r="W301" i="41" s="1"/>
  <c r="N140" i="41"/>
  <c r="O301" i="41" s="1"/>
  <c r="G140" i="41"/>
  <c r="U139" i="41"/>
  <c r="W280" i="41" s="1"/>
  <c r="N139" i="41"/>
  <c r="O280" i="41" s="1"/>
  <c r="G139" i="41"/>
  <c r="G280" i="41" s="1"/>
  <c r="U138" i="41"/>
  <c r="W259" i="41" s="1"/>
  <c r="N138" i="41"/>
  <c r="O259" i="41" s="1"/>
  <c r="G138" i="41"/>
  <c r="G259" i="41" s="1"/>
  <c r="U137" i="41"/>
  <c r="W238" i="41" s="1"/>
  <c r="R137" i="41"/>
  <c r="N137" i="41"/>
  <c r="O238" i="41" s="1"/>
  <c r="G137" i="41"/>
  <c r="G238" i="41" s="1"/>
  <c r="M136" i="41"/>
  <c r="T136" i="41" s="1"/>
  <c r="L136" i="41"/>
  <c r="S136" i="41" s="1"/>
  <c r="I134" i="41"/>
  <c r="P134" i="41" s="1"/>
  <c r="U132" i="41"/>
  <c r="W363" i="41" s="1"/>
  <c r="N132" i="41"/>
  <c r="O363" i="41" s="1"/>
  <c r="G132" i="41"/>
  <c r="G363" i="41" s="1"/>
  <c r="U131" i="41"/>
  <c r="W342" i="41" s="1"/>
  <c r="N131" i="41"/>
  <c r="O342" i="41" s="1"/>
  <c r="G131" i="41"/>
  <c r="G342" i="41" s="1"/>
  <c r="U130" i="41"/>
  <c r="W321" i="41" s="1"/>
  <c r="N130" i="41"/>
  <c r="O321" i="41" s="1"/>
  <c r="G130" i="41"/>
  <c r="G321" i="41" s="1"/>
  <c r="U129" i="41"/>
  <c r="W300" i="41" s="1"/>
  <c r="N129" i="41"/>
  <c r="O300" i="41" s="1"/>
  <c r="G129" i="41"/>
  <c r="G300" i="41" s="1"/>
  <c r="U128" i="41"/>
  <c r="W279" i="41" s="1"/>
  <c r="N128" i="41"/>
  <c r="O279" i="41" s="1"/>
  <c r="G128" i="41"/>
  <c r="G279" i="41" s="1"/>
  <c r="U127" i="41"/>
  <c r="W258" i="41" s="1"/>
  <c r="N127" i="41"/>
  <c r="O258" i="41" s="1"/>
  <c r="G127" i="41"/>
  <c r="G258" i="41" s="1"/>
  <c r="U126" i="41"/>
  <c r="W237" i="41" s="1"/>
  <c r="N126" i="41"/>
  <c r="O237" i="41" s="1"/>
  <c r="G126" i="41"/>
  <c r="G237" i="41" s="1"/>
  <c r="L125" i="41"/>
  <c r="S125" i="41" s="1"/>
  <c r="K125" i="41"/>
  <c r="R125" i="41" s="1"/>
  <c r="I123" i="41"/>
  <c r="P123" i="41" s="1"/>
  <c r="U121" i="41"/>
  <c r="W362" i="41" s="1"/>
  <c r="N121" i="41"/>
  <c r="O362" i="41" s="1"/>
  <c r="G121" i="41"/>
  <c r="G362" i="41" s="1"/>
  <c r="U120" i="41"/>
  <c r="W341" i="41" s="1"/>
  <c r="N120" i="41"/>
  <c r="O341" i="41" s="1"/>
  <c r="G120" i="41"/>
  <c r="G341" i="41" s="1"/>
  <c r="U119" i="41"/>
  <c r="W320" i="41" s="1"/>
  <c r="N119" i="41"/>
  <c r="O320" i="41" s="1"/>
  <c r="G119" i="41"/>
  <c r="G320" i="41" s="1"/>
  <c r="U118" i="41"/>
  <c r="W299" i="41" s="1"/>
  <c r="N118" i="41"/>
  <c r="O299" i="41" s="1"/>
  <c r="G118" i="41"/>
  <c r="G299" i="41" s="1"/>
  <c r="U117" i="41"/>
  <c r="W278" i="41" s="1"/>
  <c r="N117" i="41"/>
  <c r="O278" i="41" s="1"/>
  <c r="G117" i="41"/>
  <c r="G278" i="41" s="1"/>
  <c r="U116" i="41"/>
  <c r="W257" i="41" s="1"/>
  <c r="N116" i="41"/>
  <c r="O257" i="41" s="1"/>
  <c r="G116" i="41"/>
  <c r="G257" i="41" s="1"/>
  <c r="U115" i="41"/>
  <c r="W236" i="41" s="1"/>
  <c r="N115" i="41"/>
  <c r="O236" i="41" s="1"/>
  <c r="G115" i="41"/>
  <c r="G236" i="41" s="1"/>
  <c r="L114" i="41"/>
  <c r="S114" i="41" s="1"/>
  <c r="K114" i="41"/>
  <c r="R114" i="41" s="1"/>
  <c r="I112" i="41"/>
  <c r="P112" i="41" s="1"/>
  <c r="U110" i="41"/>
  <c r="W361" i="41" s="1"/>
  <c r="N110" i="41"/>
  <c r="O361" i="41" s="1"/>
  <c r="G110" i="41"/>
  <c r="G361" i="41" s="1"/>
  <c r="U109" i="41"/>
  <c r="W340" i="41" s="1"/>
  <c r="N109" i="41"/>
  <c r="O340" i="41" s="1"/>
  <c r="G109" i="41"/>
  <c r="G340" i="41" s="1"/>
  <c r="U108" i="41"/>
  <c r="W319" i="41" s="1"/>
  <c r="N108" i="41"/>
  <c r="O319" i="41" s="1"/>
  <c r="G108" i="41"/>
  <c r="G319" i="41" s="1"/>
  <c r="U107" i="41"/>
  <c r="W298" i="41" s="1"/>
  <c r="N107" i="41"/>
  <c r="O298" i="41" s="1"/>
  <c r="G107" i="41"/>
  <c r="G298" i="41" s="1"/>
  <c r="U106" i="41"/>
  <c r="W277" i="41" s="1"/>
  <c r="N106" i="41"/>
  <c r="O277" i="41" s="1"/>
  <c r="G106" i="41"/>
  <c r="G277" i="41" s="1"/>
  <c r="U105" i="41"/>
  <c r="W256" i="41" s="1"/>
  <c r="N105" i="41"/>
  <c r="O256" i="41" s="1"/>
  <c r="G105" i="41"/>
  <c r="G256" i="41" s="1"/>
  <c r="U104" i="41"/>
  <c r="W235" i="41" s="1"/>
  <c r="N104" i="41"/>
  <c r="O235" i="41" s="1"/>
  <c r="G104" i="41"/>
  <c r="G235" i="41" s="1"/>
  <c r="L103" i="41"/>
  <c r="S103" i="41" s="1"/>
  <c r="K103" i="41"/>
  <c r="R103" i="41" s="1"/>
  <c r="I101" i="41"/>
  <c r="P101" i="41" s="1"/>
  <c r="U99" i="41"/>
  <c r="W360" i="41" s="1"/>
  <c r="N99" i="41"/>
  <c r="O360" i="41" s="1"/>
  <c r="G99" i="41"/>
  <c r="G360" i="41" s="1"/>
  <c r="U98" i="41"/>
  <c r="W339" i="41" s="1"/>
  <c r="N98" i="41"/>
  <c r="O339" i="41" s="1"/>
  <c r="G98" i="41"/>
  <c r="G339" i="41" s="1"/>
  <c r="U97" i="41"/>
  <c r="W318" i="41" s="1"/>
  <c r="N97" i="41"/>
  <c r="O318" i="41" s="1"/>
  <c r="G97" i="41"/>
  <c r="G318" i="41" s="1"/>
  <c r="U96" i="41"/>
  <c r="W297" i="41" s="1"/>
  <c r="N96" i="41"/>
  <c r="O297" i="41" s="1"/>
  <c r="G96" i="41"/>
  <c r="G297" i="41" s="1"/>
  <c r="U95" i="41"/>
  <c r="W276" i="41" s="1"/>
  <c r="N95" i="41"/>
  <c r="O276" i="41" s="1"/>
  <c r="G95" i="41"/>
  <c r="G276" i="41" s="1"/>
  <c r="U94" i="41"/>
  <c r="W255" i="41" s="1"/>
  <c r="N94" i="41"/>
  <c r="O255" i="41" s="1"/>
  <c r="G94" i="41"/>
  <c r="G255" i="41" s="1"/>
  <c r="U93" i="41"/>
  <c r="W234" i="41" s="1"/>
  <c r="N93" i="41"/>
  <c r="O234" i="41" s="1"/>
  <c r="G93" i="41"/>
  <c r="G234" i="41" s="1"/>
  <c r="L92" i="41"/>
  <c r="S92" i="41" s="1"/>
  <c r="K92" i="41"/>
  <c r="R92" i="41" s="1"/>
  <c r="I90" i="41"/>
  <c r="P90" i="41" s="1"/>
  <c r="U88" i="41"/>
  <c r="W359" i="41" s="1"/>
  <c r="N88" i="41"/>
  <c r="O359" i="41" s="1"/>
  <c r="G88" i="41"/>
  <c r="G359" i="41" s="1"/>
  <c r="U87" i="41"/>
  <c r="W338" i="41" s="1"/>
  <c r="N87" i="41"/>
  <c r="O338" i="41" s="1"/>
  <c r="G87" i="41"/>
  <c r="G338" i="41" s="1"/>
  <c r="U86" i="41"/>
  <c r="W317" i="41" s="1"/>
  <c r="N86" i="41"/>
  <c r="O317" i="41" s="1"/>
  <c r="G86" i="41"/>
  <c r="G317" i="41" s="1"/>
  <c r="U85" i="41"/>
  <c r="W296" i="41" s="1"/>
  <c r="N85" i="41"/>
  <c r="O296" i="41" s="1"/>
  <c r="G85" i="41"/>
  <c r="G296" i="41" s="1"/>
  <c r="U84" i="41"/>
  <c r="W275" i="41" s="1"/>
  <c r="N84" i="41"/>
  <c r="O275" i="41" s="1"/>
  <c r="G84" i="41"/>
  <c r="G275" i="41" s="1"/>
  <c r="U83" i="41"/>
  <c r="W254" i="41" s="1"/>
  <c r="N83" i="41"/>
  <c r="O254" i="41" s="1"/>
  <c r="G83" i="41"/>
  <c r="G254" i="41" s="1"/>
  <c r="U82" i="41"/>
  <c r="W233" i="41" s="1"/>
  <c r="N82" i="41"/>
  <c r="O233" i="41" s="1"/>
  <c r="G82" i="41"/>
  <c r="G233" i="41" s="1"/>
  <c r="L81" i="41"/>
  <c r="S81" i="41" s="1"/>
  <c r="K81" i="41"/>
  <c r="R81" i="41" s="1"/>
  <c r="I79" i="41"/>
  <c r="P79" i="41" s="1"/>
  <c r="U77" i="41"/>
  <c r="W358" i="41" s="1"/>
  <c r="N77" i="41"/>
  <c r="O358" i="41" s="1"/>
  <c r="G77" i="41"/>
  <c r="G358" i="41" s="1"/>
  <c r="U76" i="41"/>
  <c r="W337" i="41" s="1"/>
  <c r="N76" i="41"/>
  <c r="O337" i="41" s="1"/>
  <c r="G76" i="41"/>
  <c r="G337" i="41" s="1"/>
  <c r="U75" i="41"/>
  <c r="W316" i="41" s="1"/>
  <c r="N75" i="41"/>
  <c r="O316" i="41" s="1"/>
  <c r="G75" i="41"/>
  <c r="G316" i="41" s="1"/>
  <c r="U74" i="41"/>
  <c r="W295" i="41" s="1"/>
  <c r="N74" i="41"/>
  <c r="O295" i="41" s="1"/>
  <c r="G74" i="41"/>
  <c r="G295" i="41" s="1"/>
  <c r="U73" i="41"/>
  <c r="W274" i="41" s="1"/>
  <c r="N73" i="41"/>
  <c r="O274" i="41" s="1"/>
  <c r="G73" i="41"/>
  <c r="G274" i="41" s="1"/>
  <c r="U72" i="41"/>
  <c r="W253" i="41" s="1"/>
  <c r="N72" i="41"/>
  <c r="O253" i="41" s="1"/>
  <c r="G72" i="41"/>
  <c r="G253" i="41" s="1"/>
  <c r="U71" i="41"/>
  <c r="W232" i="41" s="1"/>
  <c r="N71" i="41"/>
  <c r="O232" i="41" s="1"/>
  <c r="G71" i="41"/>
  <c r="G232" i="41" s="1"/>
  <c r="L70" i="41"/>
  <c r="S70" i="41" s="1"/>
  <c r="K70" i="41"/>
  <c r="R70" i="41" s="1"/>
  <c r="I68" i="41"/>
  <c r="P68" i="41" s="1"/>
  <c r="U66" i="41"/>
  <c r="W357" i="41" s="1"/>
  <c r="N66" i="41"/>
  <c r="O357" i="41" s="1"/>
  <c r="G66" i="41"/>
  <c r="G357" i="41" s="1"/>
  <c r="U65" i="41"/>
  <c r="W336" i="41" s="1"/>
  <c r="N65" i="41"/>
  <c r="O336" i="41" s="1"/>
  <c r="G65" i="41"/>
  <c r="G336" i="41" s="1"/>
  <c r="U64" i="41"/>
  <c r="W315" i="41" s="1"/>
  <c r="N64" i="41"/>
  <c r="O315" i="41" s="1"/>
  <c r="G64" i="41"/>
  <c r="G315" i="41" s="1"/>
  <c r="U63" i="41"/>
  <c r="W294" i="41" s="1"/>
  <c r="N63" i="41"/>
  <c r="O294" i="41" s="1"/>
  <c r="G63" i="41"/>
  <c r="G294" i="41" s="1"/>
  <c r="U62" i="41"/>
  <c r="W273" i="41" s="1"/>
  <c r="N62" i="41"/>
  <c r="O273" i="41" s="1"/>
  <c r="G62" i="41"/>
  <c r="G273" i="41" s="1"/>
  <c r="U61" i="41"/>
  <c r="W252" i="41" s="1"/>
  <c r="N61" i="41"/>
  <c r="O252" i="41" s="1"/>
  <c r="G61" i="41"/>
  <c r="G252" i="41" s="1"/>
  <c r="U60" i="41"/>
  <c r="W231" i="41" s="1"/>
  <c r="N60" i="41"/>
  <c r="O231" i="41" s="1"/>
  <c r="G60" i="41"/>
  <c r="G231" i="41" s="1"/>
  <c r="L59" i="41"/>
  <c r="S59" i="41" s="1"/>
  <c r="K59" i="41"/>
  <c r="R59" i="41" s="1"/>
  <c r="I57" i="41"/>
  <c r="P57" i="41" s="1"/>
  <c r="U55" i="41"/>
  <c r="W356" i="41" s="1"/>
  <c r="N55" i="41"/>
  <c r="O356" i="41" s="1"/>
  <c r="G55" i="41"/>
  <c r="G356" i="41" s="1"/>
  <c r="U54" i="41"/>
  <c r="W335" i="41" s="1"/>
  <c r="N54" i="41"/>
  <c r="O335" i="41" s="1"/>
  <c r="G54" i="41"/>
  <c r="G335" i="41" s="1"/>
  <c r="U53" i="41"/>
  <c r="W314" i="41" s="1"/>
  <c r="N53" i="41"/>
  <c r="O314" i="41" s="1"/>
  <c r="G53" i="41"/>
  <c r="G314" i="41" s="1"/>
  <c r="U52" i="41"/>
  <c r="W293" i="41" s="1"/>
  <c r="N52" i="41"/>
  <c r="O293" i="41" s="1"/>
  <c r="G52" i="41"/>
  <c r="G293" i="41" s="1"/>
  <c r="U51" i="41"/>
  <c r="W272" i="41" s="1"/>
  <c r="N51" i="41"/>
  <c r="O272" i="41" s="1"/>
  <c r="G51" i="41"/>
  <c r="G272" i="41" s="1"/>
  <c r="U50" i="41"/>
  <c r="W251" i="41" s="1"/>
  <c r="N50" i="41"/>
  <c r="O251" i="41" s="1"/>
  <c r="G50" i="41"/>
  <c r="G251" i="41" s="1"/>
  <c r="U49" i="41"/>
  <c r="W230" i="41" s="1"/>
  <c r="N49" i="41"/>
  <c r="O230" i="41" s="1"/>
  <c r="G49" i="41"/>
  <c r="G230" i="41" s="1"/>
  <c r="L48" i="41"/>
  <c r="S48" i="41" s="1"/>
  <c r="K48" i="41"/>
  <c r="R48" i="41" s="1"/>
  <c r="I46" i="41"/>
  <c r="P46" i="41" s="1"/>
  <c r="U44" i="41"/>
  <c r="W355" i="41" s="1"/>
  <c r="N44" i="41"/>
  <c r="O355" i="41" s="1"/>
  <c r="G44" i="41"/>
  <c r="G355" i="41" s="1"/>
  <c r="U43" i="41"/>
  <c r="W334" i="41" s="1"/>
  <c r="N43" i="41"/>
  <c r="O334" i="41" s="1"/>
  <c r="G43" i="41"/>
  <c r="G334" i="41" s="1"/>
  <c r="U42" i="41"/>
  <c r="W313" i="41" s="1"/>
  <c r="N42" i="41"/>
  <c r="O313" i="41" s="1"/>
  <c r="G42" i="41"/>
  <c r="G313" i="41" s="1"/>
  <c r="U41" i="41"/>
  <c r="W292" i="41" s="1"/>
  <c r="N41" i="41"/>
  <c r="O292" i="41" s="1"/>
  <c r="G41" i="41"/>
  <c r="G292" i="41" s="1"/>
  <c r="U40" i="41"/>
  <c r="W271" i="41" s="1"/>
  <c r="N40" i="41"/>
  <c r="O271" i="41" s="1"/>
  <c r="G40" i="41"/>
  <c r="G271" i="41" s="1"/>
  <c r="U39" i="41"/>
  <c r="W250" i="41" s="1"/>
  <c r="N39" i="41"/>
  <c r="O250" i="41" s="1"/>
  <c r="G39" i="41"/>
  <c r="G250" i="41" s="1"/>
  <c r="U38" i="41"/>
  <c r="W229" i="41" s="1"/>
  <c r="N38" i="41"/>
  <c r="O229" i="41" s="1"/>
  <c r="G38" i="41"/>
  <c r="G229" i="41" s="1"/>
  <c r="L37" i="41"/>
  <c r="S37" i="41" s="1"/>
  <c r="K37" i="41"/>
  <c r="R37" i="41" s="1"/>
  <c r="I35" i="41"/>
  <c r="P35" i="41" s="1"/>
  <c r="U33" i="41"/>
  <c r="W354" i="41" s="1"/>
  <c r="N33" i="41"/>
  <c r="O354" i="41" s="1"/>
  <c r="G33" i="41"/>
  <c r="G354" i="41" s="1"/>
  <c r="U32" i="41"/>
  <c r="W333" i="41" s="1"/>
  <c r="N32" i="41"/>
  <c r="O333" i="41" s="1"/>
  <c r="G32" i="41"/>
  <c r="G333" i="41" s="1"/>
  <c r="U31" i="41"/>
  <c r="W312" i="41" s="1"/>
  <c r="N31" i="41"/>
  <c r="O312" i="41" s="1"/>
  <c r="G31" i="41"/>
  <c r="G312" i="41" s="1"/>
  <c r="U30" i="41"/>
  <c r="W291" i="41" s="1"/>
  <c r="N30" i="41"/>
  <c r="O291" i="41" s="1"/>
  <c r="G30" i="41"/>
  <c r="G291" i="41" s="1"/>
  <c r="U29" i="41"/>
  <c r="W270" i="41" s="1"/>
  <c r="N29" i="41"/>
  <c r="O270" i="41" s="1"/>
  <c r="G29" i="41"/>
  <c r="G270" i="41" s="1"/>
  <c r="U28" i="41"/>
  <c r="W249" i="41" s="1"/>
  <c r="N28" i="41"/>
  <c r="O249" i="41" s="1"/>
  <c r="G28" i="41"/>
  <c r="G249" i="41" s="1"/>
  <c r="U27" i="41"/>
  <c r="W228" i="41" s="1"/>
  <c r="N27" i="41"/>
  <c r="O228" i="41" s="1"/>
  <c r="G27" i="41"/>
  <c r="G228" i="41" s="1"/>
  <c r="L26" i="41"/>
  <c r="S26" i="41" s="1"/>
  <c r="K26" i="41"/>
  <c r="R26" i="41" s="1"/>
  <c r="I24" i="41"/>
  <c r="P24" i="41" s="1"/>
  <c r="U22" i="41"/>
  <c r="W353" i="41" s="1"/>
  <c r="N22" i="41"/>
  <c r="O353" i="41" s="1"/>
  <c r="G22" i="41"/>
  <c r="G353" i="41" s="1"/>
  <c r="U21" i="41"/>
  <c r="W332" i="41" s="1"/>
  <c r="N21" i="41"/>
  <c r="O332" i="41" s="1"/>
  <c r="G21" i="41"/>
  <c r="G332" i="41" s="1"/>
  <c r="U20" i="41"/>
  <c r="W311" i="41" s="1"/>
  <c r="N20" i="41"/>
  <c r="G20" i="41"/>
  <c r="G311" i="41" s="1"/>
  <c r="U19" i="41"/>
  <c r="W290" i="41" s="1"/>
  <c r="N19" i="41"/>
  <c r="O290" i="41" s="1"/>
  <c r="G19" i="41"/>
  <c r="G290" i="41" s="1"/>
  <c r="U18" i="41"/>
  <c r="W269" i="41" s="1"/>
  <c r="N18" i="41"/>
  <c r="O269" i="41" s="1"/>
  <c r="G18" i="41"/>
  <c r="G269" i="41" s="1"/>
  <c r="U17" i="41"/>
  <c r="W248" i="41" s="1"/>
  <c r="N17" i="41"/>
  <c r="O248" i="41" s="1"/>
  <c r="G17" i="41"/>
  <c r="G248" i="41" s="1"/>
  <c r="U16" i="41"/>
  <c r="W227" i="41" s="1"/>
  <c r="N16" i="41"/>
  <c r="O227" i="41" s="1"/>
  <c r="G16" i="41"/>
  <c r="G227" i="41" s="1"/>
  <c r="L15" i="41"/>
  <c r="S15" i="41" s="1"/>
  <c r="K15" i="41"/>
  <c r="R15" i="41" s="1"/>
  <c r="I13" i="41"/>
  <c r="P13" i="41" s="1"/>
  <c r="U11" i="41"/>
  <c r="W352" i="41" s="1"/>
  <c r="N11" i="41"/>
  <c r="O352" i="41" s="1"/>
  <c r="G11" i="41"/>
  <c r="G352" i="41" s="1"/>
  <c r="U10" i="41"/>
  <c r="W331" i="41" s="1"/>
  <c r="N10" i="41"/>
  <c r="O331" i="41" s="1"/>
  <c r="G10" i="41"/>
  <c r="G331" i="41" s="1"/>
  <c r="U9" i="41"/>
  <c r="W310" i="41" s="1"/>
  <c r="N9" i="41"/>
  <c r="G9" i="41"/>
  <c r="G310" i="41" s="1"/>
  <c r="U8" i="41"/>
  <c r="W289" i="41" s="1"/>
  <c r="N8" i="41"/>
  <c r="O289" i="41" s="1"/>
  <c r="G8" i="41"/>
  <c r="G289" i="41" s="1"/>
  <c r="U7" i="41"/>
  <c r="W268" i="41" s="1"/>
  <c r="N7" i="41"/>
  <c r="O268" i="41" s="1"/>
  <c r="G7" i="41"/>
  <c r="G268" i="41" s="1"/>
  <c r="U6" i="41"/>
  <c r="W247" i="41" s="1"/>
  <c r="N6" i="41"/>
  <c r="O247" i="41" s="1"/>
  <c r="G6" i="41"/>
  <c r="G247" i="41" s="1"/>
  <c r="U5" i="41"/>
  <c r="W226" i="41" s="1"/>
  <c r="N5" i="41"/>
  <c r="O226" i="41" s="1"/>
  <c r="G5" i="41"/>
  <c r="G226" i="41" s="1"/>
  <c r="L4" i="41"/>
  <c r="S4" i="41" s="1"/>
  <c r="K4" i="41"/>
  <c r="R4" i="41" s="1"/>
  <c r="I2" i="41"/>
  <c r="P2" i="41" s="1"/>
  <c r="A379" i="41" l="1"/>
  <c r="U143" i="41"/>
  <c r="W364" i="41" s="1"/>
  <c r="O310" i="41"/>
  <c r="O311" i="41"/>
  <c r="C378" i="41"/>
  <c r="E376" i="41"/>
  <c r="B378" i="41"/>
  <c r="E377" i="41"/>
  <c r="D376" i="41"/>
  <c r="E380" i="41"/>
  <c r="A378" i="41"/>
  <c r="D377" i="41"/>
  <c r="C376" i="41"/>
  <c r="E382" i="41"/>
  <c r="E381" i="41"/>
  <c r="D380" i="41"/>
  <c r="E379" i="41"/>
  <c r="C377" i="41"/>
  <c r="B376" i="41"/>
  <c r="D382" i="41"/>
  <c r="D381" i="41"/>
  <c r="C380" i="41"/>
  <c r="D379" i="41"/>
  <c r="B377" i="41"/>
  <c r="A376" i="41"/>
  <c r="C382" i="41"/>
  <c r="C381" i="41"/>
  <c r="B380" i="41"/>
  <c r="C379" i="41"/>
  <c r="A377" i="41"/>
  <c r="B382" i="41"/>
  <c r="B381" i="41"/>
  <c r="A380" i="41"/>
  <c r="B379" i="41"/>
  <c r="N373" i="41"/>
  <c r="T373" i="41"/>
  <c r="G301" i="41"/>
  <c r="G302" i="41"/>
  <c r="S373" i="41"/>
  <c r="D378" i="41"/>
  <c r="A381" i="41"/>
  <c r="O302" i="41"/>
  <c r="O281" i="41"/>
  <c r="G286" i="41"/>
  <c r="G285" i="41"/>
  <c r="E378" i="41" s="1"/>
  <c r="A382" i="41"/>
  <c r="B375" i="41"/>
  <c r="H375" i="41" s="1"/>
  <c r="N375" i="41" s="1"/>
  <c r="C375" i="41"/>
  <c r="I375" i="41" s="1"/>
  <c r="O375" i="41" s="1"/>
  <c r="D375" i="41"/>
  <c r="J375" i="41" s="1"/>
  <c r="P375" i="41" s="1"/>
  <c r="W378" i="41" l="1"/>
  <c r="W377" i="41"/>
  <c r="W379" i="41"/>
  <c r="O392" i="41" s="1"/>
  <c r="I382" i="41"/>
  <c r="I381" i="41"/>
  <c r="H380" i="41"/>
  <c r="I379" i="41"/>
  <c r="G377" i="41"/>
  <c r="H382" i="41"/>
  <c r="H381" i="41"/>
  <c r="G380" i="41"/>
  <c r="H379" i="41"/>
  <c r="K378" i="41"/>
  <c r="M373" i="41"/>
  <c r="G382" i="41"/>
  <c r="G381" i="41"/>
  <c r="G379" i="41"/>
  <c r="J378" i="41"/>
  <c r="I378" i="41"/>
  <c r="K376" i="41"/>
  <c r="H378" i="41"/>
  <c r="K377" i="41"/>
  <c r="J376" i="41"/>
  <c r="K380" i="41"/>
  <c r="G378" i="41"/>
  <c r="J377" i="41"/>
  <c r="I376" i="41"/>
  <c r="K382" i="41"/>
  <c r="K381" i="41"/>
  <c r="J380" i="41"/>
  <c r="K379" i="41"/>
  <c r="I377" i="41"/>
  <c r="H376" i="41"/>
  <c r="G376" i="41"/>
  <c r="J381" i="41"/>
  <c r="I380" i="41"/>
  <c r="J382" i="41"/>
  <c r="J379" i="41"/>
  <c r="H377" i="41"/>
  <c r="O390" i="41" l="1"/>
  <c r="H14" i="27" s="1"/>
  <c r="Y381" i="41"/>
  <c r="O391" i="41"/>
  <c r="Y382" i="41"/>
  <c r="Q380" i="41"/>
  <c r="M378" i="41"/>
  <c r="P377" i="41"/>
  <c r="O376" i="41"/>
  <c r="Q382" i="41"/>
  <c r="Q381" i="41"/>
  <c r="P380" i="41"/>
  <c r="Q379" i="41"/>
  <c r="O377" i="41"/>
  <c r="N376" i="41"/>
  <c r="P382" i="41"/>
  <c r="P381" i="41"/>
  <c r="O380" i="41"/>
  <c r="P379" i="41"/>
  <c r="N377" i="41"/>
  <c r="M376" i="41"/>
  <c r="O382" i="41"/>
  <c r="O381" i="41"/>
  <c r="N380" i="41"/>
  <c r="O379" i="41"/>
  <c r="M377" i="41"/>
  <c r="N382" i="41"/>
  <c r="N381" i="41"/>
  <c r="M380" i="41"/>
  <c r="N379" i="41"/>
  <c r="Q378" i="41"/>
  <c r="M382" i="41"/>
  <c r="M381" i="41"/>
  <c r="M379" i="41"/>
  <c r="P378" i="41"/>
  <c r="O378" i="41"/>
  <c r="Q376" i="41"/>
  <c r="N378" i="41"/>
  <c r="P376" i="41"/>
  <c r="Q377" i="41"/>
  <c r="H15" i="27" l="1"/>
  <c r="U386" i="41"/>
  <c r="U379" i="41" s="1"/>
  <c r="N392" i="41" s="1"/>
  <c r="T383" i="41" s="1"/>
  <c r="M272" i="40" l="1"/>
  <c r="M271" i="40"/>
  <c r="M270" i="40"/>
  <c r="M269" i="40"/>
  <c r="M268" i="40"/>
  <c r="I4" i="40"/>
  <c r="P4" i="40"/>
  <c r="F6" i="40"/>
  <c r="G6" i="40"/>
  <c r="H131" i="40" s="1"/>
  <c r="M6" i="40"/>
  <c r="N6" i="40"/>
  <c r="T6" i="40"/>
  <c r="U6" i="40"/>
  <c r="H133" i="40" s="1"/>
  <c r="F7" i="40"/>
  <c r="G7" i="40"/>
  <c r="M7" i="40"/>
  <c r="N7" i="40"/>
  <c r="H145" i="40" s="1"/>
  <c r="T7" i="40"/>
  <c r="U7" i="40"/>
  <c r="F8" i="40"/>
  <c r="G8" i="40"/>
  <c r="H157" i="40" s="1"/>
  <c r="M8" i="40"/>
  <c r="N8" i="40"/>
  <c r="T8" i="40"/>
  <c r="U8" i="40"/>
  <c r="H159" i="40" s="1"/>
  <c r="F9" i="40"/>
  <c r="G9" i="40"/>
  <c r="M9" i="40"/>
  <c r="G171" i="40" s="1"/>
  <c r="N9" i="40"/>
  <c r="H171" i="40" s="1"/>
  <c r="T9" i="40"/>
  <c r="U9" i="40"/>
  <c r="F10" i="40"/>
  <c r="G183" i="40" s="1"/>
  <c r="G10" i="40"/>
  <c r="H183" i="40" s="1"/>
  <c r="M10" i="40"/>
  <c r="N10" i="40"/>
  <c r="T10" i="40"/>
  <c r="U10" i="40"/>
  <c r="H185" i="40" s="1"/>
  <c r="F11" i="40"/>
  <c r="G11" i="40"/>
  <c r="M11" i="40"/>
  <c r="T11" i="40"/>
  <c r="U11" i="40"/>
  <c r="H198" i="40" s="1"/>
  <c r="I12" i="40"/>
  <c r="P12" i="40"/>
  <c r="C13" i="40"/>
  <c r="D13" i="40"/>
  <c r="E13" i="40"/>
  <c r="J13" i="40"/>
  <c r="K13" i="40"/>
  <c r="L13" i="40"/>
  <c r="Q13" i="40"/>
  <c r="R13" i="40"/>
  <c r="S13" i="40"/>
  <c r="F14" i="40"/>
  <c r="P131" i="40" s="1"/>
  <c r="G14" i="40"/>
  <c r="M14" i="40"/>
  <c r="P132" i="40" s="1"/>
  <c r="N14" i="40"/>
  <c r="T14" i="40"/>
  <c r="P133" i="40" s="1"/>
  <c r="U14" i="40"/>
  <c r="F15" i="40"/>
  <c r="G15" i="40"/>
  <c r="Q144" i="40" s="1"/>
  <c r="M15" i="40"/>
  <c r="P145" i="40" s="1"/>
  <c r="N15" i="40"/>
  <c r="T15" i="40"/>
  <c r="P146" i="40" s="1"/>
  <c r="U15" i="40"/>
  <c r="F16" i="40"/>
  <c r="P157" i="40" s="1"/>
  <c r="G16" i="40"/>
  <c r="M16" i="40"/>
  <c r="P158" i="40" s="1"/>
  <c r="N16" i="40"/>
  <c r="Q158" i="40" s="1"/>
  <c r="T16" i="40"/>
  <c r="P159" i="40" s="1"/>
  <c r="U16" i="40"/>
  <c r="F17" i="40"/>
  <c r="G17" i="40"/>
  <c r="M17" i="40"/>
  <c r="P171" i="40" s="1"/>
  <c r="N17" i="40"/>
  <c r="T17" i="40"/>
  <c r="P172" i="40" s="1"/>
  <c r="U17" i="40"/>
  <c r="Q172" i="40" s="1"/>
  <c r="F18" i="40"/>
  <c r="G18" i="40"/>
  <c r="M18" i="40"/>
  <c r="P184" i="40" s="1"/>
  <c r="N18" i="40"/>
  <c r="T18" i="40"/>
  <c r="P185" i="40" s="1"/>
  <c r="U18" i="40"/>
  <c r="F19" i="40"/>
  <c r="G19" i="40"/>
  <c r="Q196" i="40" s="1"/>
  <c r="M19" i="40"/>
  <c r="P197" i="40" s="1"/>
  <c r="N19" i="40"/>
  <c r="T19" i="40"/>
  <c r="U19" i="40"/>
  <c r="I20" i="40"/>
  <c r="P20" i="40"/>
  <c r="C21" i="40"/>
  <c r="D21" i="40"/>
  <c r="E21" i="40"/>
  <c r="J21" i="40"/>
  <c r="K21" i="40"/>
  <c r="L21" i="40"/>
  <c r="Q21" i="40"/>
  <c r="R21" i="40"/>
  <c r="S21" i="40"/>
  <c r="F22" i="40"/>
  <c r="G212" i="40" s="1"/>
  <c r="G22" i="40"/>
  <c r="H212" i="40" s="1"/>
  <c r="M22" i="40"/>
  <c r="N22" i="40"/>
  <c r="H213" i="40" s="1"/>
  <c r="T22" i="40"/>
  <c r="G214" i="40" s="1"/>
  <c r="U22" i="40"/>
  <c r="H214" i="40" s="1"/>
  <c r="F23" i="40"/>
  <c r="G23" i="40"/>
  <c r="M23" i="40"/>
  <c r="G226" i="40" s="1"/>
  <c r="N23" i="40"/>
  <c r="T23" i="40"/>
  <c r="U23" i="40"/>
  <c r="F24" i="40"/>
  <c r="G238" i="40" s="1"/>
  <c r="G24" i="40"/>
  <c r="H238" i="40" s="1"/>
  <c r="M24" i="40"/>
  <c r="N24" i="40"/>
  <c r="T24" i="40"/>
  <c r="G240" i="40" s="1"/>
  <c r="U24" i="40"/>
  <c r="H240" i="40" s="1"/>
  <c r="F25" i="40"/>
  <c r="G25" i="40"/>
  <c r="M25" i="40"/>
  <c r="N25" i="40"/>
  <c r="T25" i="40"/>
  <c r="U25" i="40"/>
  <c r="I26" i="40"/>
  <c r="P26" i="40"/>
  <c r="C27" i="40"/>
  <c r="D27" i="40"/>
  <c r="E27" i="40"/>
  <c r="J27" i="40"/>
  <c r="K27" i="40"/>
  <c r="L27" i="40"/>
  <c r="Q27" i="40"/>
  <c r="R27" i="40"/>
  <c r="S27" i="40"/>
  <c r="F28" i="40"/>
  <c r="G28" i="40"/>
  <c r="Q212" i="40" s="1"/>
  <c r="M28" i="40"/>
  <c r="N28" i="40"/>
  <c r="T28" i="40"/>
  <c r="U28" i="40"/>
  <c r="Q214" i="40" s="1"/>
  <c r="F29" i="40"/>
  <c r="G29" i="40"/>
  <c r="M29" i="40"/>
  <c r="N29" i="40"/>
  <c r="Q226" i="40" s="1"/>
  <c r="T29" i="40"/>
  <c r="U29" i="40"/>
  <c r="F30" i="40"/>
  <c r="G30" i="40"/>
  <c r="Q238" i="40" s="1"/>
  <c r="M30" i="40"/>
  <c r="N30" i="40"/>
  <c r="T30" i="40"/>
  <c r="U30" i="40"/>
  <c r="Q240" i="40" s="1"/>
  <c r="F31" i="40"/>
  <c r="G31" i="40"/>
  <c r="M31" i="40"/>
  <c r="N31" i="40"/>
  <c r="Q252" i="40" s="1"/>
  <c r="T31" i="40"/>
  <c r="U31" i="40"/>
  <c r="B35" i="40"/>
  <c r="I35" i="40" s="1"/>
  <c r="P35" i="40" s="1"/>
  <c r="F37" i="40"/>
  <c r="G37" i="40"/>
  <c r="H134" i="40" s="1"/>
  <c r="M37" i="40"/>
  <c r="G135" i="40" s="1"/>
  <c r="N37" i="40"/>
  <c r="H135" i="40" s="1"/>
  <c r="T37" i="40"/>
  <c r="U37" i="40"/>
  <c r="H136" i="40" s="1"/>
  <c r="F38" i="40"/>
  <c r="G38" i="40"/>
  <c r="H147" i="40" s="1"/>
  <c r="M38" i="40"/>
  <c r="N38" i="40"/>
  <c r="H148" i="40" s="1"/>
  <c r="T38" i="40"/>
  <c r="G149" i="40" s="1"/>
  <c r="U38" i="40"/>
  <c r="H149" i="40" s="1"/>
  <c r="F39" i="40"/>
  <c r="G39" i="40"/>
  <c r="M39" i="40"/>
  <c r="N39" i="40"/>
  <c r="H161" i="40" s="1"/>
  <c r="T39" i="40"/>
  <c r="U39" i="40"/>
  <c r="H162" i="40" s="1"/>
  <c r="F40" i="40"/>
  <c r="G173" i="40" s="1"/>
  <c r="G40" i="40"/>
  <c r="H173" i="40" s="1"/>
  <c r="M40" i="40"/>
  <c r="N40" i="40"/>
  <c r="T40" i="40"/>
  <c r="U40" i="40"/>
  <c r="H175" i="40" s="1"/>
  <c r="F41" i="40"/>
  <c r="G41" i="40"/>
  <c r="H186" i="40" s="1"/>
  <c r="M41" i="40"/>
  <c r="G187" i="40" s="1"/>
  <c r="N41" i="40"/>
  <c r="H187" i="40" s="1"/>
  <c r="T41" i="40"/>
  <c r="U41" i="40"/>
  <c r="F42" i="40"/>
  <c r="G42" i="40"/>
  <c r="H199" i="40" s="1"/>
  <c r="M42" i="40"/>
  <c r="N42" i="40"/>
  <c r="H200" i="40" s="1"/>
  <c r="T42" i="40"/>
  <c r="G201" i="40" s="1"/>
  <c r="U42" i="40"/>
  <c r="H201" i="40" s="1"/>
  <c r="B43" i="40"/>
  <c r="I43" i="40"/>
  <c r="P43" i="40" s="1"/>
  <c r="C44" i="40"/>
  <c r="D44" i="40"/>
  <c r="E44" i="40"/>
  <c r="J44" i="40"/>
  <c r="K44" i="40"/>
  <c r="L44" i="40"/>
  <c r="Q44" i="40"/>
  <c r="R44" i="40"/>
  <c r="S44" i="40"/>
  <c r="F45" i="40"/>
  <c r="G45" i="40"/>
  <c r="M45" i="40"/>
  <c r="P135" i="40" s="1"/>
  <c r="N45" i="40"/>
  <c r="T45" i="40"/>
  <c r="U45" i="40"/>
  <c r="Q136" i="40" s="1"/>
  <c r="F46" i="40"/>
  <c r="P147" i="40" s="1"/>
  <c r="G46" i="40"/>
  <c r="Q147" i="40" s="1"/>
  <c r="M46" i="40"/>
  <c r="N46" i="40"/>
  <c r="Q148" i="40" s="1"/>
  <c r="T46" i="40"/>
  <c r="P149" i="40" s="1"/>
  <c r="U46" i="40"/>
  <c r="Q149" i="40" s="1"/>
  <c r="F47" i="40"/>
  <c r="G47" i="40"/>
  <c r="Q160" i="40" s="1"/>
  <c r="M47" i="40"/>
  <c r="N47" i="40"/>
  <c r="T47" i="40"/>
  <c r="U47" i="40"/>
  <c r="Q162" i="40" s="1"/>
  <c r="F48" i="40"/>
  <c r="P173" i="40" s="1"/>
  <c r="G48" i="40"/>
  <c r="Q173" i="40" s="1"/>
  <c r="M48" i="40"/>
  <c r="N48" i="40"/>
  <c r="Q174" i="40" s="1"/>
  <c r="T48" i="40"/>
  <c r="P175" i="40" s="1"/>
  <c r="U48" i="40"/>
  <c r="Q175" i="40" s="1"/>
  <c r="F49" i="40"/>
  <c r="G49" i="40"/>
  <c r="M49" i="40"/>
  <c r="P187" i="40" s="1"/>
  <c r="N49" i="40"/>
  <c r="T49" i="40"/>
  <c r="U49" i="40"/>
  <c r="Q188" i="40" s="1"/>
  <c r="F50" i="40"/>
  <c r="P199" i="40" s="1"/>
  <c r="G50" i="40"/>
  <c r="Q199" i="40" s="1"/>
  <c r="M50" i="40"/>
  <c r="N50" i="40"/>
  <c r="Q200" i="40" s="1"/>
  <c r="T50" i="40"/>
  <c r="P201" i="40" s="1"/>
  <c r="U50" i="40"/>
  <c r="Q201" i="40" s="1"/>
  <c r="B51" i="40"/>
  <c r="I51" i="40"/>
  <c r="P51" i="40" s="1"/>
  <c r="C52" i="40"/>
  <c r="D52" i="40"/>
  <c r="E52" i="40"/>
  <c r="J52" i="40"/>
  <c r="K52" i="40"/>
  <c r="L52" i="40"/>
  <c r="Q52" i="40"/>
  <c r="R52" i="40"/>
  <c r="S52" i="40"/>
  <c r="F53" i="40"/>
  <c r="G53" i="40"/>
  <c r="H215" i="40" s="1"/>
  <c r="M53" i="40"/>
  <c r="G216" i="40" s="1"/>
  <c r="N53" i="40"/>
  <c r="H216" i="40" s="1"/>
  <c r="T53" i="40"/>
  <c r="U53" i="40"/>
  <c r="F54" i="40"/>
  <c r="G54" i="40"/>
  <c r="M54" i="40"/>
  <c r="N54" i="40"/>
  <c r="T54" i="40"/>
  <c r="G230" i="40" s="1"/>
  <c r="U54" i="40"/>
  <c r="F55" i="40"/>
  <c r="G55" i="40"/>
  <c r="M55" i="40"/>
  <c r="G242" i="40" s="1"/>
  <c r="N55" i="40"/>
  <c r="H242" i="40" s="1"/>
  <c r="T55" i="40"/>
  <c r="U55" i="40"/>
  <c r="H243" i="40" s="1"/>
  <c r="F56" i="40"/>
  <c r="G254" i="40" s="1"/>
  <c r="G56" i="40"/>
  <c r="M56" i="40"/>
  <c r="N56" i="40"/>
  <c r="T56" i="40"/>
  <c r="U56" i="40"/>
  <c r="B57" i="40"/>
  <c r="I57" i="40"/>
  <c r="P57" i="40" s="1"/>
  <c r="C58" i="40"/>
  <c r="D58" i="40"/>
  <c r="E58" i="40"/>
  <c r="J58" i="40"/>
  <c r="K58" i="40"/>
  <c r="L58" i="40"/>
  <c r="Q58" i="40"/>
  <c r="R58" i="40"/>
  <c r="S58" i="40"/>
  <c r="F59" i="40"/>
  <c r="G59" i="40"/>
  <c r="M59" i="40"/>
  <c r="N59" i="40"/>
  <c r="Q216" i="40" s="1"/>
  <c r="T59" i="40"/>
  <c r="U59" i="40"/>
  <c r="Q217" i="40" s="1"/>
  <c r="F60" i="40"/>
  <c r="P228" i="40" s="1"/>
  <c r="G60" i="40"/>
  <c r="Q228" i="40" s="1"/>
  <c r="M60" i="40"/>
  <c r="N60" i="40"/>
  <c r="Q229" i="40" s="1"/>
  <c r="T60" i="40"/>
  <c r="U60" i="40"/>
  <c r="Q230" i="40" s="1"/>
  <c r="F61" i="40"/>
  <c r="G61" i="40"/>
  <c r="Q241" i="40" s="1"/>
  <c r="M61" i="40"/>
  <c r="P242" i="40" s="1"/>
  <c r="N61" i="40"/>
  <c r="Q242" i="40" s="1"/>
  <c r="T61" i="40"/>
  <c r="U61" i="40"/>
  <c r="F62" i="40"/>
  <c r="G62" i="40"/>
  <c r="Q254" i="40" s="1"/>
  <c r="M62" i="40"/>
  <c r="N62" i="40"/>
  <c r="Q255" i="40" s="1"/>
  <c r="T62" i="40"/>
  <c r="U62" i="40"/>
  <c r="Q256" i="40" s="1"/>
  <c r="I66" i="40"/>
  <c r="P66" i="40"/>
  <c r="F68" i="40"/>
  <c r="G68" i="40"/>
  <c r="H137" i="40" s="1"/>
  <c r="M68" i="40"/>
  <c r="N68" i="40"/>
  <c r="H138" i="40" s="1"/>
  <c r="T68" i="40"/>
  <c r="G139" i="40" s="1"/>
  <c r="U68" i="40"/>
  <c r="H139" i="40" s="1"/>
  <c r="F69" i="40"/>
  <c r="G69" i="40"/>
  <c r="M69" i="40"/>
  <c r="N69" i="40"/>
  <c r="H151" i="40" s="1"/>
  <c r="T69" i="40"/>
  <c r="U69" i="40"/>
  <c r="H152" i="40" s="1"/>
  <c r="F70" i="40"/>
  <c r="G163" i="40" s="1"/>
  <c r="G70" i="40"/>
  <c r="H163" i="40" s="1"/>
  <c r="M70" i="40"/>
  <c r="N70" i="40"/>
  <c r="H164" i="40" s="1"/>
  <c r="T70" i="40"/>
  <c r="U70" i="40"/>
  <c r="H165" i="40" s="1"/>
  <c r="F71" i="40"/>
  <c r="G71" i="40"/>
  <c r="H176" i="40" s="1"/>
  <c r="M71" i="40"/>
  <c r="G177" i="40" s="1"/>
  <c r="N71" i="40"/>
  <c r="H177" i="40" s="1"/>
  <c r="T71" i="40"/>
  <c r="U71" i="40"/>
  <c r="H178" i="40" s="1"/>
  <c r="F72" i="40"/>
  <c r="G72" i="40"/>
  <c r="H189" i="40" s="1"/>
  <c r="M72" i="40"/>
  <c r="N72" i="40"/>
  <c r="H190" i="40" s="1"/>
  <c r="T72" i="40"/>
  <c r="G191" i="40" s="1"/>
  <c r="U72" i="40"/>
  <c r="H191" i="40" s="1"/>
  <c r="F73" i="40"/>
  <c r="G73" i="40"/>
  <c r="M73" i="40"/>
  <c r="N73" i="40"/>
  <c r="H203" i="40" s="1"/>
  <c r="T73" i="40"/>
  <c r="U73" i="40"/>
  <c r="H204" i="40" s="1"/>
  <c r="I74" i="40"/>
  <c r="P74" i="40"/>
  <c r="C75" i="40"/>
  <c r="D75" i="40"/>
  <c r="E75" i="40"/>
  <c r="J75" i="40"/>
  <c r="K75" i="40"/>
  <c r="L75" i="40"/>
  <c r="Q75" i="40"/>
  <c r="R75" i="40"/>
  <c r="S75" i="40"/>
  <c r="F76" i="40"/>
  <c r="P137" i="40" s="1"/>
  <c r="G76" i="40"/>
  <c r="M76" i="40"/>
  <c r="P138" i="40" s="1"/>
  <c r="N76" i="40"/>
  <c r="Q138" i="40" s="1"/>
  <c r="T76" i="40"/>
  <c r="P139" i="40" s="1"/>
  <c r="F77" i="40"/>
  <c r="P150" i="40" s="1"/>
  <c r="G77" i="40"/>
  <c r="M77" i="40"/>
  <c r="N77" i="40"/>
  <c r="T77" i="40"/>
  <c r="U77" i="40"/>
  <c r="Q152" i="40" s="1"/>
  <c r="F78" i="40"/>
  <c r="G78" i="40"/>
  <c r="Q163" i="40" s="1"/>
  <c r="M78" i="40"/>
  <c r="P164" i="40" s="1"/>
  <c r="N78" i="40"/>
  <c r="Q164" i="40" s="1"/>
  <c r="T78" i="40"/>
  <c r="U78" i="40"/>
  <c r="Q165" i="40" s="1"/>
  <c r="F79" i="40"/>
  <c r="G79" i="40"/>
  <c r="M79" i="40"/>
  <c r="N79" i="40"/>
  <c r="T79" i="40"/>
  <c r="P178" i="40" s="1"/>
  <c r="U79" i="40"/>
  <c r="F80" i="40"/>
  <c r="G80" i="40"/>
  <c r="M80" i="40"/>
  <c r="P190" i="40" s="1"/>
  <c r="N80" i="40"/>
  <c r="Q190" i="40" s="1"/>
  <c r="T80" i="40"/>
  <c r="U80" i="40"/>
  <c r="F81" i="40"/>
  <c r="P202" i="40" s="1"/>
  <c r="G81" i="40"/>
  <c r="M81" i="40"/>
  <c r="N81" i="40"/>
  <c r="T81" i="40"/>
  <c r="P82" i="40"/>
  <c r="C83" i="40"/>
  <c r="D83" i="40"/>
  <c r="E83" i="40"/>
  <c r="J83" i="40"/>
  <c r="K83" i="40"/>
  <c r="L83" i="40"/>
  <c r="Q83" i="40"/>
  <c r="R83" i="40"/>
  <c r="S83" i="40"/>
  <c r="F84" i="40"/>
  <c r="G218" i="40" s="1"/>
  <c r="G84" i="40"/>
  <c r="H218" i="40" s="1"/>
  <c r="M84" i="40"/>
  <c r="G219" i="40" s="1"/>
  <c r="N84" i="40"/>
  <c r="T84" i="40"/>
  <c r="G220" i="40" s="1"/>
  <c r="F85" i="40"/>
  <c r="G231" i="40" s="1"/>
  <c r="G85" i="40"/>
  <c r="H231" i="40" s="1"/>
  <c r="M85" i="40"/>
  <c r="N85" i="40"/>
  <c r="H232" i="40" s="1"/>
  <c r="T85" i="40"/>
  <c r="G233" i="40" s="1"/>
  <c r="F86" i="40"/>
  <c r="G244" i="40" s="1"/>
  <c r="G86" i="40"/>
  <c r="M86" i="40"/>
  <c r="N86" i="40"/>
  <c r="T86" i="40"/>
  <c r="G246" i="40" s="1"/>
  <c r="F87" i="40"/>
  <c r="G87" i="40"/>
  <c r="M87" i="40"/>
  <c r="G258" i="40" s="1"/>
  <c r="N87" i="40"/>
  <c r="T87" i="40"/>
  <c r="P88" i="40"/>
  <c r="C89" i="40"/>
  <c r="D89" i="40"/>
  <c r="E89" i="40"/>
  <c r="J89" i="40"/>
  <c r="K89" i="40"/>
  <c r="L89" i="40"/>
  <c r="Q89" i="40"/>
  <c r="R89" i="40"/>
  <c r="S89" i="40"/>
  <c r="F90" i="40"/>
  <c r="G90" i="40"/>
  <c r="M90" i="40"/>
  <c r="N90" i="40"/>
  <c r="Q219" i="40" s="1"/>
  <c r="T90" i="40"/>
  <c r="U90" i="40"/>
  <c r="F91" i="40"/>
  <c r="G91" i="40"/>
  <c r="Q231" i="40" s="1"/>
  <c r="M91" i="40"/>
  <c r="N91" i="40"/>
  <c r="T91" i="40"/>
  <c r="P233" i="40" s="1"/>
  <c r="U91" i="40"/>
  <c r="Q233" i="40" s="1"/>
  <c r="F92" i="40"/>
  <c r="G92" i="40"/>
  <c r="M92" i="40"/>
  <c r="P245" i="40" s="1"/>
  <c r="N92" i="40"/>
  <c r="Q245" i="40" s="1"/>
  <c r="T92" i="40"/>
  <c r="U92" i="40"/>
  <c r="F93" i="40"/>
  <c r="G93" i="40"/>
  <c r="Q257" i="40" s="1"/>
  <c r="M93" i="40"/>
  <c r="N93" i="40"/>
  <c r="T93" i="40"/>
  <c r="P259" i="40" s="1"/>
  <c r="U93" i="40"/>
  <c r="Q259" i="40" s="1"/>
  <c r="I97" i="40"/>
  <c r="P97" i="40"/>
  <c r="F99" i="40"/>
  <c r="G140" i="40" s="1"/>
  <c r="M99" i="40"/>
  <c r="G141" i="40" s="1"/>
  <c r="T99" i="40"/>
  <c r="F100" i="40"/>
  <c r="M100" i="40"/>
  <c r="G154" i="40" s="1"/>
  <c r="T100" i="40"/>
  <c r="F101" i="40"/>
  <c r="M101" i="40"/>
  <c r="T101" i="40"/>
  <c r="G168" i="40" s="1"/>
  <c r="F102" i="40"/>
  <c r="G179" i="40" s="1"/>
  <c r="M102" i="40"/>
  <c r="T102" i="40"/>
  <c r="F103" i="40"/>
  <c r="M103" i="40"/>
  <c r="T103" i="40"/>
  <c r="G194" i="40" s="1"/>
  <c r="F104" i="40"/>
  <c r="M104" i="40"/>
  <c r="T104" i="40"/>
  <c r="G207" i="40" s="1"/>
  <c r="I105" i="40"/>
  <c r="P105" i="40"/>
  <c r="C106" i="40"/>
  <c r="D106" i="40"/>
  <c r="E106" i="40"/>
  <c r="J106" i="40"/>
  <c r="K106" i="40"/>
  <c r="L106" i="40"/>
  <c r="Q106" i="40"/>
  <c r="R106" i="40"/>
  <c r="S106" i="40"/>
  <c r="F107" i="40"/>
  <c r="P140" i="40" s="1"/>
  <c r="M107" i="40"/>
  <c r="P141" i="40" s="1"/>
  <c r="T107" i="40"/>
  <c r="F108" i="40"/>
  <c r="P153" i="40" s="1"/>
  <c r="M108" i="40"/>
  <c r="P154" i="40" s="1"/>
  <c r="T108" i="40"/>
  <c r="P155" i="40" s="1"/>
  <c r="F109" i="40"/>
  <c r="P166" i="40" s="1"/>
  <c r="M109" i="40"/>
  <c r="P167" i="40" s="1"/>
  <c r="T109" i="40"/>
  <c r="P168" i="40" s="1"/>
  <c r="F110" i="40"/>
  <c r="P179" i="40" s="1"/>
  <c r="M110" i="40"/>
  <c r="T110" i="40"/>
  <c r="P181" i="40" s="1"/>
  <c r="F111" i="40"/>
  <c r="P192" i="40" s="1"/>
  <c r="M111" i="40"/>
  <c r="P193" i="40" s="1"/>
  <c r="T111" i="40"/>
  <c r="F112" i="40"/>
  <c r="P205" i="40" s="1"/>
  <c r="M112" i="40"/>
  <c r="T112" i="40"/>
  <c r="P207" i="40" s="1"/>
  <c r="P113" i="40"/>
  <c r="C114" i="40"/>
  <c r="D114" i="40"/>
  <c r="E114" i="40"/>
  <c r="J114" i="40"/>
  <c r="K114" i="40"/>
  <c r="L114" i="40"/>
  <c r="Q114" i="40"/>
  <c r="R114" i="40"/>
  <c r="S114" i="40"/>
  <c r="F115" i="40"/>
  <c r="G221" i="40" s="1"/>
  <c r="M115" i="40"/>
  <c r="G222" i="40" s="1"/>
  <c r="T115" i="40"/>
  <c r="F116" i="40"/>
  <c r="M116" i="40"/>
  <c r="G235" i="40" s="1"/>
  <c r="T116" i="40"/>
  <c r="G236" i="40" s="1"/>
  <c r="F117" i="40"/>
  <c r="M117" i="40"/>
  <c r="G248" i="40" s="1"/>
  <c r="T117" i="40"/>
  <c r="G249" i="40" s="1"/>
  <c r="F118" i="40"/>
  <c r="G260" i="40" s="1"/>
  <c r="M118" i="40"/>
  <c r="T118" i="40"/>
  <c r="G262" i="40" s="1"/>
  <c r="P119" i="40"/>
  <c r="C120" i="40"/>
  <c r="D120" i="40"/>
  <c r="E120" i="40"/>
  <c r="J120" i="40"/>
  <c r="K120" i="40"/>
  <c r="L120" i="40"/>
  <c r="Q120" i="40"/>
  <c r="R120" i="40"/>
  <c r="S120" i="40"/>
  <c r="F121" i="40"/>
  <c r="M121" i="40"/>
  <c r="P222" i="40" s="1"/>
  <c r="T121" i="40"/>
  <c r="P223" i="40" s="1"/>
  <c r="F122" i="40"/>
  <c r="P234" i="40" s="1"/>
  <c r="M122" i="40"/>
  <c r="T122" i="40"/>
  <c r="P236" i="40" s="1"/>
  <c r="F123" i="40"/>
  <c r="M123" i="40"/>
  <c r="P248" i="40" s="1"/>
  <c r="T123" i="40"/>
  <c r="F124" i="40"/>
  <c r="M124" i="40"/>
  <c r="P261" i="40" s="1"/>
  <c r="T124" i="40"/>
  <c r="J128" i="40"/>
  <c r="C129" i="40"/>
  <c r="L129" i="40"/>
  <c r="C131" i="40"/>
  <c r="D131" i="40"/>
  <c r="E131" i="40"/>
  <c r="F131" i="40"/>
  <c r="G131" i="40"/>
  <c r="L131" i="40"/>
  <c r="M131" i="40"/>
  <c r="N131" i="40"/>
  <c r="O131" i="40"/>
  <c r="Q131" i="40"/>
  <c r="C132" i="40"/>
  <c r="D132" i="40"/>
  <c r="E132" i="40"/>
  <c r="G132" i="40"/>
  <c r="H132" i="40"/>
  <c r="L132" i="40"/>
  <c r="M132" i="40"/>
  <c r="N132" i="40"/>
  <c r="Q132" i="40"/>
  <c r="C133" i="40"/>
  <c r="D133" i="40"/>
  <c r="E133" i="40"/>
  <c r="F133" i="40"/>
  <c r="G133" i="40"/>
  <c r="L133" i="40"/>
  <c r="M133" i="40"/>
  <c r="N133" i="40"/>
  <c r="O133" i="40"/>
  <c r="Q133" i="40"/>
  <c r="C134" i="40"/>
  <c r="D134" i="40"/>
  <c r="E134" i="40"/>
  <c r="G134" i="40"/>
  <c r="L134" i="40"/>
  <c r="M134" i="40"/>
  <c r="N134" i="40"/>
  <c r="P134" i="40"/>
  <c r="Q134" i="40"/>
  <c r="C135" i="40"/>
  <c r="D135" i="40"/>
  <c r="E135" i="40"/>
  <c r="F135" i="40"/>
  <c r="L135" i="40"/>
  <c r="M135" i="40"/>
  <c r="N135" i="40"/>
  <c r="O135" i="40"/>
  <c r="Q135" i="40"/>
  <c r="C136" i="40"/>
  <c r="D136" i="40"/>
  <c r="E136" i="40"/>
  <c r="F136" i="40"/>
  <c r="G136" i="40"/>
  <c r="L136" i="40"/>
  <c r="M136" i="40"/>
  <c r="N136" i="40"/>
  <c r="P136" i="40"/>
  <c r="C137" i="40"/>
  <c r="D137" i="40"/>
  <c r="E137" i="40"/>
  <c r="G137" i="40"/>
  <c r="L137" i="40"/>
  <c r="M137" i="40"/>
  <c r="N137" i="40"/>
  <c r="Q137" i="40"/>
  <c r="C138" i="40"/>
  <c r="D138" i="40"/>
  <c r="E138" i="40"/>
  <c r="F138" i="40"/>
  <c r="G138" i="40"/>
  <c r="L138" i="40"/>
  <c r="M138" i="40"/>
  <c r="N138" i="40"/>
  <c r="O138" i="40"/>
  <c r="C139" i="40"/>
  <c r="D139" i="40"/>
  <c r="E139" i="40"/>
  <c r="F139" i="40"/>
  <c r="L139" i="40"/>
  <c r="M139" i="40"/>
  <c r="N139" i="40"/>
  <c r="O139" i="40"/>
  <c r="Q139" i="40"/>
  <c r="C140" i="40"/>
  <c r="D140" i="40"/>
  <c r="E140" i="40"/>
  <c r="F140" i="40"/>
  <c r="H140" i="40"/>
  <c r="L140" i="40"/>
  <c r="M140" i="40"/>
  <c r="N140" i="40"/>
  <c r="O140" i="40"/>
  <c r="Q140" i="40"/>
  <c r="C141" i="40"/>
  <c r="D141" i="40"/>
  <c r="E141" i="40"/>
  <c r="F141" i="40"/>
  <c r="H141" i="40"/>
  <c r="L141" i="40"/>
  <c r="M141" i="40"/>
  <c r="N141" i="40"/>
  <c r="O141" i="40"/>
  <c r="Q141" i="40"/>
  <c r="C142" i="40"/>
  <c r="D142" i="40"/>
  <c r="E142" i="40"/>
  <c r="F142" i="40"/>
  <c r="G142" i="40"/>
  <c r="H142" i="40"/>
  <c r="L142" i="40"/>
  <c r="M142" i="40"/>
  <c r="N142" i="40"/>
  <c r="O142" i="40"/>
  <c r="P142" i="40"/>
  <c r="Q142" i="40"/>
  <c r="C144" i="40"/>
  <c r="D144" i="40"/>
  <c r="E144" i="40"/>
  <c r="F144" i="40"/>
  <c r="G144" i="40"/>
  <c r="H144" i="40"/>
  <c r="L144" i="40"/>
  <c r="M144" i="40"/>
  <c r="N144" i="40"/>
  <c r="O144" i="40"/>
  <c r="P144" i="40"/>
  <c r="C145" i="40"/>
  <c r="D145" i="40"/>
  <c r="E145" i="40"/>
  <c r="G145" i="40"/>
  <c r="L145" i="40"/>
  <c r="M145" i="40"/>
  <c r="N145" i="40"/>
  <c r="Q145" i="40"/>
  <c r="C146" i="40"/>
  <c r="D146" i="40"/>
  <c r="E146" i="40"/>
  <c r="F146" i="40"/>
  <c r="G146" i="40"/>
  <c r="H146" i="40"/>
  <c r="L146" i="40"/>
  <c r="M146" i="40"/>
  <c r="N146" i="40"/>
  <c r="O146" i="40"/>
  <c r="Q146" i="40"/>
  <c r="C147" i="40"/>
  <c r="D147" i="40"/>
  <c r="E147" i="40"/>
  <c r="G147" i="40"/>
  <c r="L147" i="40"/>
  <c r="M147" i="40"/>
  <c r="N147" i="40"/>
  <c r="C148" i="40"/>
  <c r="D148" i="40"/>
  <c r="E148" i="40"/>
  <c r="F148" i="40"/>
  <c r="G148" i="40"/>
  <c r="L148" i="40"/>
  <c r="M148" i="40"/>
  <c r="N148" i="40"/>
  <c r="O148" i="40"/>
  <c r="P148" i="40"/>
  <c r="C149" i="40"/>
  <c r="D149" i="40"/>
  <c r="E149" i="40"/>
  <c r="F149" i="40"/>
  <c r="L149" i="40"/>
  <c r="M149" i="40"/>
  <c r="N149" i="40"/>
  <c r="C150" i="40"/>
  <c r="D150" i="40"/>
  <c r="E150" i="40"/>
  <c r="G150" i="40"/>
  <c r="H150" i="40"/>
  <c r="L150" i="40"/>
  <c r="M150" i="40"/>
  <c r="N150" i="40"/>
  <c r="Q150" i="40"/>
  <c r="C151" i="40"/>
  <c r="D151" i="40"/>
  <c r="E151" i="40"/>
  <c r="F151" i="40"/>
  <c r="G151" i="40"/>
  <c r="L151" i="40"/>
  <c r="M151" i="40"/>
  <c r="N151" i="40"/>
  <c r="O151" i="40"/>
  <c r="P151" i="40"/>
  <c r="Q151" i="40"/>
  <c r="C152" i="40"/>
  <c r="D152" i="40"/>
  <c r="E152" i="40"/>
  <c r="F152" i="40"/>
  <c r="G152" i="40"/>
  <c r="L152" i="40"/>
  <c r="M152" i="40"/>
  <c r="N152" i="40"/>
  <c r="O152" i="40"/>
  <c r="P152" i="40"/>
  <c r="C153" i="40"/>
  <c r="D153" i="40"/>
  <c r="E153" i="40"/>
  <c r="F153" i="40"/>
  <c r="G153" i="40"/>
  <c r="H153" i="40"/>
  <c r="L153" i="40"/>
  <c r="M153" i="40"/>
  <c r="N153" i="40"/>
  <c r="O153" i="40"/>
  <c r="Q153" i="40"/>
  <c r="C154" i="40"/>
  <c r="D154" i="40"/>
  <c r="E154" i="40"/>
  <c r="F154" i="40"/>
  <c r="H154" i="40"/>
  <c r="L154" i="40"/>
  <c r="M154" i="40"/>
  <c r="N154" i="40"/>
  <c r="O154" i="40"/>
  <c r="Q154" i="40"/>
  <c r="C155" i="40"/>
  <c r="D155" i="40"/>
  <c r="E155" i="40"/>
  <c r="F155" i="40"/>
  <c r="G155" i="40"/>
  <c r="H155" i="40"/>
  <c r="L155" i="40"/>
  <c r="M155" i="40"/>
  <c r="N155" i="40"/>
  <c r="O155" i="40"/>
  <c r="Q155" i="40"/>
  <c r="C157" i="40"/>
  <c r="D157" i="40"/>
  <c r="E157" i="40"/>
  <c r="F157" i="40"/>
  <c r="G157" i="40"/>
  <c r="L157" i="40"/>
  <c r="M157" i="40"/>
  <c r="N157" i="40"/>
  <c r="O157" i="40"/>
  <c r="Q157" i="40"/>
  <c r="C158" i="40"/>
  <c r="D158" i="40"/>
  <c r="E158" i="40"/>
  <c r="G158" i="40"/>
  <c r="H158" i="40"/>
  <c r="L158" i="40"/>
  <c r="M158" i="40"/>
  <c r="N158" i="40"/>
  <c r="C159" i="40"/>
  <c r="D159" i="40"/>
  <c r="E159" i="40"/>
  <c r="F159" i="40"/>
  <c r="G159" i="40"/>
  <c r="L159" i="40"/>
  <c r="M159" i="40"/>
  <c r="N159" i="40"/>
  <c r="O159" i="40"/>
  <c r="Q159" i="40"/>
  <c r="C160" i="40"/>
  <c r="D160" i="40"/>
  <c r="E160" i="40"/>
  <c r="G160" i="40"/>
  <c r="H160" i="40"/>
  <c r="L160" i="40"/>
  <c r="M160" i="40"/>
  <c r="N160" i="40"/>
  <c r="P160" i="40"/>
  <c r="C161" i="40"/>
  <c r="D161" i="40"/>
  <c r="E161" i="40"/>
  <c r="F161" i="40"/>
  <c r="G161" i="40"/>
  <c r="L161" i="40"/>
  <c r="M161" i="40"/>
  <c r="N161" i="40"/>
  <c r="O161" i="40"/>
  <c r="P161" i="40"/>
  <c r="Q161" i="40"/>
  <c r="C162" i="40"/>
  <c r="D162" i="40"/>
  <c r="E162" i="40"/>
  <c r="F162" i="40"/>
  <c r="G162" i="40"/>
  <c r="L162" i="40"/>
  <c r="M162" i="40"/>
  <c r="N162" i="40"/>
  <c r="P162" i="40"/>
  <c r="C163" i="40"/>
  <c r="D163" i="40"/>
  <c r="E163" i="40"/>
  <c r="L163" i="40"/>
  <c r="M163" i="40"/>
  <c r="N163" i="40"/>
  <c r="P163" i="40"/>
  <c r="C164" i="40"/>
  <c r="D164" i="40"/>
  <c r="E164" i="40"/>
  <c r="F164" i="40"/>
  <c r="G164" i="40"/>
  <c r="L164" i="40"/>
  <c r="M164" i="40"/>
  <c r="N164" i="40"/>
  <c r="O164" i="40"/>
  <c r="C165" i="40"/>
  <c r="D165" i="40"/>
  <c r="E165" i="40"/>
  <c r="F165" i="40"/>
  <c r="G165" i="40"/>
  <c r="L165" i="40"/>
  <c r="M165" i="40"/>
  <c r="N165" i="40"/>
  <c r="O165" i="40"/>
  <c r="P165" i="40"/>
  <c r="C166" i="40"/>
  <c r="D166" i="40"/>
  <c r="E166" i="40"/>
  <c r="F166" i="40"/>
  <c r="G166" i="40"/>
  <c r="H166" i="40"/>
  <c r="L166" i="40"/>
  <c r="M166" i="40"/>
  <c r="N166" i="40"/>
  <c r="O166" i="40"/>
  <c r="Q166" i="40"/>
  <c r="C167" i="40"/>
  <c r="D167" i="40"/>
  <c r="E167" i="40"/>
  <c r="F167" i="40"/>
  <c r="G167" i="40"/>
  <c r="H167" i="40"/>
  <c r="L167" i="40"/>
  <c r="M167" i="40"/>
  <c r="N167" i="40"/>
  <c r="O167" i="40"/>
  <c r="Q167" i="40"/>
  <c r="C168" i="40"/>
  <c r="D168" i="40"/>
  <c r="E168" i="40"/>
  <c r="F168" i="40"/>
  <c r="H168" i="40"/>
  <c r="L168" i="40"/>
  <c r="M168" i="40"/>
  <c r="N168" i="40"/>
  <c r="O168" i="40"/>
  <c r="Q168" i="40"/>
  <c r="C170" i="40"/>
  <c r="D170" i="40"/>
  <c r="E170" i="40"/>
  <c r="F170" i="40"/>
  <c r="G170" i="40"/>
  <c r="H170" i="40"/>
  <c r="L170" i="40"/>
  <c r="M170" i="40"/>
  <c r="N170" i="40"/>
  <c r="O170" i="40"/>
  <c r="P170" i="40"/>
  <c r="Q170" i="40"/>
  <c r="C171" i="40"/>
  <c r="D171" i="40"/>
  <c r="E171" i="40"/>
  <c r="L171" i="40"/>
  <c r="M171" i="40"/>
  <c r="N171" i="40"/>
  <c r="Q171" i="40"/>
  <c r="C172" i="40"/>
  <c r="D172" i="40"/>
  <c r="E172" i="40"/>
  <c r="F172" i="40"/>
  <c r="G172" i="40"/>
  <c r="H172" i="40"/>
  <c r="L172" i="40"/>
  <c r="M172" i="40"/>
  <c r="N172" i="40"/>
  <c r="O172" i="40"/>
  <c r="C173" i="40"/>
  <c r="D173" i="40"/>
  <c r="E173" i="40"/>
  <c r="L173" i="40"/>
  <c r="M173" i="40"/>
  <c r="N173" i="40"/>
  <c r="C174" i="40"/>
  <c r="D174" i="40"/>
  <c r="E174" i="40"/>
  <c r="F174" i="40"/>
  <c r="G174" i="40"/>
  <c r="H174" i="40"/>
  <c r="L174" i="40"/>
  <c r="M174" i="40"/>
  <c r="N174" i="40"/>
  <c r="O174" i="40"/>
  <c r="P174" i="40"/>
  <c r="C175" i="40"/>
  <c r="D175" i="40"/>
  <c r="E175" i="40"/>
  <c r="F175" i="40"/>
  <c r="G175" i="40"/>
  <c r="L175" i="40"/>
  <c r="M175" i="40"/>
  <c r="N175" i="40"/>
  <c r="C176" i="40"/>
  <c r="D176" i="40"/>
  <c r="E176" i="40"/>
  <c r="G176" i="40"/>
  <c r="L176" i="40"/>
  <c r="M176" i="40"/>
  <c r="N176" i="40"/>
  <c r="P176" i="40"/>
  <c r="Q176" i="40"/>
  <c r="C177" i="40"/>
  <c r="D177" i="40"/>
  <c r="E177" i="40"/>
  <c r="F177" i="40"/>
  <c r="L177" i="40"/>
  <c r="M177" i="40"/>
  <c r="N177" i="40"/>
  <c r="O177" i="40"/>
  <c r="P177" i="40"/>
  <c r="Q177" i="40"/>
  <c r="C178" i="40"/>
  <c r="D178" i="40"/>
  <c r="E178" i="40"/>
  <c r="F178" i="40"/>
  <c r="G178" i="40"/>
  <c r="L178" i="40"/>
  <c r="M178" i="40"/>
  <c r="N178" i="40"/>
  <c r="O178" i="40"/>
  <c r="Q178" i="40"/>
  <c r="C179" i="40"/>
  <c r="D179" i="40"/>
  <c r="E179" i="40"/>
  <c r="F179" i="40"/>
  <c r="H179" i="40"/>
  <c r="L179" i="40"/>
  <c r="M179" i="40"/>
  <c r="N179" i="40"/>
  <c r="O179" i="40"/>
  <c r="Q179" i="40"/>
  <c r="C180" i="40"/>
  <c r="D180" i="40"/>
  <c r="E180" i="40"/>
  <c r="F180" i="40"/>
  <c r="G180" i="40"/>
  <c r="H180" i="40"/>
  <c r="L180" i="40"/>
  <c r="M180" i="40"/>
  <c r="N180" i="40"/>
  <c r="O180" i="40"/>
  <c r="P180" i="40"/>
  <c r="Q180" i="40"/>
  <c r="C181" i="40"/>
  <c r="D181" i="40"/>
  <c r="E181" i="40"/>
  <c r="F181" i="40"/>
  <c r="G181" i="40"/>
  <c r="H181" i="40"/>
  <c r="L181" i="40"/>
  <c r="M181" i="40"/>
  <c r="N181" i="40"/>
  <c r="O181" i="40"/>
  <c r="Q181" i="40"/>
  <c r="C183" i="40"/>
  <c r="D183" i="40"/>
  <c r="E183" i="40"/>
  <c r="F183" i="40"/>
  <c r="L183" i="40"/>
  <c r="M183" i="40"/>
  <c r="N183" i="40"/>
  <c r="O183" i="40"/>
  <c r="P183" i="40"/>
  <c r="Q183" i="40"/>
  <c r="C184" i="40"/>
  <c r="D184" i="40"/>
  <c r="E184" i="40"/>
  <c r="G184" i="40"/>
  <c r="H184" i="40"/>
  <c r="L184" i="40"/>
  <c r="M184" i="40"/>
  <c r="N184" i="40"/>
  <c r="Q184" i="40"/>
  <c r="C185" i="40"/>
  <c r="D185" i="40"/>
  <c r="E185" i="40"/>
  <c r="F185" i="40"/>
  <c r="G185" i="40"/>
  <c r="L185" i="40"/>
  <c r="M185" i="40"/>
  <c r="N185" i="40"/>
  <c r="O185" i="40"/>
  <c r="Q185" i="40"/>
  <c r="C186" i="40"/>
  <c r="D186" i="40"/>
  <c r="E186" i="40"/>
  <c r="G186" i="40"/>
  <c r="L186" i="40"/>
  <c r="M186" i="40"/>
  <c r="N186" i="40"/>
  <c r="P186" i="40"/>
  <c r="Q186" i="40"/>
  <c r="C187" i="40"/>
  <c r="D187" i="40"/>
  <c r="E187" i="40"/>
  <c r="F187" i="40"/>
  <c r="L187" i="40"/>
  <c r="M187" i="40"/>
  <c r="N187" i="40"/>
  <c r="O187" i="40"/>
  <c r="Q187" i="40"/>
  <c r="C188" i="40"/>
  <c r="D188" i="40"/>
  <c r="E188" i="40"/>
  <c r="F188" i="40"/>
  <c r="G188" i="40"/>
  <c r="H188" i="40"/>
  <c r="L188" i="40"/>
  <c r="M188" i="40"/>
  <c r="N188" i="40"/>
  <c r="P188" i="40"/>
  <c r="C189" i="40"/>
  <c r="D189" i="40"/>
  <c r="E189" i="40"/>
  <c r="G189" i="40"/>
  <c r="L189" i="40"/>
  <c r="M189" i="40"/>
  <c r="N189" i="40"/>
  <c r="P189" i="40"/>
  <c r="Q189" i="40"/>
  <c r="C190" i="40"/>
  <c r="D190" i="40"/>
  <c r="E190" i="40"/>
  <c r="F190" i="40"/>
  <c r="G190" i="40"/>
  <c r="L190" i="40"/>
  <c r="M190" i="40"/>
  <c r="N190" i="40"/>
  <c r="O190" i="40"/>
  <c r="C191" i="40"/>
  <c r="D191" i="40"/>
  <c r="E191" i="40"/>
  <c r="F191" i="40"/>
  <c r="L191" i="40"/>
  <c r="M191" i="40"/>
  <c r="N191" i="40"/>
  <c r="O191" i="40"/>
  <c r="P191" i="40"/>
  <c r="Q191" i="40"/>
  <c r="C192" i="40"/>
  <c r="D192" i="40"/>
  <c r="E192" i="40"/>
  <c r="F192" i="40"/>
  <c r="G192" i="40"/>
  <c r="H192" i="40"/>
  <c r="L192" i="40"/>
  <c r="M192" i="40"/>
  <c r="N192" i="40"/>
  <c r="O192" i="40"/>
  <c r="Q192" i="40"/>
  <c r="C193" i="40"/>
  <c r="D193" i="40"/>
  <c r="E193" i="40"/>
  <c r="F193" i="40"/>
  <c r="G193" i="40"/>
  <c r="H193" i="40"/>
  <c r="L193" i="40"/>
  <c r="M193" i="40"/>
  <c r="N193" i="40"/>
  <c r="O193" i="40"/>
  <c r="Q193" i="40"/>
  <c r="C194" i="40"/>
  <c r="D194" i="40"/>
  <c r="E194" i="40"/>
  <c r="F194" i="40"/>
  <c r="H194" i="40"/>
  <c r="L194" i="40"/>
  <c r="M194" i="40"/>
  <c r="N194" i="40"/>
  <c r="O194" i="40"/>
  <c r="P194" i="40"/>
  <c r="Q194" i="40"/>
  <c r="C196" i="40"/>
  <c r="D196" i="40"/>
  <c r="E196" i="40"/>
  <c r="F196" i="40"/>
  <c r="G196" i="40"/>
  <c r="H196" i="40"/>
  <c r="L196" i="40"/>
  <c r="M196" i="40"/>
  <c r="N196" i="40"/>
  <c r="O196" i="40"/>
  <c r="P196" i="40"/>
  <c r="C197" i="40"/>
  <c r="D197" i="40"/>
  <c r="E197" i="40"/>
  <c r="G197" i="40"/>
  <c r="H197" i="40"/>
  <c r="L197" i="40"/>
  <c r="M197" i="40"/>
  <c r="N197" i="40"/>
  <c r="Q197" i="40"/>
  <c r="C198" i="40"/>
  <c r="D198" i="40"/>
  <c r="E198" i="40"/>
  <c r="F198" i="40"/>
  <c r="G198" i="40"/>
  <c r="L198" i="40"/>
  <c r="M198" i="40"/>
  <c r="N198" i="40"/>
  <c r="O198" i="40"/>
  <c r="P198" i="40"/>
  <c r="Q198" i="40"/>
  <c r="C199" i="40"/>
  <c r="D199" i="40"/>
  <c r="E199" i="40"/>
  <c r="G199" i="40"/>
  <c r="L199" i="40"/>
  <c r="M199" i="40"/>
  <c r="N199" i="40"/>
  <c r="C200" i="40"/>
  <c r="D200" i="40"/>
  <c r="E200" i="40"/>
  <c r="F200" i="40"/>
  <c r="G200" i="40"/>
  <c r="L200" i="40"/>
  <c r="M200" i="40"/>
  <c r="N200" i="40"/>
  <c r="O200" i="40"/>
  <c r="P200" i="40"/>
  <c r="C201" i="40"/>
  <c r="D201" i="40"/>
  <c r="E201" i="40"/>
  <c r="F201" i="40"/>
  <c r="L201" i="40"/>
  <c r="M201" i="40"/>
  <c r="N201" i="40"/>
  <c r="C202" i="40"/>
  <c r="D202" i="40"/>
  <c r="E202" i="40"/>
  <c r="G202" i="40"/>
  <c r="H202" i="40"/>
  <c r="L202" i="40"/>
  <c r="M202" i="40"/>
  <c r="N202" i="40"/>
  <c r="Q202" i="40"/>
  <c r="C203" i="40"/>
  <c r="D203" i="40"/>
  <c r="E203" i="40"/>
  <c r="F203" i="40"/>
  <c r="G203" i="40"/>
  <c r="L203" i="40"/>
  <c r="M203" i="40"/>
  <c r="N203" i="40"/>
  <c r="O203" i="40"/>
  <c r="P203" i="40"/>
  <c r="Q203" i="40"/>
  <c r="C204" i="40"/>
  <c r="D204" i="40"/>
  <c r="E204" i="40"/>
  <c r="F204" i="40"/>
  <c r="G204" i="40"/>
  <c r="L204" i="40"/>
  <c r="M204" i="40"/>
  <c r="N204" i="40"/>
  <c r="O204" i="40"/>
  <c r="P204" i="40"/>
  <c r="Q204" i="40"/>
  <c r="C205" i="40"/>
  <c r="D205" i="40"/>
  <c r="E205" i="40"/>
  <c r="F205" i="40"/>
  <c r="G205" i="40"/>
  <c r="H205" i="40"/>
  <c r="L205" i="40"/>
  <c r="M205" i="40"/>
  <c r="N205" i="40"/>
  <c r="O205" i="40"/>
  <c r="Q205" i="40"/>
  <c r="C206" i="40"/>
  <c r="D206" i="40"/>
  <c r="E206" i="40"/>
  <c r="F206" i="40"/>
  <c r="G206" i="40"/>
  <c r="H206" i="40"/>
  <c r="L206" i="40"/>
  <c r="M206" i="40"/>
  <c r="N206" i="40"/>
  <c r="O206" i="40"/>
  <c r="P206" i="40"/>
  <c r="Q206" i="40"/>
  <c r="C207" i="40"/>
  <c r="D207" i="40"/>
  <c r="E207" i="40"/>
  <c r="F207" i="40"/>
  <c r="H207" i="40"/>
  <c r="L207" i="40"/>
  <c r="M207" i="40"/>
  <c r="N207" i="40"/>
  <c r="O207" i="40"/>
  <c r="Q207" i="40"/>
  <c r="C210" i="40"/>
  <c r="L210" i="40"/>
  <c r="C212" i="40"/>
  <c r="D212" i="40"/>
  <c r="E212" i="40"/>
  <c r="F212" i="40"/>
  <c r="L212" i="40"/>
  <c r="M212" i="40"/>
  <c r="N212" i="40"/>
  <c r="O212" i="40"/>
  <c r="P212" i="40"/>
  <c r="C213" i="40"/>
  <c r="D213" i="40"/>
  <c r="E213" i="40"/>
  <c r="G213" i="40"/>
  <c r="L213" i="40"/>
  <c r="M213" i="40"/>
  <c r="N213" i="40"/>
  <c r="P213" i="40"/>
  <c r="Q213" i="40"/>
  <c r="C214" i="40"/>
  <c r="D214" i="40"/>
  <c r="E214" i="40"/>
  <c r="F214" i="40"/>
  <c r="L214" i="40"/>
  <c r="M214" i="40"/>
  <c r="N214" i="40"/>
  <c r="O214" i="40"/>
  <c r="P214" i="40"/>
  <c r="C215" i="40"/>
  <c r="D215" i="40"/>
  <c r="E215" i="40"/>
  <c r="G215" i="40"/>
  <c r="L215" i="40"/>
  <c r="M215" i="40"/>
  <c r="N215" i="40"/>
  <c r="P215" i="40"/>
  <c r="Q215" i="40"/>
  <c r="C216" i="40"/>
  <c r="D216" i="40"/>
  <c r="E216" i="40"/>
  <c r="F216" i="40"/>
  <c r="L216" i="40"/>
  <c r="M216" i="40"/>
  <c r="N216" i="40"/>
  <c r="O216" i="40"/>
  <c r="P216" i="40"/>
  <c r="C217" i="40"/>
  <c r="D217" i="40"/>
  <c r="E217" i="40"/>
  <c r="G217" i="40"/>
  <c r="H217" i="40"/>
  <c r="L217" i="40"/>
  <c r="M217" i="40"/>
  <c r="N217" i="40"/>
  <c r="P217" i="40"/>
  <c r="C218" i="40"/>
  <c r="D218" i="40"/>
  <c r="E218" i="40"/>
  <c r="L218" i="40"/>
  <c r="M218" i="40"/>
  <c r="N218" i="40"/>
  <c r="P218" i="40"/>
  <c r="Q218" i="40"/>
  <c r="C219" i="40"/>
  <c r="D219" i="40"/>
  <c r="E219" i="40"/>
  <c r="F219" i="40"/>
  <c r="H219" i="40"/>
  <c r="L219" i="40"/>
  <c r="M219" i="40"/>
  <c r="N219" i="40"/>
  <c r="O219" i="40"/>
  <c r="P219" i="40"/>
  <c r="C220" i="40"/>
  <c r="D220" i="40"/>
  <c r="E220" i="40"/>
  <c r="F220" i="40"/>
  <c r="H220" i="40"/>
  <c r="L220" i="40"/>
  <c r="M220" i="40"/>
  <c r="N220" i="40"/>
  <c r="O220" i="40"/>
  <c r="P220" i="40"/>
  <c r="Q220" i="40"/>
  <c r="C221" i="40"/>
  <c r="D221" i="40"/>
  <c r="E221" i="40"/>
  <c r="F221" i="40"/>
  <c r="H221" i="40"/>
  <c r="L221" i="40"/>
  <c r="M221" i="40"/>
  <c r="N221" i="40"/>
  <c r="O221" i="40"/>
  <c r="P221" i="40"/>
  <c r="Q221" i="40"/>
  <c r="C222" i="40"/>
  <c r="D222" i="40"/>
  <c r="E222" i="40"/>
  <c r="F222" i="40"/>
  <c r="H222" i="40"/>
  <c r="L222" i="40"/>
  <c r="M222" i="40"/>
  <c r="N222" i="40"/>
  <c r="O222" i="40"/>
  <c r="Q222" i="40"/>
  <c r="C223" i="40"/>
  <c r="D223" i="40"/>
  <c r="E223" i="40"/>
  <c r="F223" i="40"/>
  <c r="G223" i="40"/>
  <c r="H223" i="40"/>
  <c r="L223" i="40"/>
  <c r="M223" i="40"/>
  <c r="N223" i="40"/>
  <c r="O223" i="40"/>
  <c r="Q223" i="40"/>
  <c r="C225" i="40"/>
  <c r="D225" i="40"/>
  <c r="E225" i="40"/>
  <c r="F225" i="40"/>
  <c r="G225" i="40"/>
  <c r="H225" i="40"/>
  <c r="L225" i="40"/>
  <c r="M225" i="40"/>
  <c r="N225" i="40"/>
  <c r="O225" i="40"/>
  <c r="P225" i="40"/>
  <c r="Q225" i="40"/>
  <c r="C226" i="40"/>
  <c r="D226" i="40"/>
  <c r="E226" i="40"/>
  <c r="H226" i="40"/>
  <c r="L226" i="40"/>
  <c r="M226" i="40"/>
  <c r="N226" i="40"/>
  <c r="P226" i="40"/>
  <c r="C227" i="40"/>
  <c r="D227" i="40"/>
  <c r="E227" i="40"/>
  <c r="F227" i="40"/>
  <c r="G227" i="40"/>
  <c r="H227" i="40"/>
  <c r="L227" i="40"/>
  <c r="M227" i="40"/>
  <c r="N227" i="40"/>
  <c r="O227" i="40"/>
  <c r="P227" i="40"/>
  <c r="Q227" i="40"/>
  <c r="C228" i="40"/>
  <c r="D228" i="40"/>
  <c r="E228" i="40"/>
  <c r="G228" i="40"/>
  <c r="H228" i="40"/>
  <c r="L228" i="40"/>
  <c r="M228" i="40"/>
  <c r="N228" i="40"/>
  <c r="C229" i="40"/>
  <c r="D229" i="40"/>
  <c r="E229" i="40"/>
  <c r="F229" i="40"/>
  <c r="G229" i="40"/>
  <c r="H229" i="40"/>
  <c r="L229" i="40"/>
  <c r="M229" i="40"/>
  <c r="N229" i="40"/>
  <c r="O229" i="40"/>
  <c r="P229" i="40"/>
  <c r="C230" i="40"/>
  <c r="D230" i="40"/>
  <c r="E230" i="40"/>
  <c r="H230" i="40"/>
  <c r="L230" i="40"/>
  <c r="M230" i="40"/>
  <c r="N230" i="40"/>
  <c r="P230" i="40"/>
  <c r="C231" i="40"/>
  <c r="D231" i="40"/>
  <c r="E231" i="40"/>
  <c r="L231" i="40"/>
  <c r="M231" i="40"/>
  <c r="N231" i="40"/>
  <c r="P231" i="40"/>
  <c r="C232" i="40"/>
  <c r="D232" i="40"/>
  <c r="E232" i="40"/>
  <c r="F232" i="40"/>
  <c r="G232" i="40"/>
  <c r="L232" i="40"/>
  <c r="M232" i="40"/>
  <c r="N232" i="40"/>
  <c r="O232" i="40"/>
  <c r="P232" i="40"/>
  <c r="Q232" i="40"/>
  <c r="C233" i="40"/>
  <c r="D233" i="40"/>
  <c r="E233" i="40"/>
  <c r="F233" i="40"/>
  <c r="H233" i="40"/>
  <c r="L233" i="40"/>
  <c r="M233" i="40"/>
  <c r="N233" i="40"/>
  <c r="O233" i="40"/>
  <c r="C234" i="40"/>
  <c r="D234" i="40"/>
  <c r="E234" i="40"/>
  <c r="F234" i="40"/>
  <c r="G234" i="40"/>
  <c r="H234" i="40"/>
  <c r="L234" i="40"/>
  <c r="M234" i="40"/>
  <c r="N234" i="40"/>
  <c r="O234" i="40"/>
  <c r="Q234" i="40"/>
  <c r="C235" i="40"/>
  <c r="D235" i="40"/>
  <c r="E235" i="40"/>
  <c r="F235" i="40"/>
  <c r="H235" i="40"/>
  <c r="L235" i="40"/>
  <c r="M235" i="40"/>
  <c r="N235" i="40"/>
  <c r="O235" i="40"/>
  <c r="P235" i="40"/>
  <c r="Q235" i="40"/>
  <c r="C236" i="40"/>
  <c r="D236" i="40"/>
  <c r="E236" i="40"/>
  <c r="F236" i="40"/>
  <c r="H236" i="40"/>
  <c r="L236" i="40"/>
  <c r="M236" i="40"/>
  <c r="N236" i="40"/>
  <c r="O236" i="40"/>
  <c r="Q236" i="40"/>
  <c r="C238" i="40"/>
  <c r="D238" i="40"/>
  <c r="E238" i="40"/>
  <c r="F238" i="40"/>
  <c r="L238" i="40"/>
  <c r="M238" i="40"/>
  <c r="N238" i="40"/>
  <c r="O238" i="40"/>
  <c r="P238" i="40"/>
  <c r="C239" i="40"/>
  <c r="D239" i="40"/>
  <c r="E239" i="40"/>
  <c r="G239" i="40"/>
  <c r="H239" i="40"/>
  <c r="L239" i="40"/>
  <c r="M239" i="40"/>
  <c r="N239" i="40"/>
  <c r="P239" i="40"/>
  <c r="Q239" i="40"/>
  <c r="C240" i="40"/>
  <c r="D240" i="40"/>
  <c r="E240" i="40"/>
  <c r="F240" i="40"/>
  <c r="L240" i="40"/>
  <c r="M240" i="40"/>
  <c r="N240" i="40"/>
  <c r="O240" i="40"/>
  <c r="P240" i="40"/>
  <c r="C241" i="40"/>
  <c r="D241" i="40"/>
  <c r="E241" i="40"/>
  <c r="G241" i="40"/>
  <c r="H241" i="40"/>
  <c r="L241" i="40"/>
  <c r="M241" i="40"/>
  <c r="N241" i="40"/>
  <c r="P241" i="40"/>
  <c r="C242" i="40"/>
  <c r="D242" i="40"/>
  <c r="E242" i="40"/>
  <c r="F242" i="40"/>
  <c r="L242" i="40"/>
  <c r="M242" i="40"/>
  <c r="N242" i="40"/>
  <c r="O242" i="40"/>
  <c r="C243" i="40"/>
  <c r="D243" i="40"/>
  <c r="E243" i="40"/>
  <c r="G243" i="40"/>
  <c r="L243" i="40"/>
  <c r="M243" i="40"/>
  <c r="N243" i="40"/>
  <c r="P243" i="40"/>
  <c r="Q243" i="40"/>
  <c r="C244" i="40"/>
  <c r="D244" i="40"/>
  <c r="E244" i="40"/>
  <c r="H244" i="40"/>
  <c r="L244" i="40"/>
  <c r="M244" i="40"/>
  <c r="N244" i="40"/>
  <c r="P244" i="40"/>
  <c r="Q244" i="40"/>
  <c r="C245" i="40"/>
  <c r="D245" i="40"/>
  <c r="E245" i="40"/>
  <c r="F245" i="40"/>
  <c r="G245" i="40"/>
  <c r="H245" i="40"/>
  <c r="L245" i="40"/>
  <c r="M245" i="40"/>
  <c r="N245" i="40"/>
  <c r="O245" i="40"/>
  <c r="C246" i="40"/>
  <c r="D246" i="40"/>
  <c r="E246" i="40"/>
  <c r="F246" i="40"/>
  <c r="H246" i="40"/>
  <c r="L246" i="40"/>
  <c r="M246" i="40"/>
  <c r="N246" i="40"/>
  <c r="O246" i="40"/>
  <c r="P246" i="40"/>
  <c r="Q246" i="40"/>
  <c r="C247" i="40"/>
  <c r="D247" i="40"/>
  <c r="E247" i="40"/>
  <c r="F247" i="40"/>
  <c r="G247" i="40"/>
  <c r="H247" i="40"/>
  <c r="L247" i="40"/>
  <c r="M247" i="40"/>
  <c r="N247" i="40"/>
  <c r="O247" i="40"/>
  <c r="P247" i="40"/>
  <c r="Q247" i="40"/>
  <c r="C248" i="40"/>
  <c r="D248" i="40"/>
  <c r="E248" i="40"/>
  <c r="F248" i="40"/>
  <c r="H248" i="40"/>
  <c r="L248" i="40"/>
  <c r="M248" i="40"/>
  <c r="N248" i="40"/>
  <c r="O248" i="40"/>
  <c r="Q248" i="40"/>
  <c r="C249" i="40"/>
  <c r="D249" i="40"/>
  <c r="E249" i="40"/>
  <c r="F249" i="40"/>
  <c r="H249" i="40"/>
  <c r="L249" i="40"/>
  <c r="M249" i="40"/>
  <c r="N249" i="40"/>
  <c r="O249" i="40"/>
  <c r="P249" i="40"/>
  <c r="Q249" i="40"/>
  <c r="C251" i="40"/>
  <c r="D251" i="40"/>
  <c r="E251" i="40"/>
  <c r="F251" i="40"/>
  <c r="G251" i="40"/>
  <c r="H251" i="40"/>
  <c r="L251" i="40"/>
  <c r="M251" i="40"/>
  <c r="N251" i="40"/>
  <c r="O251" i="40"/>
  <c r="P251" i="40"/>
  <c r="Q251" i="40"/>
  <c r="C252" i="40"/>
  <c r="D252" i="40"/>
  <c r="E252" i="40"/>
  <c r="G252" i="40"/>
  <c r="H252" i="40"/>
  <c r="L252" i="40"/>
  <c r="M252" i="40"/>
  <c r="N252" i="40"/>
  <c r="P252" i="40"/>
  <c r="C253" i="40"/>
  <c r="D253" i="40"/>
  <c r="E253" i="40"/>
  <c r="F253" i="40"/>
  <c r="G253" i="40"/>
  <c r="H253" i="40"/>
  <c r="L253" i="40"/>
  <c r="M253" i="40"/>
  <c r="N253" i="40"/>
  <c r="O253" i="40"/>
  <c r="P253" i="40"/>
  <c r="Q253" i="40"/>
  <c r="C254" i="40"/>
  <c r="D254" i="40"/>
  <c r="E254" i="40"/>
  <c r="H254" i="40"/>
  <c r="L254" i="40"/>
  <c r="M254" i="40"/>
  <c r="N254" i="40"/>
  <c r="P254" i="40"/>
  <c r="C255" i="40"/>
  <c r="D255" i="40"/>
  <c r="E255" i="40"/>
  <c r="F255" i="40"/>
  <c r="G255" i="40"/>
  <c r="H255" i="40"/>
  <c r="L255" i="40"/>
  <c r="M255" i="40"/>
  <c r="N255" i="40"/>
  <c r="O255" i="40"/>
  <c r="P255" i="40"/>
  <c r="C256" i="40"/>
  <c r="D256" i="40"/>
  <c r="E256" i="40"/>
  <c r="G256" i="40"/>
  <c r="H256" i="40"/>
  <c r="L256" i="40"/>
  <c r="M256" i="40"/>
  <c r="N256" i="40"/>
  <c r="P256" i="40"/>
  <c r="C257" i="40"/>
  <c r="D257" i="40"/>
  <c r="E257" i="40"/>
  <c r="G257" i="40"/>
  <c r="H257" i="40"/>
  <c r="L257" i="40"/>
  <c r="M257" i="40"/>
  <c r="N257" i="40"/>
  <c r="P257" i="40"/>
  <c r="C258" i="40"/>
  <c r="D258" i="40"/>
  <c r="E258" i="40"/>
  <c r="F258" i="40"/>
  <c r="H258" i="40"/>
  <c r="L258" i="40"/>
  <c r="M258" i="40"/>
  <c r="N258" i="40"/>
  <c r="O258" i="40"/>
  <c r="P258" i="40"/>
  <c r="Q258" i="40"/>
  <c r="C259" i="40"/>
  <c r="D259" i="40"/>
  <c r="E259" i="40"/>
  <c r="F259" i="40"/>
  <c r="G259" i="40"/>
  <c r="H259" i="40"/>
  <c r="L259" i="40"/>
  <c r="M259" i="40"/>
  <c r="N259" i="40"/>
  <c r="O259" i="40"/>
  <c r="C260" i="40"/>
  <c r="D260" i="40"/>
  <c r="E260" i="40"/>
  <c r="F260" i="40"/>
  <c r="H260" i="40"/>
  <c r="L260" i="40"/>
  <c r="M260" i="40"/>
  <c r="N260" i="40"/>
  <c r="O260" i="40"/>
  <c r="P260" i="40"/>
  <c r="Q260" i="40"/>
  <c r="C261" i="40"/>
  <c r="D261" i="40"/>
  <c r="E261" i="40"/>
  <c r="F261" i="40"/>
  <c r="G261" i="40"/>
  <c r="H261" i="40"/>
  <c r="L261" i="40"/>
  <c r="M261" i="40"/>
  <c r="N261" i="40"/>
  <c r="O261" i="40"/>
  <c r="Q261" i="40"/>
  <c r="C262" i="40"/>
  <c r="D262" i="40"/>
  <c r="E262" i="40"/>
  <c r="F262" i="40"/>
  <c r="H262" i="40"/>
  <c r="L262" i="40"/>
  <c r="M262" i="40"/>
  <c r="N262" i="40"/>
  <c r="O262" i="40"/>
  <c r="P262" i="40"/>
  <c r="Q262" i="40"/>
  <c r="A267" i="40"/>
  <c r="A275" i="40"/>
  <c r="A283" i="40"/>
  <c r="A289" i="40"/>
  <c r="A311" i="40"/>
  <c r="A265" i="40" s="1"/>
  <c r="I299" i="40"/>
  <c r="J299" i="40"/>
  <c r="K299" i="40"/>
  <c r="I300" i="40"/>
  <c r="J300" i="40"/>
  <c r="K300" i="40"/>
  <c r="I301" i="40"/>
  <c r="J301" i="40"/>
  <c r="K301" i="40"/>
  <c r="I302" i="40"/>
  <c r="J302" i="40"/>
  <c r="K302" i="40"/>
  <c r="I303" i="40"/>
  <c r="J303" i="40"/>
  <c r="K303" i="40"/>
  <c r="I304" i="40"/>
  <c r="J304" i="40"/>
  <c r="K304" i="40"/>
  <c r="I305" i="40"/>
  <c r="J305" i="40"/>
  <c r="K305" i="40"/>
  <c r="I306" i="40"/>
  <c r="J306" i="40"/>
  <c r="K306" i="40"/>
  <c r="I307" i="40"/>
  <c r="J307" i="40"/>
  <c r="K307" i="40"/>
  <c r="I308" i="40"/>
  <c r="J308" i="40"/>
  <c r="K308" i="40"/>
  <c r="I309" i="40"/>
  <c r="J309" i="40"/>
  <c r="K309" i="40"/>
  <c r="I310" i="40"/>
  <c r="J310" i="40"/>
  <c r="K310" i="40"/>
  <c r="D269" i="40" l="1"/>
  <c r="D282" i="40"/>
  <c r="B265" i="40"/>
  <c r="B294" i="40"/>
  <c r="C278" i="40"/>
  <c r="B287" i="40"/>
  <c r="E274" i="40"/>
  <c r="B291" i="40"/>
  <c r="C286" i="40"/>
  <c r="A274" i="40"/>
  <c r="B270" i="40"/>
  <c r="F281" i="40"/>
  <c r="D294" i="40"/>
  <c r="F291" i="40"/>
  <c r="B279" i="40"/>
  <c r="C294" i="40"/>
  <c r="E291" i="40"/>
  <c r="D286" i="40"/>
  <c r="C282" i="40"/>
  <c r="D278" i="40"/>
  <c r="D274" i="40"/>
  <c r="D272" i="40"/>
  <c r="F270" i="40"/>
  <c r="F293" i="40"/>
  <c r="F285" i="40"/>
  <c r="B281" i="40"/>
  <c r="F277" i="40"/>
  <c r="E273" i="40"/>
  <c r="A270" i="40"/>
  <c r="B293" i="40"/>
  <c r="B285" i="40"/>
  <c r="I266" i="40" s="1"/>
  <c r="A281" i="40"/>
  <c r="B277" i="40"/>
  <c r="D273" i="40"/>
  <c r="A293" i="40"/>
  <c r="D288" i="40"/>
  <c r="A285" i="40"/>
  <c r="D280" i="40"/>
  <c r="A277" i="40"/>
  <c r="A273" i="40"/>
  <c r="E271" i="40"/>
  <c r="E269" i="40"/>
  <c r="N298" i="40"/>
  <c r="N311" i="40" s="1"/>
  <c r="F292" i="40"/>
  <c r="F287" i="40"/>
  <c r="F279" i="40"/>
  <c r="A271" i="40"/>
  <c r="F269" i="40"/>
  <c r="C270" i="40"/>
  <c r="B271" i="40"/>
  <c r="A272" i="40"/>
  <c r="F273" i="40"/>
  <c r="F274" i="40"/>
  <c r="C277" i="40"/>
  <c r="E278" i="40"/>
  <c r="A280" i="40"/>
  <c r="C281" i="40"/>
  <c r="E282" i="40"/>
  <c r="C285" i="40"/>
  <c r="E286" i="40"/>
  <c r="A288" i="40"/>
  <c r="A292" i="40"/>
  <c r="C293" i="40"/>
  <c r="E294" i="40"/>
  <c r="E270" i="40"/>
  <c r="D271" i="40"/>
  <c r="C272" i="40"/>
  <c r="A279" i="40"/>
  <c r="C280" i="40"/>
  <c r="C288" i="40"/>
  <c r="C292" i="40"/>
  <c r="D270" i="40"/>
  <c r="C271" i="40"/>
  <c r="B272" i="40"/>
  <c r="D277" i="40"/>
  <c r="F278" i="40"/>
  <c r="B280" i="40"/>
  <c r="D281" i="40"/>
  <c r="F282" i="40"/>
  <c r="D285" i="40"/>
  <c r="F286" i="40"/>
  <c r="B288" i="40"/>
  <c r="B292" i="40"/>
  <c r="D293" i="40"/>
  <c r="F294" i="40"/>
  <c r="E277" i="40"/>
  <c r="E281" i="40"/>
  <c r="E285" i="40"/>
  <c r="A287" i="40"/>
  <c r="A291" i="40"/>
  <c r="E293" i="40"/>
  <c r="B269" i="40"/>
  <c r="F271" i="40"/>
  <c r="E272" i="40"/>
  <c r="B273" i="40"/>
  <c r="B274" i="40"/>
  <c r="A278" i="40"/>
  <c r="C279" i="40"/>
  <c r="E280" i="40"/>
  <c r="A282" i="40"/>
  <c r="A286" i="40"/>
  <c r="C287" i="40"/>
  <c r="E288" i="40"/>
  <c r="C291" i="40"/>
  <c r="E292" i="40"/>
  <c r="A294" i="40"/>
  <c r="C269" i="40"/>
  <c r="F272" i="40"/>
  <c r="C273" i="40"/>
  <c r="C274" i="40"/>
  <c r="B278" i="40"/>
  <c r="D279" i="40"/>
  <c r="F280" i="40"/>
  <c r="B282" i="40"/>
  <c r="B286" i="40"/>
  <c r="D287" i="40"/>
  <c r="F288" i="40"/>
  <c r="D291" i="40"/>
  <c r="D292" i="40"/>
  <c r="E287" i="40"/>
  <c r="E279" i="40"/>
  <c r="A269" i="40"/>
  <c r="J266" i="40" l="1"/>
  <c r="N270" i="40" s="1"/>
  <c r="O270" i="40" s="1"/>
  <c r="H24" i="17" s="1"/>
  <c r="K266" i="40"/>
  <c r="N271" i="40" s="1"/>
  <c r="O271" i="40" s="1"/>
  <c r="H269" i="40"/>
  <c r="N272" i="40" s="1"/>
  <c r="O272" i="40" s="1"/>
  <c r="B38" i="19"/>
  <c r="N269" i="40"/>
  <c r="O269" i="40" s="1"/>
  <c r="B268" i="40"/>
  <c r="B276" i="40" s="1"/>
  <c r="B284" i="40" s="1"/>
  <c r="B290" i="40" s="1"/>
  <c r="D268" i="40"/>
  <c r="D276" i="40" s="1"/>
  <c r="D284" i="40" s="1"/>
  <c r="D290" i="40" s="1"/>
  <c r="C268" i="40"/>
  <c r="C276" i="40" s="1"/>
  <c r="C284" i="40" s="1"/>
  <c r="C290" i="40" s="1"/>
  <c r="H266" i="40"/>
  <c r="N268" i="40" s="1"/>
  <c r="K267" i="40"/>
  <c r="N273" i="40" s="1"/>
  <c r="O273" i="40" s="1"/>
  <c r="M58" i="19" l="1"/>
  <c r="H26" i="27"/>
  <c r="H25" i="17"/>
  <c r="H23" i="17"/>
  <c r="N59" i="19"/>
  <c r="I269" i="40"/>
  <c r="O268" i="40"/>
  <c r="I272" i="40" l="1"/>
  <c r="S276" i="40"/>
  <c r="H272" i="40"/>
  <c r="Q276" i="40"/>
  <c r="E34" i="38"/>
  <c r="C34" i="38"/>
  <c r="G30" i="17"/>
  <c r="H16" i="27" l="1"/>
  <c r="F16" i="27"/>
  <c r="H274" i="40"/>
  <c r="E16" i="17" s="1"/>
  <c r="T34" i="19"/>
  <c r="T28" i="19" s="1"/>
  <c r="R31" i="19"/>
  <c r="R30" i="19"/>
  <c r="R29" i="19"/>
  <c r="R28" i="19"/>
  <c r="R32" i="19" l="1"/>
  <c r="T32" i="19" s="1"/>
  <c r="B42" i="19" s="1"/>
  <c r="B61" i="38" l="1"/>
  <c r="B60" i="38"/>
  <c r="B59" i="38"/>
  <c r="B58" i="38"/>
  <c r="B57" i="38"/>
  <c r="B56" i="38"/>
  <c r="B38" i="17" l="1"/>
  <c r="B40" i="27" s="1"/>
  <c r="C32" i="27"/>
  <c r="F32" i="27"/>
  <c r="E28" i="9" l="1"/>
  <c r="E26" i="9"/>
  <c r="AS38" i="38"/>
  <c r="AS39" i="38"/>
  <c r="AS40" i="38"/>
  <c r="AS41" i="38"/>
  <c r="AS42" i="38"/>
  <c r="AS43" i="38"/>
  <c r="AR43" i="38"/>
  <c r="AR42" i="38"/>
  <c r="AR41" i="38"/>
  <c r="AR40" i="38"/>
  <c r="AR39" i="38"/>
  <c r="AR38" i="38"/>
  <c r="AO38" i="38"/>
  <c r="AO39" i="38"/>
  <c r="AO40" i="38"/>
  <c r="AO41" i="38"/>
  <c r="AO42" i="38"/>
  <c r="AO43" i="38"/>
  <c r="AN43" i="38"/>
  <c r="AN42" i="38"/>
  <c r="AN41" i="38"/>
  <c r="AN40" i="38"/>
  <c r="AN39" i="38"/>
  <c r="AN38" i="38"/>
  <c r="AK64" i="38"/>
  <c r="AK65" i="38"/>
  <c r="AK66" i="38"/>
  <c r="AK67" i="38"/>
  <c r="AK68" i="38"/>
  <c r="AK69" i="38"/>
  <c r="AJ69" i="38"/>
  <c r="AJ68" i="38"/>
  <c r="AJ67" i="38"/>
  <c r="AJ66" i="38"/>
  <c r="AJ65" i="38"/>
  <c r="AJ64" i="38"/>
  <c r="AK51" i="38"/>
  <c r="AK52" i="38"/>
  <c r="AK53" i="38"/>
  <c r="AK54" i="38"/>
  <c r="AK55" i="38"/>
  <c r="AK56" i="38"/>
  <c r="AJ56" i="38"/>
  <c r="AJ55" i="38"/>
  <c r="AJ54" i="38"/>
  <c r="AJ53" i="38"/>
  <c r="AJ52" i="38"/>
  <c r="AJ51" i="38"/>
  <c r="AK38" i="38"/>
  <c r="AK39" i="38"/>
  <c r="AK40" i="38"/>
  <c r="AK41" i="38"/>
  <c r="AK42" i="38"/>
  <c r="AK43" i="38"/>
  <c r="AJ43" i="38"/>
  <c r="AJ42" i="38"/>
  <c r="AJ41" i="38"/>
  <c r="AJ40" i="38"/>
  <c r="AJ39" i="38"/>
  <c r="AJ38" i="38"/>
  <c r="X6" i="38"/>
  <c r="X7" i="38"/>
  <c r="X8" i="38"/>
  <c r="X5" i="38"/>
  <c r="X3" i="38"/>
  <c r="E49" i="38"/>
  <c r="AF43" i="38"/>
  <c r="AF39" i="38"/>
  <c r="X14" i="38"/>
  <c r="AF38" i="38"/>
  <c r="AF40" i="38"/>
  <c r="AF41" i="38"/>
  <c r="AF42" i="38"/>
  <c r="AE43" i="38"/>
  <c r="AE42" i="38"/>
  <c r="AE41" i="38"/>
  <c r="AE40" i="38"/>
  <c r="AE39" i="38"/>
  <c r="AB64" i="38"/>
  <c r="AB65" i="38"/>
  <c r="AB66" i="38"/>
  <c r="AB67" i="38"/>
  <c r="AB68" i="38"/>
  <c r="AB69" i="38"/>
  <c r="AA69" i="38"/>
  <c r="AA68" i="38"/>
  <c r="AA67" i="38"/>
  <c r="AA66" i="38"/>
  <c r="AA65" i="38"/>
  <c r="AA64" i="38"/>
  <c r="AB51" i="38"/>
  <c r="AB52" i="38"/>
  <c r="AB53" i="38"/>
  <c r="AB54" i="38"/>
  <c r="AB55" i="38"/>
  <c r="AB56" i="38"/>
  <c r="AA56" i="38"/>
  <c r="AA55" i="38"/>
  <c r="AA54" i="38"/>
  <c r="AA53" i="38"/>
  <c r="AA52" i="38"/>
  <c r="AA51" i="38"/>
  <c r="AB38" i="38"/>
  <c r="AB39" i="38"/>
  <c r="AB40" i="38"/>
  <c r="AB41" i="38"/>
  <c r="AB42" i="38"/>
  <c r="AB43" i="38"/>
  <c r="AA43" i="38"/>
  <c r="AA42" i="38"/>
  <c r="AA41" i="38"/>
  <c r="AA40" i="38"/>
  <c r="AA39" i="38"/>
  <c r="AA38" i="38"/>
  <c r="X64" i="38"/>
  <c r="X65" i="38"/>
  <c r="X66" i="38"/>
  <c r="X67" i="38"/>
  <c r="X68" i="38"/>
  <c r="X69" i="38"/>
  <c r="W69" i="38"/>
  <c r="W68" i="38"/>
  <c r="W67" i="38"/>
  <c r="W66" i="38"/>
  <c r="W65" i="38"/>
  <c r="X51" i="38"/>
  <c r="X52" i="38"/>
  <c r="X53" i="38"/>
  <c r="X54" i="38"/>
  <c r="X55" i="38"/>
  <c r="X56" i="38"/>
  <c r="W64" i="38"/>
  <c r="W56" i="38"/>
  <c r="W55" i="38"/>
  <c r="W54" i="38"/>
  <c r="W53" i="38"/>
  <c r="W52" i="38"/>
  <c r="W51" i="38"/>
  <c r="X38" i="38"/>
  <c r="X39" i="38"/>
  <c r="X40" i="38"/>
  <c r="X41" i="38"/>
  <c r="X42" i="38"/>
  <c r="X43" i="38"/>
  <c r="W43" i="38"/>
  <c r="W42" i="38"/>
  <c r="W41" i="38"/>
  <c r="W40" i="38"/>
  <c r="W39" i="38"/>
  <c r="W38" i="38"/>
  <c r="S38" i="38" l="1"/>
  <c r="S39" i="38"/>
  <c r="S40" i="38"/>
  <c r="S41" i="38"/>
  <c r="S42" i="38"/>
  <c r="S43" i="38"/>
  <c r="R43" i="38"/>
  <c r="R42" i="38"/>
  <c r="R41" i="38"/>
  <c r="R40" i="38"/>
  <c r="R39" i="38"/>
  <c r="R38" i="38"/>
  <c r="O64" i="38"/>
  <c r="O65" i="38"/>
  <c r="O66" i="38"/>
  <c r="O67" i="38"/>
  <c r="O68" i="38"/>
  <c r="O69" i="38"/>
  <c r="N69" i="38"/>
  <c r="N68" i="38"/>
  <c r="N67" i="38"/>
  <c r="N66" i="38"/>
  <c r="N65" i="38"/>
  <c r="N64" i="38"/>
  <c r="K51" i="38"/>
  <c r="K52" i="38"/>
  <c r="K53" i="38"/>
  <c r="K54" i="38"/>
  <c r="K55" i="38"/>
  <c r="K56" i="38"/>
  <c r="K38" i="38"/>
  <c r="K39" i="38"/>
  <c r="K40" i="38"/>
  <c r="K41" i="38"/>
  <c r="K42" i="38"/>
  <c r="K43" i="38"/>
  <c r="O51" i="38"/>
  <c r="O52" i="38"/>
  <c r="O53" i="38"/>
  <c r="O54" i="38"/>
  <c r="O55" i="38"/>
  <c r="O56" i="38"/>
  <c r="N56" i="38"/>
  <c r="N55" i="38"/>
  <c r="N54" i="38"/>
  <c r="N52" i="38"/>
  <c r="N53" i="38"/>
  <c r="N51" i="38"/>
  <c r="O40" i="38"/>
  <c r="O41" i="38"/>
  <c r="O42" i="38"/>
  <c r="O43" i="38"/>
  <c r="N43" i="38"/>
  <c r="N42" i="38"/>
  <c r="N41" i="38"/>
  <c r="N40" i="38"/>
  <c r="O39" i="38"/>
  <c r="N39" i="38"/>
  <c r="O38" i="38"/>
  <c r="N38" i="38"/>
  <c r="K69" i="38"/>
  <c r="J69" i="38"/>
  <c r="K68" i="38"/>
  <c r="J68" i="38"/>
  <c r="K67" i="38"/>
  <c r="J67" i="38"/>
  <c r="K66" i="38"/>
  <c r="J66" i="38"/>
  <c r="K65" i="38"/>
  <c r="J65" i="38"/>
  <c r="K64" i="38"/>
  <c r="J64" i="38"/>
  <c r="J56" i="38"/>
  <c r="J55" i="38"/>
  <c r="J54" i="38"/>
  <c r="J53" i="38"/>
  <c r="J52" i="38"/>
  <c r="J51" i="38"/>
  <c r="J43" i="38"/>
  <c r="J42" i="38"/>
  <c r="J41" i="38"/>
  <c r="J40" i="38"/>
  <c r="J39" i="38"/>
  <c r="J38" i="38"/>
  <c r="X25" i="38"/>
  <c r="B41" i="19"/>
  <c r="B37" i="17" s="1"/>
  <c r="L34" i="19"/>
  <c r="B26" i="9" s="1"/>
  <c r="F26" i="9" s="1"/>
  <c r="I26" i="9" s="1"/>
  <c r="J26" i="9" s="1"/>
  <c r="K26" i="9" s="1"/>
  <c r="K34" i="19"/>
  <c r="E10" i="17"/>
  <c r="G29" i="17"/>
  <c r="F31" i="27" s="1"/>
  <c r="G28" i="17"/>
  <c r="F30" i="27" s="1"/>
  <c r="E17" i="9"/>
  <c r="B16" i="9"/>
  <c r="F16" i="9" s="1"/>
  <c r="I16" i="9" s="1"/>
  <c r="J16" i="9" s="1"/>
  <c r="K16" i="9" s="1"/>
  <c r="E15" i="9"/>
  <c r="E28" i="17"/>
  <c r="D30" i="27" s="1"/>
  <c r="C29" i="17"/>
  <c r="C31" i="27" s="1"/>
  <c r="C28" i="17"/>
  <c r="C30" i="27" s="1"/>
  <c r="E5" i="17"/>
  <c r="E6" i="17"/>
  <c r="E7" i="17"/>
  <c r="E9" i="17"/>
  <c r="E11" i="17"/>
  <c r="E4" i="17"/>
  <c r="K25" i="19"/>
  <c r="B40" i="19"/>
  <c r="B36" i="17" s="1"/>
  <c r="B39" i="19"/>
  <c r="L33" i="19"/>
  <c r="B15" i="9" s="1"/>
  <c r="F15" i="9" s="1"/>
  <c r="I15" i="9" s="1"/>
  <c r="J15" i="9" s="1"/>
  <c r="K33" i="19"/>
  <c r="A50" i="38" s="1"/>
  <c r="C25" i="19"/>
  <c r="A7" i="19"/>
  <c r="A8" i="19"/>
  <c r="A9" i="19"/>
  <c r="A10" i="19"/>
  <c r="A11" i="19"/>
  <c r="A12" i="19"/>
  <c r="A6" i="19"/>
  <c r="A51" i="38" l="1"/>
  <c r="K15" i="9"/>
  <c r="C61" i="38" l="1"/>
  <c r="C60" i="38"/>
  <c r="C59" i="38"/>
  <c r="C58" i="38"/>
  <c r="C56" i="38"/>
  <c r="C57" i="38"/>
  <c r="B81" i="38"/>
  <c r="E8" i="17"/>
  <c r="Y14" i="38" l="1"/>
  <c r="Y3" i="38"/>
  <c r="I81" i="38"/>
  <c r="AC3" i="38" s="1"/>
  <c r="AB5" i="38" s="1"/>
  <c r="Y25" i="38"/>
  <c r="A4" i="35"/>
  <c r="G26" i="35"/>
  <c r="B18" i="35"/>
  <c r="G2" i="35" s="1"/>
  <c r="D11" i="35"/>
  <c r="D10" i="35"/>
  <c r="AC25" i="38" l="1"/>
  <c r="AC14" i="38"/>
  <c r="D12" i="35"/>
  <c r="Z31" i="38" l="1"/>
  <c r="Z5" i="38"/>
  <c r="Y28" i="38"/>
  <c r="Y27" i="38"/>
  <c r="Z28" i="38"/>
  <c r="Z29" i="38"/>
  <c r="Y29" i="38"/>
  <c r="Z30" i="38"/>
  <c r="Y31" i="38"/>
  <c r="Z27" i="38"/>
  <c r="Y30" i="38"/>
  <c r="Y32" i="38"/>
  <c r="Z32" i="38"/>
  <c r="D56" i="38"/>
  <c r="B27" i="9" s="1"/>
  <c r="F27" i="9" s="1"/>
  <c r="I27" i="9" s="1"/>
  <c r="J27" i="9" s="1"/>
  <c r="K27" i="9" s="1"/>
  <c r="AB16" i="38"/>
  <c r="E50" i="38"/>
  <c r="Y8" i="38"/>
  <c r="Z8" i="38"/>
  <c r="Y7" i="38"/>
  <c r="Y6" i="38"/>
  <c r="Y5" i="38"/>
  <c r="Z7" i="38"/>
  <c r="Z6" i="38"/>
  <c r="Z18" i="38"/>
  <c r="Y19" i="38"/>
  <c r="Y17" i="38"/>
  <c r="Y20" i="38"/>
  <c r="Z17" i="38"/>
  <c r="Y18" i="38"/>
  <c r="Z16" i="38"/>
  <c r="AC27" i="38"/>
  <c r="F49" i="38" s="1"/>
  <c r="Z19" i="38"/>
  <c r="Y16" i="38"/>
  <c r="Z20" i="38"/>
  <c r="Z21" i="38"/>
  <c r="Y21" i="38"/>
  <c r="B5" i="9"/>
  <c r="K23" i="17"/>
  <c r="B38" i="27"/>
  <c r="M60" i="19"/>
  <c r="E51" i="38" l="1"/>
  <c r="F17" i="9" l="1"/>
  <c r="I17" i="9" s="1"/>
  <c r="J17" i="9" s="1"/>
  <c r="K17" i="9" s="1"/>
  <c r="K18" i="9" s="1"/>
  <c r="J18" i="9" l="1"/>
  <c r="J19" i="9" s="1"/>
  <c r="J20" i="9" s="1"/>
  <c r="J21" i="9" s="1"/>
  <c r="J22" i="9" s="1"/>
  <c r="H31" i="27" s="1"/>
  <c r="H29" i="17" l="1"/>
  <c r="K24" i="17"/>
  <c r="G31" i="27" l="1"/>
  <c r="K26" i="19"/>
  <c r="C25" i="17" l="1"/>
  <c r="C26" i="27" l="1"/>
  <c r="E5" i="27" l="1"/>
  <c r="E6" i="27"/>
  <c r="E8" i="27"/>
  <c r="E9" i="27"/>
  <c r="E10" i="27"/>
  <c r="E11" i="27"/>
  <c r="E4" i="27"/>
  <c r="A11" i="17"/>
  <c r="A11" i="27" s="1"/>
  <c r="M27" i="19"/>
  <c r="K25" i="17" s="1"/>
  <c r="K27" i="19"/>
  <c r="I25" i="17" l="1"/>
  <c r="J26" i="27"/>
  <c r="E7" i="27"/>
  <c r="C18" i="35"/>
  <c r="F18" i="35"/>
  <c r="E18" i="35"/>
  <c r="G18" i="35"/>
  <c r="M59" i="19"/>
  <c r="N58" i="19" s="1"/>
  <c r="C24" i="17" l="1"/>
  <c r="C25" i="27" s="1"/>
  <c r="C23" i="17"/>
  <c r="C24" i="27" s="1"/>
  <c r="I24" i="17"/>
  <c r="I23" i="17"/>
  <c r="A5" i="17"/>
  <c r="A5" i="27" s="1"/>
  <c r="A6" i="17"/>
  <c r="A6" i="27" s="1"/>
  <c r="A8" i="17"/>
  <c r="A8" i="27" s="1"/>
  <c r="A9" i="17"/>
  <c r="A9" i="27" s="1"/>
  <c r="A10" i="17"/>
  <c r="A10" i="27" s="1"/>
  <c r="A4" i="17"/>
  <c r="A4" i="27" s="1"/>
  <c r="M62" i="19" l="1"/>
  <c r="N60" i="19" s="1"/>
  <c r="H24" i="27"/>
  <c r="I24" i="27" s="1"/>
  <c r="H25" i="27"/>
  <c r="I25" i="27" s="1"/>
  <c r="I26" i="27"/>
  <c r="M66" i="19" l="1"/>
  <c r="O55" i="19"/>
  <c r="M70" i="19" l="1"/>
  <c r="B43" i="19" s="1"/>
  <c r="B39" i="17" s="1"/>
  <c r="M63" i="19"/>
  <c r="N56" i="17" s="1"/>
  <c r="B39" i="27"/>
  <c r="I40" i="20"/>
  <c r="I50" i="20" s="1"/>
  <c r="O56" i="19" l="1"/>
  <c r="P55" i="19" s="1"/>
  <c r="G57" i="17"/>
  <c r="L32" i="19" l="1"/>
  <c r="B4" i="9" s="1"/>
  <c r="K32" i="19"/>
  <c r="A49" i="38" s="1"/>
  <c r="B51" i="38" s="1"/>
  <c r="D51" i="38" l="1"/>
  <c r="B6" i="9" s="1"/>
  <c r="B28" i="9"/>
  <c r="F28" i="9" s="1"/>
  <c r="I28" i="9" s="1"/>
  <c r="J28" i="9" s="1"/>
  <c r="C51" i="38"/>
  <c r="E6" i="9"/>
  <c r="F30" i="17" l="1"/>
  <c r="M30" i="17" s="1"/>
  <c r="E32" i="27"/>
  <c r="K28" i="9"/>
  <c r="K29" i="9" s="1"/>
  <c r="J29" i="9"/>
  <c r="J30" i="9" s="1"/>
  <c r="C49" i="38"/>
  <c r="E30" i="27" s="1"/>
  <c r="C50" i="38"/>
  <c r="E4" i="9"/>
  <c r="F29" i="17" l="1"/>
  <c r="M29" i="17" s="1"/>
  <c r="E31" i="27"/>
  <c r="J31" i="9"/>
  <c r="J32" i="9" s="1"/>
  <c r="J33" i="9" s="1"/>
  <c r="N30" i="17"/>
  <c r="F28" i="17"/>
  <c r="M28" i="17" s="1"/>
  <c r="F4" i="9"/>
  <c r="I4" i="9" s="1"/>
  <c r="J4" i="9" s="1"/>
  <c r="K4" i="9" s="1"/>
  <c r="L29" i="17" l="1"/>
  <c r="L35" i="17" s="1"/>
  <c r="K28" i="17" s="1"/>
  <c r="H30" i="17"/>
  <c r="H32" i="27"/>
  <c r="N29" i="17"/>
  <c r="N28" i="17"/>
  <c r="F5" i="9"/>
  <c r="I5" i="9" s="1"/>
  <c r="J5" i="9" s="1"/>
  <c r="G32" i="27" l="1"/>
  <c r="N31" i="17"/>
  <c r="M35" i="17" s="1"/>
  <c r="K5" i="9"/>
  <c r="F6" i="9"/>
  <c r="I6" i="9" s="1"/>
  <c r="J6" i="9" s="1"/>
  <c r="K6" i="9" s="1"/>
  <c r="A1" i="27"/>
  <c r="N57" i="17" l="1"/>
  <c r="J7" i="9"/>
  <c r="J8" i="9" s="1"/>
  <c r="K7" i="9"/>
  <c r="J9" i="9" l="1"/>
  <c r="J10" i="9" s="1"/>
  <c r="J11" i="9" s="1"/>
  <c r="B50" i="17"/>
  <c r="E57" i="17" s="1"/>
  <c r="B43" i="17"/>
  <c r="B42" i="17"/>
  <c r="B33" i="17"/>
  <c r="B35" i="27" s="1"/>
  <c r="H28" i="17" l="1"/>
  <c r="H30" i="27"/>
  <c r="B52" i="27"/>
  <c r="G30" i="27" l="1"/>
  <c r="G57" i="27"/>
  <c r="I64" i="27"/>
  <c r="I63" i="27"/>
  <c r="B34" i="17"/>
  <c r="B36" i="27" s="1"/>
  <c r="B35" i="17"/>
  <c r="B37" i="27" s="1"/>
  <c r="E20" i="17" l="1"/>
  <c r="E19" i="17"/>
  <c r="F17" i="19"/>
  <c r="T378" i="41" s="1"/>
  <c r="T386" i="41" s="1"/>
  <c r="U378" i="41" s="1"/>
  <c r="F16" i="19"/>
  <c r="T377" i="41" s="1"/>
  <c r="S386" i="41" s="1"/>
  <c r="U377" i="41" s="1"/>
  <c r="N390" i="41" l="1"/>
  <c r="T381" i="41" s="1"/>
  <c r="E14" i="17" s="1"/>
  <c r="W381" i="41"/>
  <c r="F14" i="27" s="1"/>
  <c r="N391" i="41"/>
  <c r="T382" i="41" s="1"/>
  <c r="E15" i="17" s="1"/>
  <c r="W382" i="41"/>
  <c r="F15" i="27" s="1"/>
  <c r="E19" i="27"/>
  <c r="K19" i="17"/>
  <c r="E20" i="27"/>
  <c r="K20" i="17"/>
  <c r="N55" i="17" l="1"/>
  <c r="I57" i="17" l="1"/>
  <c r="B51" i="19" l="1"/>
  <c r="B46" i="17" s="1"/>
  <c r="B48" i="27" s="1"/>
  <c r="D22" i="42" s="1"/>
  <c r="H1" i="42"/>
  <c r="E2" i="19"/>
  <c r="A2" i="17" s="1"/>
  <c r="A2" i="27" s="1"/>
  <c r="A3" i="42" s="1"/>
  <c r="F6" i="4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1EC721F8-809B-472A-9473-302E9825B0CA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<sst xmlns="http://schemas.openxmlformats.org/spreadsheetml/2006/main" count="2364" uniqueCount="672">
  <si>
    <t>No.</t>
  </si>
  <si>
    <t>Tanggal</t>
  </si>
  <si>
    <t>Revisi</t>
  </si>
  <si>
    <t>Oleh</t>
  </si>
  <si>
    <t>Awal</t>
  </si>
  <si>
    <t>Akhir</t>
  </si>
  <si>
    <t>13 Juli 2023</t>
  </si>
  <si>
    <t>Perubahan Scoring Kinerja</t>
  </si>
  <si>
    <t>Selesei(untuk parameter illuminance dan Color rendering jika salah satu parameter keluar tetap hijau,jika keduanya keluar maka merah)</t>
  </si>
  <si>
    <t>Isra</t>
  </si>
  <si>
    <t>Update Sertifikat ESA</t>
  </si>
  <si>
    <t>selesai</t>
  </si>
  <si>
    <t>Update Sertifikat Thermohygro</t>
  </si>
  <si>
    <t>18.7.2023</t>
  </si>
  <si>
    <t>Daftar ESA tidak link</t>
  </si>
  <si>
    <t>Done</t>
  </si>
  <si>
    <t>Rev 2 : 18.7.2023</t>
  </si>
  <si>
    <t>Lembar Kerja Pengujian Lampu Operasi (Ceiling Type)</t>
  </si>
  <si>
    <t>Nomor Sertifikat / Nomor Surat Keterangan : 33  / ………… /…… - ........  / E -…………   DL / Dt</t>
  </si>
  <si>
    <t>Merek</t>
  </si>
  <si>
    <t>:</t>
  </si>
  <si>
    <t xml:space="preserve">Model/Tipe                    </t>
  </si>
  <si>
    <t xml:space="preserve">No. Seri                          </t>
  </si>
  <si>
    <t>Tanggal Penerimaan Alat</t>
  </si>
  <si>
    <t xml:space="preserve">Tanggal Pengujian                            </t>
  </si>
  <si>
    <t xml:space="preserve">Tempat Pengujian                             </t>
  </si>
  <si>
    <t xml:space="preserve">Nama Ruang                                    </t>
  </si>
  <si>
    <t>I.</t>
  </si>
  <si>
    <t>Kondisi Ruang</t>
  </si>
  <si>
    <t>1. Suhu</t>
  </si>
  <si>
    <r>
      <t>0</t>
    </r>
    <r>
      <rPr>
        <sz val="11"/>
        <rFont val="Arial"/>
        <family val="2"/>
      </rPr>
      <t>C</t>
    </r>
  </si>
  <si>
    <t xml:space="preserve">2. Kelembaban </t>
  </si>
  <si>
    <t>%RH</t>
  </si>
  <si>
    <t xml:space="preserve">3. Tegangan Jala - jala        </t>
  </si>
  <si>
    <t>Volt</t>
  </si>
  <si>
    <t xml:space="preserve">II. </t>
  </si>
  <si>
    <t>Pemeriksaan Kondisi Fisik dan Fungsi Alat</t>
  </si>
  <si>
    <t>Score</t>
  </si>
  <si>
    <t>1. Fisik</t>
  </si>
  <si>
    <t>: Baik  /  Tidak baik</t>
  </si>
  <si>
    <t>2. Fungsi</t>
  </si>
  <si>
    <t xml:space="preserve">III. </t>
  </si>
  <si>
    <t>Pengujian Keselamatan Listrik</t>
  </si>
  <si>
    <t>No</t>
  </si>
  <si>
    <t xml:space="preserve">Parameter </t>
  </si>
  <si>
    <t>Hasil ukur</t>
  </si>
  <si>
    <t>Ambang Batas yang diijinkan</t>
  </si>
  <si>
    <t>Resistansi isolasi</t>
  </si>
  <si>
    <t>MΏ</t>
  </si>
  <si>
    <t>&gt; 2 MΩ</t>
  </si>
  <si>
    <t>Resistansi pembumian protektif</t>
  </si>
  <si>
    <t>Ώ</t>
  </si>
  <si>
    <t>≤ 0.2 Ω</t>
  </si>
  <si>
    <t>Arus bocor peralatan untuk peralatan elektromedik kelas ( I / II )</t>
  </si>
  <si>
    <t xml:space="preserve"> µA</t>
  </si>
  <si>
    <t>≤ 500 / 100 µA</t>
  </si>
  <si>
    <t xml:space="preserve">IV. </t>
  </si>
  <si>
    <t xml:space="preserve">Pengujian Kinerja </t>
  </si>
  <si>
    <t>Parameter</t>
  </si>
  <si>
    <t>Setting Alat</t>
  </si>
  <si>
    <t>Pembacaan Standar</t>
  </si>
  <si>
    <t>Toleransi</t>
  </si>
  <si>
    <t>I</t>
  </si>
  <si>
    <t>II</t>
  </si>
  <si>
    <t>III</t>
  </si>
  <si>
    <t>IV</t>
  </si>
  <si>
    <t>V</t>
  </si>
  <si>
    <t>VI</t>
  </si>
  <si>
    <t>Color Temperature (K)</t>
  </si>
  <si>
    <t>Maksimal</t>
  </si>
  <si>
    <t>3000 - 6700 (K)</t>
  </si>
  <si>
    <t>Color Rendering Index (Ra)</t>
  </si>
  <si>
    <t>85 - 100 (Ra)</t>
  </si>
  <si>
    <t>Central Iluminance (KLux)</t>
  </si>
  <si>
    <t>40 - 160 (KLux)</t>
  </si>
  <si>
    <t>V.</t>
  </si>
  <si>
    <t xml:space="preserve"> Keterangan</t>
  </si>
  <si>
    <t>…......................................................</t>
  </si>
  <si>
    <t>.........................................................</t>
  </si>
  <si>
    <t xml:space="preserve">VI. </t>
  </si>
  <si>
    <t>Alat Ukur Yang Digunakan</t>
  </si>
  <si>
    <t>CRI Illuminance Meter, Merek : KONICA MINOLTA , Model : CL - 70F, SN: JT70 - 002445, JT70 - 002448</t>
  </si>
  <si>
    <t xml:space="preserve">                                              , JT70 - 002447, JT70 - 002444, JT70 - 002458, JT70 - 002446</t>
  </si>
  <si>
    <t>Digital Thermohygrometer,Merek : KIMO, Model : KH - 210 - AO, SN : 14082463, 15062872, 15062874, 15062875, 15062873</t>
  </si>
  <si>
    <t>Digital Thermohygrometer,Merek : SEKONIC, Model : ST-50A, SN : HE 21-000670, HE 21-000669</t>
  </si>
  <si>
    <t>Digital Thermohygrometer, Merek : GREISINGER, Model : GFTB 200, SN: 34903046,  34903053, 34904091, 34903051</t>
  </si>
  <si>
    <t>Digital Thermohygro Barometer : EXTECH, SD700, SN : A.100609, A.100605, A.100611, A.100616,  A.100617</t>
  </si>
  <si>
    <t xml:space="preserve">A.100618, A.100586 </t>
  </si>
  <si>
    <t>Electrycal Safety Analyzer, Merek : Fluke Model : ESA 620 No Seri :1837056, 1834020</t>
  </si>
  <si>
    <t>Electrycal Safety Analyzer, Merek : Fluke, Model : ESA 615, No Seri :2853077, 2853078, 3148907, 3148908, 3699030</t>
  </si>
  <si>
    <t>Electrycal Safety Analyzer, Merek : Fluke, Model : ESA 615, No Seri :4670010, 4669058</t>
  </si>
  <si>
    <t xml:space="preserve">VII. </t>
  </si>
  <si>
    <t>Kesimpulan</t>
  </si>
  <si>
    <t>Alat yang diuji dinyatakan LAIK PAKAI / TIDAK LAIK PAKAI</t>
  </si>
  <si>
    <t xml:space="preserve">VIII. </t>
  </si>
  <si>
    <t>Petugas Pengujian</t>
  </si>
  <si>
    <t>……………………………………………</t>
  </si>
  <si>
    <t>INPUT DATA PENGUJIAN LAMPU OPERASI (CEILING TYPE)</t>
  </si>
  <si>
    <t>2 / VII - 23 / E - 074.111 DL</t>
  </si>
  <si>
    <t>Brandon</t>
  </si>
  <si>
    <t>Quasar elite</t>
  </si>
  <si>
    <t>1557214</t>
  </si>
  <si>
    <t>2 Juli 2023</t>
  </si>
  <si>
    <t>OK 4</t>
  </si>
  <si>
    <t xml:space="preserve">Metode Kerja                    </t>
  </si>
  <si>
    <t>MK.029 - 18</t>
  </si>
  <si>
    <t>Rata-rata</t>
  </si>
  <si>
    <t xml:space="preserve">3. Tegangan Jala - jala         </t>
  </si>
  <si>
    <t>Resistansi pembumian protektif ( kabel catu daya dapat dilepas )</t>
  </si>
  <si>
    <t>≤ 0.2 Ώ</t>
  </si>
  <si>
    <t xml:space="preserve">1. Fisik             </t>
  </si>
  <si>
    <t>Baik</t>
  </si>
  <si>
    <t>Resistansi pembumian protektif ( kabel catu daya tidak dapat dilepas )</t>
  </si>
  <si>
    <t xml:space="preserve">2. Fungsi        </t>
  </si>
  <si>
    <t>Tidak Baik</t>
  </si>
  <si>
    <t>-</t>
  </si>
  <si>
    <t>MΩ</t>
  </si>
  <si>
    <t>Ω</t>
  </si>
  <si>
    <t>Tidak terdapat grounding diruangan</t>
  </si>
  <si>
    <t>Pengukuran keselamatan listrik menggunakan Point to Point</t>
  </si>
  <si>
    <t>NC</t>
  </si>
  <si>
    <t>Pengujian Kinerja</t>
  </si>
  <si>
    <t>Rata - rata Pembacaan Standar</t>
  </si>
  <si>
    <t>STDEV</t>
  </si>
  <si>
    <t/>
  </si>
  <si>
    <t>SUM</t>
  </si>
  <si>
    <t xml:space="preserve">V. </t>
  </si>
  <si>
    <t>Keterangan</t>
  </si>
  <si>
    <t>Ketidakpastian pengukuran diperoleh dari sumber kesalahan tipe A dan tipe B</t>
  </si>
  <si>
    <t>Alat Ukur yang digunakan</t>
  </si>
  <si>
    <t>CRI Illuminance Meter, Merek : KONICA MINOLTA , Model : CL - 70F, SN: JT70 - 002458</t>
  </si>
  <si>
    <t>Electrical Safety Analyzer, Merek : Fluke, Model : ESA 615, SN : 3148908</t>
  </si>
  <si>
    <t>Thermohygrobarometer, Merek : EXTECH, Model : SD700, SN : A.100618</t>
  </si>
  <si>
    <t>Tidak terdapat grounding di ruangan</t>
  </si>
  <si>
    <t>VIII.</t>
  </si>
  <si>
    <t xml:space="preserve"> Petugas Pengujian</t>
  </si>
  <si>
    <t>Hasil Skor</t>
  </si>
  <si>
    <t>Donny Martha</t>
  </si>
  <si>
    <t xml:space="preserve">                                            </t>
  </si>
  <si>
    <t xml:space="preserve">IX. </t>
  </si>
  <si>
    <t>Tanggal pembuatan laporan</t>
  </si>
  <si>
    <t>Azhar Alamsyah</t>
  </si>
  <si>
    <t>Choirul Huda</t>
  </si>
  <si>
    <t>Dewi Nofitasari</t>
  </si>
  <si>
    <t>Alat tidak boleh digunakan pada instalasi yang tanpa dilengkapi grounding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</si>
  <si>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</si>
  <si>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</si>
  <si>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</si>
  <si>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</si>
  <si>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</si>
  <si>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</si>
  <si>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Ihsan Ilyas</t>
  </si>
  <si>
    <t>Muhammad Iqbal Saiful Rahman</t>
  </si>
  <si>
    <t>Muhammad Irfan Husnuzhzhan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</si>
  <si>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</si>
  <si>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</si>
  <si>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</si>
  <si>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</si>
  <si>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</si>
  <si>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</si>
  <si>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</si>
  <si>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</si>
  <si>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</si>
  <si>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</si>
  <si>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</si>
  <si>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>CRI Illuminance Meter, Merek : KONICA MINOLTA , Model : CL - 70F, SN: JT70 - 002445</t>
  </si>
  <si>
    <t>Hasil pengujian kinerja Color Temperatur tertelusur ke Satuan Internasional ( SI ) melalui KONICA MINOLTA</t>
  </si>
  <si>
    <t>Hasil pengujian kinerja Color Rendering tertelusur ke Satuan Internasional ( SI ) melalui KONICA MINOLTA</t>
  </si>
  <si>
    <t>Hasil pengujian kinerja Central Illuminance tertelusur ke Satuan Internasional ( SI ) melalui KONICA MINOLTA</t>
  </si>
  <si>
    <t>CRI Illuminance Meter, Merek : KONICA MINOLTA , Model : CL - 70F, SN: JT70 - 002448</t>
  </si>
  <si>
    <t>CRI Illuminance Meter, Merek : KONICA MINOLTA , Model : CL - 70F, SN: JT70 - 002447</t>
  </si>
  <si>
    <t>CRI Illuminance Meter, Merek : KONICA MINOLTA , Model : CL - 70F, SN: JT70 - 002444</t>
  </si>
  <si>
    <t>CRI Illuminance Meter, Merek : KONICA MINOLTA , Model : CL - 70F, SN: JT70 - 002446</t>
  </si>
  <si>
    <t>UNCERTAINTY</t>
  </si>
  <si>
    <t>Color Temperature</t>
  </si>
  <si>
    <t>Sumber</t>
  </si>
  <si>
    <t>u</t>
  </si>
  <si>
    <t>satuan</t>
  </si>
  <si>
    <t>dist</t>
  </si>
  <si>
    <t>div</t>
  </si>
  <si>
    <t>ui</t>
  </si>
  <si>
    <t>vi</t>
  </si>
  <si>
    <t>ci</t>
  </si>
  <si>
    <t>ui.ci</t>
  </si>
  <si>
    <t>(ui.ci)^2</t>
  </si>
  <si>
    <t>(ui.ci)^4/vi</t>
  </si>
  <si>
    <t>Repeatibility</t>
  </si>
  <si>
    <t>K</t>
  </si>
  <si>
    <t>normal</t>
  </si>
  <si>
    <t>Sertifikat Standart</t>
  </si>
  <si>
    <t xml:space="preserve">Drift Standart </t>
  </si>
  <si>
    <t>rect.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</si>
  <si>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</si>
  <si>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</si>
  <si>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</si>
  <si>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</si>
  <si>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</si>
  <si>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</si>
  <si>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</si>
  <si>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</si>
  <si>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</si>
  <si>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Color Rendering</t>
  </si>
  <si>
    <t>Ra</t>
  </si>
  <si>
    <t>Central Illuminance</t>
  </si>
  <si>
    <t>Klux</t>
  </si>
  <si>
    <t>KLux</t>
  </si>
  <si>
    <t>HASIL PENGUJIAN LAMPU OPERASI (CEILING TYPE)</t>
  </si>
  <si>
    <t xml:space="preserve">1. Suhu                            </t>
  </si>
  <si>
    <t>3. Tegangan Jala - jala                     :</t>
  </si>
  <si>
    <t xml:space="preserve">1. Fisik          </t>
  </si>
  <si>
    <t xml:space="preserve">2. Fungsi      </t>
  </si>
  <si>
    <t>Hasil Pengukuran Keselamatan Listrik</t>
  </si>
  <si>
    <t>Ambang Batas Yang Diijinkan</t>
  </si>
  <si>
    <t>Hasil Pengukuran Kinerja</t>
  </si>
  <si>
    <t>Ketidakpastian Pengukuran</t>
  </si>
  <si>
    <t>Kondisi</t>
  </si>
  <si>
    <t>Nama</t>
  </si>
  <si>
    <t>Paraf</t>
  </si>
  <si>
    <t>Total</t>
  </si>
  <si>
    <t>Listrik</t>
  </si>
  <si>
    <t>Dibuat</t>
  </si>
  <si>
    <t>Lux</t>
  </si>
  <si>
    <t>Diperiksa</t>
  </si>
  <si>
    <t xml:space="preserve">3. Tegangan Jala - jala                         </t>
  </si>
  <si>
    <t>Menyetujui,</t>
  </si>
  <si>
    <t>Kepala Instalasi Laboratorium</t>
  </si>
  <si>
    <t>Pengujian dan Kalibrasi</t>
  </si>
  <si>
    <t>Halaman 2 dari 2 Halaman</t>
  </si>
  <si>
    <t>Choirul Huda, S.Tr.Kes</t>
  </si>
  <si>
    <t>NIP 198008062010121001</t>
  </si>
  <si>
    <t>Farid Wajidi, SKM</t>
  </si>
  <si>
    <t>NIP 196712101990031012</t>
  </si>
  <si>
    <t>a.n</t>
  </si>
  <si>
    <t>A</t>
  </si>
  <si>
    <t>B</t>
  </si>
  <si>
    <t>C</t>
  </si>
  <si>
    <t>D</t>
  </si>
  <si>
    <t>E</t>
  </si>
  <si>
    <t>F</t>
  </si>
  <si>
    <t>drift</t>
  </si>
  <si>
    <t>U95</t>
  </si>
  <si>
    <t>Lx</t>
  </si>
  <si>
    <t>Accuracy</t>
  </si>
  <si>
    <t>Akurasi</t>
  </si>
  <si>
    <t>Code</t>
  </si>
  <si>
    <t>G</t>
  </si>
  <si>
    <t>H</t>
  </si>
  <si>
    <t>INTERPOLASI</t>
  </si>
  <si>
    <t>J</t>
  </si>
  <si>
    <t>Hasil</t>
  </si>
  <si>
    <t>Koreksi</t>
  </si>
  <si>
    <t>Hsil terkoreksi</t>
  </si>
  <si>
    <t>Drift</t>
  </si>
  <si>
    <t>L</t>
  </si>
  <si>
    <t>M</t>
  </si>
  <si>
    <t>Accu</t>
  </si>
  <si>
    <t>Ui</t>
  </si>
  <si>
    <t xml:space="preserve">Electical Safety Analyzer, Merek : Fluke, Model : ESA 620 (1837056) </t>
  </si>
  <si>
    <t>Hasil pengukuran keselamatan listrik tertelusur ke Satuan Internasional ( SI ) melalui CALTEK PTE LTD</t>
  </si>
  <si>
    <t>Electical Safety Analyzer, Merek : Fluke, Model : ESA 620 ( 1834020 )</t>
  </si>
  <si>
    <t xml:space="preserve">Electical Safety Analyzer, Merek : Fluke, Model : ESA 615 (2853077) </t>
  </si>
  <si>
    <t>Hasil pengukuran keselamatan listrik tertelusur ke Satuan Internasional ( SI ) melalui PT. KALIMAN ( LK - 032 - IDN )</t>
  </si>
  <si>
    <t>Electical Safety Analyzer, Merek : Fluke, Model : ESA 615 (2853078)</t>
  </si>
  <si>
    <t>Electical Safety Analyzer, Merek : Fluke, Model : ESA 615 (3148907)</t>
  </si>
  <si>
    <t xml:space="preserve">Electical Safety Analyzer, Merek : Fluke, Model : ESA 615 (3148908) </t>
  </si>
  <si>
    <t xml:space="preserve">Electical Safety Analyzer, Merek : Fluke, Model : ESA 615 (3699030) </t>
  </si>
  <si>
    <t>Digital Light Meter, Merek : EXTECH , Model : Easy View 30, SN: 110705875</t>
  </si>
  <si>
    <t>Hasil pengujian kinerja illuminance tertelusur ke Satuan Internasional ( SI ) melalui Pusat Penelitian Metrologi - LIPI</t>
  </si>
  <si>
    <t>Digital Light Meter, Merek : EXTECH , Model : Easy View 30, SN : 110705877</t>
  </si>
  <si>
    <t xml:space="preserve">Hasil pengujian kinerja illuminance tertelusur ke Satuan Internasional ( SI ) melalui PT. DELTA INSTRUMENTASI </t>
  </si>
  <si>
    <t>Digital Light Meter, Merek : KIMO , Model :LX200, SN : 13100251</t>
  </si>
  <si>
    <t>Hasil pengujian kinerja illuminance tertelusur ke Satuan Internasional ( SI ) melalui KIMO</t>
  </si>
  <si>
    <t>Digital Light Meter, Merek : EXTECH , Model : Easy View 30, SN : 190102378</t>
  </si>
  <si>
    <t xml:space="preserve">Hasil pengujian kinerja illuminance tertelusur ke Satuan Internasional ( SI ) melalui EXTECH INSTRUMENTS </t>
  </si>
  <si>
    <t>Digital Light Meter, Merek : EXTECH , Model : Easy View 30, SN : 190102372</t>
  </si>
  <si>
    <t>Digital Light Meter, Merek : EXTECH , Model : HD450, SN : 190412114</t>
  </si>
  <si>
    <t>Digital Light Meter, Merek : EXTECH , Model : HD450, SN : 190509514</t>
  </si>
  <si>
    <t>3. Thermohygrometer, Merek : KIMO, KH-210-AO (14082463)</t>
  </si>
  <si>
    <t>3. Thermohygrometer, Merek : KIMO, KH-210-AO (15062872)</t>
  </si>
  <si>
    <t>3. Thermohygrometer, Merek : KIMO, KH-210-AO ( 15062874 )</t>
  </si>
  <si>
    <t>3. Thermohygrometer, Merek : KIMO, KH-210-AO (15062875)</t>
  </si>
  <si>
    <t>3. Thermohygrometer, Merek : SEKONIC, ST-50A (HE 21-000670)</t>
  </si>
  <si>
    <t>3. Thermohygrometer, Merek : SEKONIC, ST-50A (HE 21-000669)</t>
  </si>
  <si>
    <t>3. Thermohygrometer, Merek : GREISINGER,GFTB 200 (34903053)</t>
  </si>
  <si>
    <t>3. Thermohygrometer, Merek : GREISINGER,GFTB 200 (34903046)</t>
  </si>
  <si>
    <t>4. Tidak terdapat grounding</t>
  </si>
  <si>
    <t>Dany Firmanto</t>
  </si>
  <si>
    <t>Muhammad Arrizal Septiawan</t>
  </si>
  <si>
    <t xml:space="preserve">2. Electical Safety Analyzer, Merek : Fluke, Model : ESA 620 (1837056) </t>
  </si>
  <si>
    <t>2. Electical Safety Analyzer, Merek : Fluke, Model : ESA 620 ( 1834020 )</t>
  </si>
  <si>
    <t xml:space="preserve">2. Electical Safety Analyzer, Merek : Fluke, Model : ESA 615 (2853077) </t>
  </si>
  <si>
    <t>Achmad Fauzan Adzim</t>
  </si>
  <si>
    <t>2. Electical Safety Analyzer, Merek : Fluke, Model : ESA 615 (2853078)</t>
  </si>
  <si>
    <t>Ahmad Ghazali</t>
  </si>
  <si>
    <t>2. Electical Safety Analyzer, Merek : Fluke, Model : ESA 615 (3148907)</t>
  </si>
  <si>
    <t xml:space="preserve">2. Electical Safety Analyzer, Merek : Fluke, Model : ESA 615 (3148908) </t>
  </si>
  <si>
    <t xml:space="preserve">2. Electical Safety Analyzer, Merek : Fluke, Model : ESA 615 (3699030) </t>
  </si>
  <si>
    <t xml:space="preserve">2. Electical Safety Analyzer, Merek : Fluke, Model : ESA 615 (,,,,,) </t>
  </si>
  <si>
    <t xml:space="preserve">2. Electical Safety Analyzer, Merek : Fluke, Model : ESA 615 (,,,,) </t>
  </si>
  <si>
    <t>INPUT DATA SERTIFIKAT ESA</t>
  </si>
  <si>
    <t xml:space="preserve"> </t>
  </si>
  <si>
    <t>ESA 620 (1837056)</t>
  </si>
  <si>
    <t>ESA 620 (1834020)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</si>
  <si>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</si>
  <si>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</si>
  <si>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</si>
  <si>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</si>
  <si>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</si>
  <si>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</si>
  <si>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</si>
  <si>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</si>
  <si>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</si>
  <si>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</si>
  <si>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</si>
  <si>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ESA 615 (2853078)</t>
  </si>
  <si>
    <t>ESA 615 (3148907)</t>
  </si>
  <si>
    <t>ESA 615 (3148908)</t>
  </si>
  <si>
    <t>ESA 615 (3699030)</t>
  </si>
  <si>
    <t>ESA 615 (4669058)</t>
  </si>
  <si>
    <t>ESA 615 (4670010)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</si>
  <si>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</si>
  <si>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</si>
  <si>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</si>
  <si>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</si>
  <si>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</si>
  <si>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</si>
  <si>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Koreksi Arus bocor (NC)</t>
  </si>
  <si>
    <t>U95 Jala-jala</t>
  </si>
  <si>
    <t>Konversi TEXT</t>
  </si>
  <si>
    <t>NO</t>
  </si>
  <si>
    <t xml:space="preserve"> Volt</t>
  </si>
  <si>
    <t xml:space="preserve">( </t>
  </si>
  <si>
    <t xml:space="preserve"> ± </t>
  </si>
  <si>
    <t xml:space="preserve"> )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</si>
  <si>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</si>
  <si>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</si>
  <si>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</si>
  <si>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</si>
  <si>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</si>
  <si>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</si>
  <si>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</si>
  <si>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</si>
  <si>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</si>
  <si>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</si>
  <si>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</si>
  <si>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</si>
  <si>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</si>
  <si>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</si>
  <si>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</si>
  <si>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</si>
  <si>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</si>
  <si>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</si>
  <si>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</si>
  <si>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</si>
  <si>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</si>
  <si>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</si>
  <si>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</si>
  <si>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</si>
  <si>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</si>
  <si>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</si>
  <si>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</si>
  <si>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</si>
  <si>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</si>
  <si>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</si>
  <si>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</si>
  <si>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</si>
  <si>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</si>
  <si>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</si>
  <si>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</si>
  <si>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</si>
  <si>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</si>
  <si>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</si>
  <si>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</si>
  <si>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</si>
  <si>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</si>
  <si>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</si>
  <si>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</si>
  <si>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</si>
  <si>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HASIL</t>
  </si>
  <si>
    <t>KOREKSI SUHU</t>
  </si>
  <si>
    <t>KOREKSI KELEMBABAN</t>
  </si>
  <si>
    <t>KOREKSI TEKANAN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</si>
  <si>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</si>
  <si>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</si>
  <si>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</si>
  <si>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</si>
  <si>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</si>
  <si>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</si>
  <si>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</si>
  <si>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</si>
  <si>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</si>
  <si>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</si>
  <si>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</si>
  <si>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</si>
  <si>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</si>
  <si>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</si>
  <si>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</si>
  <si>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</si>
  <si>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</si>
  <si>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</si>
  <si>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</si>
  <si>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</si>
  <si>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A.100615</t>
  </si>
  <si>
    <t>SERTIFIKAT PENGUJIAN</t>
  </si>
  <si>
    <t>Bulan</t>
  </si>
  <si>
    <t xml:space="preserve">                                                                 </t>
  </si>
  <si>
    <t>Juni</t>
  </si>
  <si>
    <t xml:space="preserve">Nama Alat            : </t>
  </si>
  <si>
    <t>Lampu Operasi (Ceiling Type)</t>
  </si>
  <si>
    <t xml:space="preserve">Nomor Order           : </t>
  </si>
  <si>
    <t>Model / Tipe</t>
  </si>
  <si>
    <t>Nomor Seri</t>
  </si>
  <si>
    <t>Kapasitas</t>
  </si>
  <si>
    <t>Resolusi</t>
  </si>
  <si>
    <t>Nama Pemilik      :</t>
  </si>
  <si>
    <t xml:space="preserve">Identitas Pemilik     : </t>
  </si>
  <si>
    <t>Alamat Pemilik</t>
  </si>
  <si>
    <t>Laboratorium Kalibrasi LPFK Banjarbaru</t>
  </si>
  <si>
    <t>Metode Kerja</t>
  </si>
  <si>
    <t>Banjarbaru,</t>
  </si>
  <si>
    <t>Kepala Loka Pengamanan</t>
  </si>
  <si>
    <t>Fasilitas Kesehatan Banjarbaru</t>
  </si>
  <si>
    <t>Yuni Irmawati, SKM., MA</t>
  </si>
  <si>
    <t>NIP 197806222002122001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</si>
  <si>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</si>
  <si>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</si>
  <si>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</si>
  <si>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</si>
  <si>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</si>
  <si>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</si>
  <si>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</si>
  <si>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</si>
  <si>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Model</t>
  </si>
  <si>
    <t>Serial Number</t>
  </si>
  <si>
    <t>Tanggal Kalibrasi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</si>
  <si>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</si>
  <si>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</si>
  <si>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</si>
  <si>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 xml:space="preserve">Banjarbaru, </t>
  </si>
  <si>
    <t>Kepala LPFK Banjarbaru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</si>
  <si>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</si>
  <si>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</si>
  <si>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</si>
  <si>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</si>
  <si>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</si>
  <si>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</si>
  <si>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</si>
  <si>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</si>
  <si>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</si>
  <si>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</si>
  <si>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</si>
  <si>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</si>
  <si>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</si>
  <si>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 xml:space="preserve">Maret 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</si>
  <si>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</si>
  <si>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</si>
  <si>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</si>
  <si>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</si>
  <si>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</si>
  <si>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</si>
  <si>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</si>
  <si>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</si>
  <si>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</si>
  <si>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</si>
  <si>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</si>
  <si>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</si>
  <si>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</si>
  <si>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</si>
  <si>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</si>
  <si>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</si>
  <si>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</si>
  <si>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</si>
  <si>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Agustus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</si>
  <si>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</si>
  <si>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</si>
  <si>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</si>
  <si>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</si>
  <si>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</si>
  <si>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</si>
  <si>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</si>
  <si>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</si>
  <si>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</si>
  <si>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</si>
  <si>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</si>
  <si>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</si>
  <si>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</si>
  <si>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</si>
  <si>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</si>
  <si>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</si>
  <si>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</si>
  <si>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</si>
  <si>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</si>
  <si>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</si>
  <si>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</si>
  <si>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</si>
  <si>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</si>
  <si>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</si>
  <si>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</si>
  <si>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</si>
  <si>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</si>
  <si>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</si>
  <si>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</si>
  <si>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</si>
  <si>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</si>
  <si>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</si>
  <si>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</si>
  <si>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</si>
  <si>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</si>
  <si>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</si>
  <si>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</si>
  <si>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</si>
  <si>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</si>
  <si>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</si>
  <si>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</si>
  <si>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</si>
  <si>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</si>
  <si>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</si>
  <si>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</si>
  <si>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</si>
  <si>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</si>
  <si>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</si>
  <si>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</si>
  <si>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</si>
  <si>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</si>
  <si>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</si>
  <si>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</si>
  <si>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</si>
  <si>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</si>
  <si>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</si>
  <si>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</si>
  <si>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</si>
  <si>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</si>
  <si>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</si>
  <si>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</si>
  <si>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</si>
  <si>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</si>
  <si>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</si>
  <si>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</si>
  <si>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</si>
  <si>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</si>
  <si>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</si>
  <si>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</si>
  <si>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</si>
  <si>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OA.S - 029-18 / REV : 1</t>
  </si>
  <si>
    <t>MK 029 - 18</t>
  </si>
  <si>
    <t>Lampu Operasi (Mobile Type)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</si>
  <si>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</si>
  <si>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</si>
  <si>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</si>
  <si>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</si>
  <si>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</si>
  <si>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</si>
  <si>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</si>
  <si>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</si>
  <si>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</si>
  <si>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</si>
  <si>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</si>
  <si>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</si>
  <si>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</si>
  <si>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</si>
  <si>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</si>
  <si>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</si>
  <si>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</si>
  <si>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</si>
  <si>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</si>
  <si>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0</t>
  </si>
  <si>
    <t>MK 038 - 18</t>
  </si>
  <si>
    <t>Pulse Oxymeter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</si>
  <si>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</si>
  <si>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</si>
  <si>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</si>
  <si>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</si>
  <si>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</si>
  <si>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</si>
  <si>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</si>
  <si>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</si>
  <si>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</si>
  <si>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</si>
  <si>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</si>
  <si>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</si>
  <si>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</si>
  <si>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</si>
  <si>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</si>
  <si>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</si>
  <si>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</si>
  <si>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</si>
  <si>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</si>
  <si>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</si>
  <si>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</si>
  <si>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</si>
  <si>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</si>
  <si>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</si>
  <si>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MK 051-18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</si>
  <si>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</si>
  <si>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</si>
  <si>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</si>
  <si>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</si>
  <si>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</si>
  <si>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</si>
  <si>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</si>
  <si>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</si>
  <si>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</si>
  <si>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</si>
  <si>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</si>
  <si>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</si>
  <si>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</si>
  <si>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</si>
  <si>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</si>
  <si>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</si>
  <si>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</si>
  <si>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</si>
  <si>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</si>
  <si>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</si>
  <si>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</si>
  <si>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</si>
  <si>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</si>
  <si>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</si>
  <si>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</si>
  <si>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</si>
  <si>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</si>
  <si>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</si>
  <si>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</si>
  <si>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</si>
  <si>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</si>
  <si>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</si>
  <si>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</si>
  <si>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</si>
  <si>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</si>
  <si>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</si>
  <si>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</si>
  <si>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</si>
  <si>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</si>
  <si>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</si>
  <si>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</si>
  <si>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</si>
  <si>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Timbangan Dewasa</t>
  </si>
  <si>
    <t>GM.S - 141-2019 / REV : 0</t>
  </si>
  <si>
    <t>MK 141 - 19</t>
  </si>
  <si>
    <t>Kesimpulan :</t>
  </si>
  <si>
    <t>KESIMPULAN</t>
  </si>
  <si>
    <t>SIMBOL</t>
  </si>
  <si>
    <t>Nomor Sertifikat : 33 /</t>
  </si>
  <si>
    <t>Alat yang diuji dalam batas toleransi dan dinyatakan LAIK PAKAI, dimana hasil atau skor akhir sama dengan atau melampaui 70 % berdasarkan Keputusan Direktur Jenderal Pelayanan Kesehatan No : HK.02.02/V/0412/2020</t>
  </si>
  <si>
    <t>Nomor Surat Keterangan : 33 / M -</t>
  </si>
  <si>
    <t>Alat yang diuji melebihi batas toleransi dan dinyatakan TIDAK LAIK PAKAI,  dimana hasil atau skor akhir dibawah 70 % berdasarkan Keputusan Direktur Jenderal Pelayanan Kesehatan No : HK.02.02/V/0412/2020</t>
  </si>
  <si>
    <t>Jalan ABC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</si>
  <si>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</si>
  <si>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</si>
  <si>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</si>
  <si>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</si>
  <si>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</si>
  <si>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</si>
  <si>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</si>
  <si>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</si>
  <si>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</si>
  <si>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</si>
  <si>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</si>
  <si>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</si>
  <si>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</si>
  <si>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Lampu Operasi Ceiling Type</t>
  </si>
  <si>
    <t>LAIK</t>
  </si>
  <si>
    <t>Serti</t>
  </si>
  <si>
    <t>TIDAK LAIK</t>
  </si>
  <si>
    <t>MΩ</t>
  </si>
  <si>
    <t>Ω</t>
  </si>
  <si>
    <t>µA</t>
  </si>
  <si>
    <t>&gt; 2</t>
  </si>
  <si>
    <t>≤ 0.2</t>
  </si>
  <si>
    <t>≤ 500</t>
  </si>
  <si>
    <t>≤ 100</t>
  </si>
  <si>
    <t xml:space="preserve">Arus bocor peralatan untuk perangkat elektromedik kelas I </t>
  </si>
  <si>
    <t>Arus bocor peralatan untuk perangkat elektromedik kelas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</si>
</sst>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0.0"/>
    <numFmt numFmtId="165" formatCode="0.0000"/>
    <numFmt numFmtId="166" formatCode="0.000"/>
    <numFmt numFmtId="167" formatCode="\±\ 0.0"/>
    <numFmt numFmtId="168" formatCode="\±\ \ \ 0.0"/>
    <numFmt numFmtId="169" formatCode="\±\ \ \ 0.00"/>
    <numFmt numFmtId="170" formatCode="0.0\ \ \ \ \ \ \±"/>
    <numFmt numFmtId="171" formatCode="0.0\ &quot;Volt&quot;"/>
    <numFmt numFmtId="172" formatCode="0.00000000"/>
    <numFmt numFmtId="173" formatCode="\≥\ 0"/>
    <numFmt numFmtId="174" formatCode="\≤\ 0.0"/>
    <numFmt numFmtId="175" formatCode="\≤\ 0"/>
    <numFmt numFmtId="176" formatCode="0\ &quot;%&quot;"/>
    <numFmt numFmtId="177" formatCode="0.0\ &quot;%&quot;"/>
    <numFmt numFmtId="178" formatCode="0\ &quot;MΩ&quot;"/>
    <numFmt numFmtId="179" formatCode="0.000\ &quot;Ώ&quot;"/>
    <numFmt numFmtId="180" formatCode="0.0\ &quot; µA&quot;"/>
    <numFmt numFmtId="181" formatCode="[$-421]dd\ mmmm\ yyyy;@"/>
    <numFmt numFmtId="182" formatCode="0\ &quot;BPM&quot;"/>
    <numFmt numFmtId="183" formatCode="[$-C09]d\ mmmm\ yyyy;@"/>
    <numFmt numFmtId="184" formatCode="0.00000"/>
    <numFmt numFmtId="185" formatCode="0.000000"/>
    <numFmt numFmtId="186" formatCode="0.0000000"/>
  </numFmts>
  <fonts count="106" x14ac:knownFonts="1"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8"/>
      <name val="Calibri"/>
      <family val="2"/>
    </font>
    <font>
      <b/>
      <sz val="10"/>
      <name val="Times New Roman"/>
      <family val="1"/>
    </font>
    <font>
      <u/>
      <sz val="9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14"/>
      <name val="Arial"/>
      <family val="2"/>
    </font>
    <font>
      <b/>
      <sz val="8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sz val="1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"/>
      <name val="Calibri"/>
      <family val="2"/>
      <scheme val="minor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b/>
      <sz val="14"/>
      <color rgb="FFFF0000"/>
      <name val="Arial"/>
      <family val="2"/>
    </font>
    <font>
      <b/>
      <i/>
      <sz val="11"/>
      <color rgb="FFFF0000"/>
      <name val="Times New Roman"/>
      <family val="1"/>
    </font>
    <font>
      <vertAlign val="subscript"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Symbol"/>
      <family val="1"/>
      <charset val="2"/>
    </font>
    <font>
      <b/>
      <sz val="10"/>
      <color rgb="FFFF000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u/>
      <sz val="11"/>
      <name val="Arial"/>
      <family val="2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sz val="10"/>
      <color theme="0"/>
      <name val="Arial"/>
      <family val="2"/>
    </font>
    <font>
      <b/>
      <sz val="8"/>
      <color theme="0"/>
      <name val="Times New Roman"/>
      <family val="1"/>
    </font>
    <font>
      <b/>
      <i/>
      <sz val="11"/>
      <name val="Arial"/>
      <family val="2"/>
    </font>
    <font>
      <b/>
      <i/>
      <sz val="12"/>
      <name val="Calibri"/>
      <family val="2"/>
    </font>
    <font>
      <b/>
      <i/>
      <sz val="12"/>
      <name val="Arial"/>
      <family val="2"/>
    </font>
    <font>
      <sz val="11"/>
      <color theme="1"/>
      <name val="Arial"/>
      <family val="2"/>
    </font>
    <font>
      <sz val="10"/>
      <color theme="0" tint="-0.24997711111789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9"/>
      <name val="Calibri"/>
      <family val="2"/>
      <scheme val="minor"/>
    </font>
    <font>
      <b/>
      <i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name val="Arial"/>
      <family val="2"/>
    </font>
    <font>
      <b/>
      <sz val="2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i/>
      <sz val="14"/>
      <name val="Arial"/>
      <family val="2"/>
    </font>
    <font>
      <sz val="11"/>
      <color theme="0"/>
      <name val="Arial"/>
      <family val="2"/>
    </font>
    <font>
      <sz val="8"/>
      <color theme="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10"/>
      <color rgb="FFFF0000"/>
      <name val="Arial"/>
      <family val="2"/>
      <charset val="1"/>
    </font>
    <font>
      <sz val="8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b/>
      <sz val="28"/>
      <name val="Arial"/>
      <family val="2"/>
    </font>
    <font>
      <sz val="8"/>
      <name val="Arial"/>
      <family val="2"/>
    </font>
    <font>
      <sz val="11"/>
      <color rgb="FFFF0000"/>
      <name val="Arial"/>
      <family val="2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8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</cellStyleXfs>
  <cellXfs count="1039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vertical="center"/>
    </xf>
    <xf numFmtId="0" fontId="13" fillId="0" borderId="0" xfId="0" applyFont="1"/>
    <xf numFmtId="0" fontId="13" fillId="2" borderId="0" xfId="0" applyFont="1" applyFill="1"/>
    <xf numFmtId="2" fontId="6" fillId="0" borderId="3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0" fillId="0" borderId="0" xfId="0" applyFont="1"/>
    <xf numFmtId="0" fontId="21" fillId="0" borderId="0" xfId="0" applyFont="1" applyAlignment="1">
      <alignment vertical="center"/>
    </xf>
    <xf numFmtId="0" fontId="22" fillId="0" borderId="0" xfId="0" applyFont="1"/>
    <xf numFmtId="0" fontId="22" fillId="0" borderId="3" xfId="0" applyFont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7" fillId="0" borderId="3" xfId="0" applyFont="1" applyBorder="1" applyAlignment="1" applyProtection="1">
      <alignment horizontal="center"/>
      <protection hidden="1"/>
    </xf>
    <xf numFmtId="0" fontId="13" fillId="2" borderId="30" xfId="0" applyFont="1" applyFill="1" applyBorder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2" borderId="1" xfId="0" applyFont="1" applyFill="1" applyBorder="1" applyAlignment="1" applyProtection="1">
      <alignment horizontal="left" vertical="top"/>
      <protection hidden="1"/>
    </xf>
    <xf numFmtId="0" fontId="19" fillId="0" borderId="0" xfId="0" applyFont="1" applyAlignment="1">
      <alignment horizontal="center" vertical="center"/>
    </xf>
    <xf numFmtId="0" fontId="22" fillId="0" borderId="3" xfId="0" applyFont="1" applyBorder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7" fillId="2" borderId="3" xfId="0" applyFont="1" applyFill="1" applyBorder="1" applyAlignment="1">
      <alignment horizontal="left" wrapText="1"/>
    </xf>
    <xf numFmtId="2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/>
    </xf>
    <xf numFmtId="0" fontId="0" fillId="0" borderId="3" xfId="0" applyBorder="1"/>
    <xf numFmtId="168" fontId="18" fillId="0" borderId="0" xfId="0" applyNumberFormat="1" applyFont="1" applyAlignment="1">
      <alignment horizontal="center" vertical="center"/>
    </xf>
    <xf numFmtId="0" fontId="30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22" fillId="0" borderId="3" xfId="0" applyFont="1" applyBorder="1" applyAlignment="1">
      <alignment horizontal="right" vertical="center"/>
    </xf>
    <xf numFmtId="0" fontId="22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2" fontId="22" fillId="0" borderId="3" xfId="0" applyNumberFormat="1" applyFont="1" applyBorder="1" applyAlignment="1">
      <alignment horizontal="right"/>
    </xf>
    <xf numFmtId="0" fontId="31" fillId="0" borderId="4" xfId="1" applyFont="1" applyBorder="1"/>
    <xf numFmtId="0" fontId="31" fillId="0" borderId="2" xfId="1" applyFont="1" applyBorder="1"/>
    <xf numFmtId="0" fontId="32" fillId="0" borderId="1" xfId="1" applyFont="1" applyBorder="1"/>
    <xf numFmtId="0" fontId="32" fillId="0" borderId="4" xfId="1" applyFont="1" applyBorder="1"/>
    <xf numFmtId="0" fontId="32" fillId="0" borderId="2" xfId="1" applyFont="1" applyBorder="1"/>
    <xf numFmtId="0" fontId="33" fillId="0" borderId="1" xfId="1" applyFont="1" applyBorder="1"/>
    <xf numFmtId="0" fontId="33" fillId="0" borderId="4" xfId="1" applyFont="1" applyBorder="1"/>
    <xf numFmtId="0" fontId="33" fillId="0" borderId="2" xfId="1" applyFont="1" applyBorder="1"/>
    <xf numFmtId="0" fontId="4" fillId="0" borderId="1" xfId="1" applyFont="1" applyBorder="1"/>
    <xf numFmtId="0" fontId="4" fillId="0" borderId="4" xfId="1" applyFont="1" applyBorder="1"/>
    <xf numFmtId="0" fontId="4" fillId="0" borderId="2" xfId="1" applyFont="1" applyBorder="1"/>
    <xf numFmtId="0" fontId="22" fillId="0" borderId="35" xfId="0" applyFont="1" applyBorder="1"/>
    <xf numFmtId="0" fontId="0" fillId="0" borderId="35" xfId="0" applyBorder="1"/>
    <xf numFmtId="0" fontId="0" fillId="0" borderId="36" xfId="0" applyBorder="1"/>
    <xf numFmtId="0" fontId="30" fillId="0" borderId="41" xfId="0" applyFont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22" fillId="0" borderId="41" xfId="0" applyFont="1" applyBorder="1"/>
    <xf numFmtId="0" fontId="0" fillId="0" borderId="42" xfId="0" applyBorder="1" applyAlignment="1">
      <alignment horizontal="right"/>
    </xf>
    <xf numFmtId="0" fontId="31" fillId="0" borderId="28" xfId="1" applyFont="1" applyBorder="1"/>
    <xf numFmtId="0" fontId="0" fillId="0" borderId="42" xfId="0" applyBorder="1"/>
    <xf numFmtId="0" fontId="31" fillId="0" borderId="29" xfId="1" applyFont="1" applyBorder="1"/>
    <xf numFmtId="0" fontId="31" fillId="0" borderId="22" xfId="1" applyFont="1" applyBorder="1"/>
    <xf numFmtId="0" fontId="31" fillId="0" borderId="45" xfId="1" applyFont="1" applyBorder="1"/>
    <xf numFmtId="0" fontId="4" fillId="0" borderId="46" xfId="1" applyFont="1" applyBorder="1"/>
    <xf numFmtId="0" fontId="4" fillId="0" borderId="22" xfId="1" applyFont="1" applyBorder="1"/>
    <xf numFmtId="0" fontId="4" fillId="0" borderId="45" xfId="1" applyFont="1" applyBorder="1"/>
    <xf numFmtId="0" fontId="27" fillId="0" borderId="39" xfId="0" applyFont="1" applyBorder="1"/>
    <xf numFmtId="0" fontId="2" fillId="0" borderId="0" xfId="0" applyFont="1"/>
    <xf numFmtId="1" fontId="25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40" fillId="0" borderId="0" xfId="0" applyFont="1"/>
    <xf numFmtId="0" fontId="40" fillId="0" borderId="0" xfId="0" applyFont="1" applyProtection="1">
      <protection locked="0"/>
    </xf>
    <xf numFmtId="0" fontId="40" fillId="0" borderId="0" xfId="2" applyFont="1"/>
    <xf numFmtId="0" fontId="40" fillId="0" borderId="0" xfId="2" applyFont="1" applyAlignment="1">
      <alignment horizontal="center" vertical="center"/>
    </xf>
    <xf numFmtId="0" fontId="40" fillId="0" borderId="0" xfId="2" applyFont="1" applyAlignment="1">
      <alignment horizontal="right"/>
    </xf>
    <xf numFmtId="0" fontId="40" fillId="0" borderId="0" xfId="2" applyFont="1" applyAlignment="1">
      <alignment horizontal="center"/>
    </xf>
    <xf numFmtId="0" fontId="40" fillId="0" borderId="47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left" vertical="center" wrapText="1"/>
    </xf>
    <xf numFmtId="2" fontId="0" fillId="0" borderId="38" xfId="0" applyNumberFormat="1" applyBorder="1"/>
    <xf numFmtId="2" fontId="0" fillId="0" borderId="3" xfId="0" applyNumberFormat="1" applyBorder="1"/>
    <xf numFmtId="0" fontId="50" fillId="2" borderId="1" xfId="0" applyFont="1" applyFill="1" applyBorder="1" applyAlignment="1">
      <alignment vertical="center"/>
    </xf>
    <xf numFmtId="0" fontId="50" fillId="2" borderId="57" xfId="0" applyFont="1" applyFill="1" applyBorder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51" fillId="2" borderId="0" xfId="0" applyFont="1" applyFill="1"/>
    <xf numFmtId="0" fontId="50" fillId="2" borderId="0" xfId="0" applyFont="1" applyFill="1"/>
    <xf numFmtId="0" fontId="50" fillId="0" borderId="0" xfId="0" applyFont="1"/>
    <xf numFmtId="0" fontId="50" fillId="2" borderId="0" xfId="0" applyFont="1" applyFill="1" applyAlignment="1">
      <alignment horizontal="right"/>
    </xf>
    <xf numFmtId="0" fontId="50" fillId="2" borderId="0" xfId="0" applyFont="1" applyFill="1" applyAlignment="1">
      <alignment vertical="center"/>
    </xf>
    <xf numFmtId="0" fontId="50" fillId="2" borderId="0" xfId="0" applyFont="1" applyFill="1" applyAlignment="1">
      <alignment horizontal="right" vertical="center"/>
    </xf>
    <xf numFmtId="0" fontId="35" fillId="2" borderId="0" xfId="0" applyFont="1" applyFill="1"/>
    <xf numFmtId="0" fontId="50" fillId="2" borderId="10" xfId="0" applyFont="1" applyFill="1" applyBorder="1" applyAlignment="1">
      <alignment horizontal="center"/>
    </xf>
    <xf numFmtId="0" fontId="50" fillId="2" borderId="0" xfId="0" applyFont="1" applyFill="1" applyAlignment="1">
      <alignment horizontal="left" vertical="center"/>
    </xf>
    <xf numFmtId="0" fontId="50" fillId="2" borderId="50" xfId="0" applyFont="1" applyFill="1" applyBorder="1"/>
    <xf numFmtId="0" fontId="55" fillId="2" borderId="0" xfId="0" applyFont="1" applyFill="1"/>
    <xf numFmtId="0" fontId="50" fillId="2" borderId="0" xfId="0" applyFont="1" applyFill="1" applyAlignment="1">
      <alignment horizontal="left"/>
    </xf>
    <xf numFmtId="0" fontId="50" fillId="2" borderId="37" xfId="0" applyFont="1" applyFill="1" applyBorder="1" applyAlignment="1">
      <alignment horizontal="left"/>
    </xf>
    <xf numFmtId="0" fontId="50" fillId="2" borderId="47" xfId="0" applyFont="1" applyFill="1" applyBorder="1" applyAlignment="1">
      <alignment horizontal="left"/>
    </xf>
    <xf numFmtId="0" fontId="50" fillId="2" borderId="3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/>
    </xf>
    <xf numFmtId="0" fontId="50" fillId="2" borderId="36" xfId="0" applyFont="1" applyFill="1" applyBorder="1"/>
    <xf numFmtId="0" fontId="50" fillId="2" borderId="39" xfId="0" applyFont="1" applyFill="1" applyBorder="1"/>
    <xf numFmtId="0" fontId="55" fillId="2" borderId="0" xfId="0" quotePrefix="1" applyFont="1" applyFill="1" applyAlignment="1">
      <alignment horizontal="left"/>
    </xf>
    <xf numFmtId="0" fontId="50" fillId="2" borderId="0" xfId="0" quotePrefix="1" applyFont="1" applyFill="1" applyAlignment="1">
      <alignment horizontal="left"/>
    </xf>
    <xf numFmtId="0" fontId="50" fillId="2" borderId="3" xfId="0" applyFont="1" applyFill="1" applyBorder="1" applyAlignment="1">
      <alignment horizontal="center"/>
    </xf>
    <xf numFmtId="0" fontId="50" fillId="2" borderId="4" xfId="0" applyFont="1" applyFill="1" applyBorder="1" applyAlignment="1">
      <alignment vertical="center"/>
    </xf>
    <xf numFmtId="0" fontId="50" fillId="2" borderId="2" xfId="0" applyFont="1" applyFill="1" applyBorder="1" applyAlignment="1">
      <alignment vertical="center"/>
    </xf>
    <xf numFmtId="0" fontId="50" fillId="2" borderId="3" xfId="0" applyFont="1" applyFill="1" applyBorder="1" applyAlignment="1">
      <alignment horizontal="right" vertical="center"/>
    </xf>
    <xf numFmtId="173" fontId="50" fillId="2" borderId="3" xfId="0" applyNumberFormat="1" applyFont="1" applyFill="1" applyBorder="1" applyAlignment="1">
      <alignment horizontal="center" vertical="center" wrapText="1"/>
    </xf>
    <xf numFmtId="174" fontId="50" fillId="2" borderId="3" xfId="0" applyNumberFormat="1" applyFont="1" applyFill="1" applyBorder="1" applyAlignment="1">
      <alignment horizontal="center" vertical="center" wrapText="1"/>
    </xf>
    <xf numFmtId="0" fontId="50" fillId="2" borderId="56" xfId="0" applyFont="1" applyFill="1" applyBorder="1" applyAlignment="1">
      <alignment vertical="center"/>
    </xf>
    <xf numFmtId="0" fontId="50" fillId="2" borderId="8" xfId="0" applyFont="1" applyFill="1" applyBorder="1" applyAlignment="1">
      <alignment vertical="center"/>
    </xf>
    <xf numFmtId="175" fontId="50" fillId="2" borderId="3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7" fillId="2" borderId="0" xfId="0" applyFont="1" applyFill="1" applyAlignment="1">
      <alignment horizontal="center" vertical="center"/>
    </xf>
    <xf numFmtId="2" fontId="50" fillId="2" borderId="3" xfId="0" applyNumberFormat="1" applyFont="1" applyFill="1" applyBorder="1" applyAlignment="1">
      <alignment vertical="center"/>
    </xf>
    <xf numFmtId="2" fontId="50" fillId="2" borderId="3" xfId="0" applyNumberFormat="1" applyFont="1" applyFill="1" applyBorder="1" applyAlignment="1">
      <alignment horizontal="center" vertical="center"/>
    </xf>
    <xf numFmtId="2" fontId="50" fillId="2" borderId="3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vertical="center" wrapText="1"/>
    </xf>
    <xf numFmtId="167" fontId="50" fillId="2" borderId="0" xfId="0" applyNumberFormat="1" applyFont="1" applyFill="1" applyAlignment="1">
      <alignment vertical="center"/>
    </xf>
    <xf numFmtId="0" fontId="50" fillId="2" borderId="47" xfId="0" applyFont="1" applyFill="1" applyBorder="1"/>
    <xf numFmtId="164" fontId="50" fillId="2" borderId="0" xfId="0" applyNumberFormat="1" applyFont="1" applyFill="1" applyAlignment="1">
      <alignment vertical="center"/>
    </xf>
    <xf numFmtId="164" fontId="35" fillId="2" borderId="0" xfId="0" applyNumberFormat="1" applyFont="1" applyFill="1" applyAlignment="1">
      <alignment vertical="center"/>
    </xf>
    <xf numFmtId="0" fontId="35" fillId="2" borderId="0" xfId="0" applyFont="1" applyFill="1" applyAlignment="1">
      <alignment horizontal="left"/>
    </xf>
    <xf numFmtId="164" fontId="35" fillId="2" borderId="0" xfId="0" applyNumberFormat="1" applyFont="1" applyFill="1" applyAlignment="1">
      <alignment horizontal="left"/>
    </xf>
    <xf numFmtId="164" fontId="50" fillId="2" borderId="0" xfId="0" applyNumberFormat="1" applyFont="1" applyFill="1" applyAlignment="1">
      <alignment horizontal="left"/>
    </xf>
    <xf numFmtId="2" fontId="1" fillId="2" borderId="3" xfId="1" applyNumberFormat="1" applyFont="1" applyFill="1" applyBorder="1" applyAlignment="1">
      <alignment horizontal="center"/>
    </xf>
    <xf numFmtId="2" fontId="1" fillId="2" borderId="30" xfId="1" applyNumberFormat="1" applyFont="1" applyFill="1" applyBorder="1" applyAlignment="1">
      <alignment horizontal="center" vertical="center"/>
    </xf>
    <xf numFmtId="2" fontId="1" fillId="2" borderId="54" xfId="1" applyNumberFormat="1" applyFont="1" applyFill="1" applyBorder="1" applyAlignment="1">
      <alignment horizontal="center" vertical="center"/>
    </xf>
    <xf numFmtId="0" fontId="35" fillId="2" borderId="0" xfId="0" applyFont="1" applyFill="1" applyAlignment="1">
      <alignment vertical="center"/>
    </xf>
    <xf numFmtId="0" fontId="50" fillId="0" borderId="3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2" fontId="43" fillId="0" borderId="0" xfId="0" applyNumberFormat="1" applyFont="1" applyAlignment="1">
      <alignment horizontal="center" vertical="center"/>
    </xf>
    <xf numFmtId="168" fontId="50" fillId="2" borderId="0" xfId="0" applyNumberFormat="1" applyFont="1" applyFill="1" applyAlignment="1">
      <alignment horizontal="center"/>
    </xf>
    <xf numFmtId="0" fontId="35" fillId="2" borderId="3" xfId="0" applyFont="1" applyFill="1" applyBorder="1" applyAlignment="1">
      <alignment horizontal="center" vertical="center" wrapText="1"/>
    </xf>
    <xf numFmtId="168" fontId="50" fillId="2" borderId="0" xfId="0" applyNumberFormat="1" applyFont="1" applyFill="1" applyAlignment="1">
      <alignment vertical="center"/>
    </xf>
    <xf numFmtId="0" fontId="50" fillId="2" borderId="0" xfId="0" applyFont="1" applyFill="1" applyAlignment="1">
      <alignment horizontal="center" vertical="center"/>
    </xf>
    <xf numFmtId="0" fontId="50" fillId="2" borderId="0" xfId="0" applyFont="1" applyFill="1" applyAlignment="1">
      <alignment horizontal="center" vertical="center" wrapText="1"/>
    </xf>
    <xf numFmtId="168" fontId="50" fillId="2" borderId="0" xfId="0" applyNumberFormat="1" applyFont="1" applyFill="1"/>
    <xf numFmtId="166" fontId="50" fillId="2" borderId="0" xfId="0" applyNumberFormat="1" applyFont="1" applyFill="1" applyAlignment="1">
      <alignment horizontal="right"/>
    </xf>
    <xf numFmtId="0" fontId="50" fillId="2" borderId="0" xfId="0" applyFont="1" applyFill="1" applyAlignment="1" applyProtection="1">
      <alignment horizontal="left"/>
      <protection locked="0"/>
    </xf>
    <xf numFmtId="0" fontId="50" fillId="2" borderId="0" xfId="0" applyFont="1" applyFill="1" applyProtection="1">
      <protection locked="0"/>
    </xf>
    <xf numFmtId="0" fontId="50" fillId="2" borderId="0" xfId="0" applyFont="1" applyFill="1" applyAlignment="1" applyProtection="1">
      <alignment horizontal="center"/>
      <protection locked="0"/>
    </xf>
    <xf numFmtId="166" fontId="50" fillId="2" borderId="0" xfId="0" applyNumberFormat="1" applyFont="1" applyFill="1" applyAlignment="1" applyProtection="1">
      <alignment horizontal="right"/>
      <protection locked="0"/>
    </xf>
    <xf numFmtId="0" fontId="35" fillId="2" borderId="0" xfId="0" applyFont="1" applyFill="1" applyProtection="1">
      <protection locked="0"/>
    </xf>
    <xf numFmtId="164" fontId="50" fillId="2" borderId="0" xfId="0" applyNumberFormat="1" applyFont="1" applyFill="1" applyAlignment="1" applyProtection="1">
      <alignment vertical="center"/>
      <protection locked="0"/>
    </xf>
    <xf numFmtId="0" fontId="57" fillId="2" borderId="0" xfId="0" applyFont="1" applyFill="1" applyAlignment="1" applyProtection="1">
      <alignment horizontal="center"/>
      <protection locked="0"/>
    </xf>
    <xf numFmtId="0" fontId="57" fillId="2" borderId="0" xfId="0" applyFont="1" applyFill="1" applyAlignment="1">
      <alignment horizontal="center"/>
    </xf>
    <xf numFmtId="164" fontId="50" fillId="2" borderId="0" xfId="0" applyNumberFormat="1" applyFont="1" applyFill="1" applyAlignment="1">
      <alignment horizontal="right"/>
    </xf>
    <xf numFmtId="164" fontId="50" fillId="2" borderId="0" xfId="0" applyNumberFormat="1" applyFont="1" applyFill="1" applyAlignment="1">
      <alignment horizontal="left" vertical="center"/>
    </xf>
    <xf numFmtId="0" fontId="50" fillId="2" borderId="3" xfId="0" applyFont="1" applyFill="1" applyBorder="1" applyAlignment="1" applyProtection="1">
      <alignment horizontal="center"/>
      <protection locked="0"/>
    </xf>
    <xf numFmtId="0" fontId="63" fillId="2" borderId="3" xfId="0" applyFont="1" applyFill="1" applyBorder="1" applyAlignment="1" applyProtection="1">
      <alignment horizontal="center"/>
      <protection locked="0"/>
    </xf>
    <xf numFmtId="166" fontId="50" fillId="2" borderId="0" xfId="0" applyNumberFormat="1" applyFont="1" applyFill="1" applyProtection="1">
      <protection locked="0"/>
    </xf>
    <xf numFmtId="0" fontId="50" fillId="2" borderId="0" xfId="0" applyFont="1" applyFill="1" applyAlignment="1" applyProtection="1">
      <alignment vertical="center"/>
      <protection locked="0"/>
    </xf>
    <xf numFmtId="0" fontId="50" fillId="2" borderId="2" xfId="0" applyFont="1" applyFill="1" applyBorder="1" applyAlignment="1" applyProtection="1">
      <alignment vertical="center"/>
      <protection locked="0"/>
    </xf>
    <xf numFmtId="0" fontId="50" fillId="2" borderId="3" xfId="0" applyFont="1" applyFill="1" applyBorder="1" applyAlignment="1" applyProtection="1">
      <alignment vertical="center"/>
      <protection locked="0"/>
    </xf>
    <xf numFmtId="165" fontId="50" fillId="2" borderId="0" xfId="0" applyNumberFormat="1" applyFont="1" applyFill="1" applyAlignment="1" applyProtection="1">
      <alignment vertical="center"/>
      <protection locked="0"/>
    </xf>
    <xf numFmtId="165" fontId="50" fillId="2" borderId="0" xfId="0" applyNumberFormat="1" applyFont="1" applyFill="1" applyProtection="1">
      <protection locked="0"/>
    </xf>
    <xf numFmtId="176" fontId="29" fillId="3" borderId="3" xfId="0" applyNumberFormat="1" applyFont="1" applyFill="1" applyBorder="1" applyAlignment="1">
      <alignment horizontal="center"/>
    </xf>
    <xf numFmtId="0" fontId="50" fillId="0" borderId="0" xfId="0" applyFont="1" applyAlignment="1">
      <alignment horizontal="center"/>
    </xf>
    <xf numFmtId="0" fontId="50" fillId="0" borderId="0" xfId="0" applyFont="1" applyAlignment="1" applyProtection="1">
      <alignment horizontal="center"/>
      <protection locked="0"/>
    </xf>
    <xf numFmtId="177" fontId="54" fillId="3" borderId="3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Alignment="1">
      <alignment horizontal="center"/>
    </xf>
    <xf numFmtId="1" fontId="13" fillId="2" borderId="0" xfId="0" quotePrefix="1" applyNumberFormat="1" applyFont="1" applyFill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51" fillId="0" borderId="0" xfId="0" applyFont="1" applyAlignment="1" applyProtection="1">
      <alignment vertical="center"/>
      <protection locked="0"/>
    </xf>
    <xf numFmtId="0" fontId="22" fillId="0" borderId="3" xfId="0" applyFont="1" applyBorder="1" applyAlignment="1">
      <alignment horizontal="left" vertical="center" wrapText="1"/>
    </xf>
    <xf numFmtId="0" fontId="35" fillId="2" borderId="0" xfId="0" applyFont="1" applyFill="1" applyAlignment="1">
      <alignment vertical="center" wrapText="1"/>
    </xf>
    <xf numFmtId="178" fontId="50" fillId="2" borderId="3" xfId="0" applyNumberFormat="1" applyFont="1" applyFill="1" applyBorder="1" applyAlignment="1">
      <alignment horizontal="center" vertical="center"/>
    </xf>
    <xf numFmtId="179" fontId="50" fillId="2" borderId="3" xfId="0" applyNumberFormat="1" applyFont="1" applyFill="1" applyBorder="1" applyAlignment="1">
      <alignment horizontal="center" vertical="center"/>
    </xf>
    <xf numFmtId="0" fontId="56" fillId="2" borderId="0" xfId="0" applyFont="1" applyFill="1" applyAlignment="1">
      <alignment vertical="center" wrapText="1"/>
    </xf>
    <xf numFmtId="0" fontId="50" fillId="2" borderId="2" xfId="0" applyFont="1" applyFill="1" applyBorder="1" applyAlignment="1" applyProtection="1">
      <alignment horizontal="center"/>
      <protection locked="0"/>
    </xf>
    <xf numFmtId="0" fontId="50" fillId="2" borderId="57" xfId="0" applyFont="1" applyFill="1" applyBorder="1" applyAlignment="1" applyProtection="1">
      <alignment vertical="center"/>
      <protection locked="0"/>
    </xf>
    <xf numFmtId="0" fontId="50" fillId="2" borderId="56" xfId="0" applyFont="1" applyFill="1" applyBorder="1" applyAlignment="1" applyProtection="1">
      <alignment vertical="center"/>
      <protection locked="0"/>
    </xf>
    <xf numFmtId="176" fontId="6" fillId="0" borderId="0" xfId="0" applyNumberFormat="1" applyFont="1"/>
    <xf numFmtId="177" fontId="50" fillId="0" borderId="0" xfId="1" applyNumberFormat="1" applyFont="1" applyAlignment="1" applyProtection="1">
      <alignment vertical="center"/>
      <protection locked="0"/>
    </xf>
    <xf numFmtId="176" fontId="50" fillId="0" borderId="0" xfId="1" applyNumberFormat="1" applyFont="1" applyAlignment="1" applyProtection="1">
      <alignment horizontal="center" vertical="center"/>
      <protection locked="0"/>
    </xf>
    <xf numFmtId="0" fontId="50" fillId="0" borderId="0" xfId="1" applyFont="1" applyAlignment="1" applyProtection="1">
      <alignment vertical="center"/>
      <protection locked="0"/>
    </xf>
    <xf numFmtId="177" fontId="50" fillId="0" borderId="0" xfId="1" applyNumberFormat="1" applyFont="1" applyAlignment="1" applyProtection="1">
      <alignment horizontal="center" vertical="center"/>
      <protection locked="0"/>
    </xf>
    <xf numFmtId="177" fontId="54" fillId="0" borderId="3" xfId="0" applyNumberFormat="1" applyFont="1" applyBorder="1" applyAlignment="1">
      <alignment horizontal="center" vertical="center"/>
    </xf>
    <xf numFmtId="9" fontId="8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0" fillId="0" borderId="3" xfId="0" applyFont="1" applyBorder="1" applyAlignment="1" applyProtection="1">
      <alignment horizontal="center" vertical="center"/>
      <protection locked="0"/>
    </xf>
    <xf numFmtId="176" fontId="6" fillId="0" borderId="3" xfId="0" applyNumberFormat="1" applyFont="1" applyBorder="1" applyAlignment="1">
      <alignment horizontal="center" vertical="center"/>
    </xf>
    <xf numFmtId="0" fontId="22" fillId="0" borderId="0" xfId="3"/>
    <xf numFmtId="0" fontId="51" fillId="0" borderId="0" xfId="1" applyFont="1" applyAlignment="1" applyProtection="1">
      <alignment vertical="center"/>
      <protection locked="0"/>
    </xf>
    <xf numFmtId="0" fontId="51" fillId="0" borderId="0" xfId="0" applyFont="1" applyAlignment="1">
      <alignment vertical="center"/>
    </xf>
    <xf numFmtId="164" fontId="51" fillId="2" borderId="0" xfId="0" applyNumberFormat="1" applyFont="1" applyFill="1" applyAlignment="1">
      <alignment vertical="center"/>
    </xf>
    <xf numFmtId="0" fontId="51" fillId="2" borderId="0" xfId="0" applyFont="1" applyFill="1" applyProtection="1">
      <protection hidden="1"/>
    </xf>
    <xf numFmtId="0" fontId="16" fillId="0" borderId="3" xfId="0" applyFont="1" applyBorder="1" applyAlignment="1">
      <alignment horizontal="center" vertical="center"/>
    </xf>
    <xf numFmtId="181" fontId="22" fillId="0" borderId="3" xfId="0" applyNumberFormat="1" applyFont="1" applyBorder="1" applyAlignment="1">
      <alignment horizontal="center" vertical="center"/>
    </xf>
    <xf numFmtId="181" fontId="16" fillId="0" borderId="3" xfId="0" applyNumberFormat="1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66" fillId="0" borderId="3" xfId="0" quotePrefix="1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181" fontId="16" fillId="0" borderId="53" xfId="0" applyNumberFormat="1" applyFont="1" applyBorder="1" applyAlignment="1">
      <alignment horizontal="center" vertical="center"/>
    </xf>
    <xf numFmtId="181" fontId="16" fillId="0" borderId="48" xfId="0" applyNumberFormat="1" applyFont="1" applyBorder="1" applyAlignment="1">
      <alignment horizontal="center" vertical="center"/>
    </xf>
    <xf numFmtId="180" fontId="50" fillId="2" borderId="3" xfId="0" applyNumberFormat="1" applyFont="1" applyFill="1" applyBorder="1" applyAlignment="1">
      <alignment horizontal="center" vertical="center"/>
    </xf>
    <xf numFmtId="0" fontId="67" fillId="0" borderId="0" xfId="0" applyFont="1"/>
    <xf numFmtId="0" fontId="22" fillId="0" borderId="0" xfId="5"/>
    <xf numFmtId="0" fontId="22" fillId="0" borderId="0" xfId="5" applyProtection="1">
      <protection locked="0"/>
    </xf>
    <xf numFmtId="0" fontId="71" fillId="0" borderId="0" xfId="5" applyFont="1" applyAlignment="1">
      <alignment horizontal="center" vertical="center" wrapText="1"/>
    </xf>
    <xf numFmtId="0" fontId="39" fillId="0" borderId="2" xfId="5" applyFont="1" applyBorder="1" applyAlignment="1">
      <alignment horizontal="left" vertical="top" wrapText="1"/>
    </xf>
    <xf numFmtId="0" fontId="22" fillId="0" borderId="0" xfId="5" applyAlignment="1">
      <alignment horizontal="left" vertical="top"/>
    </xf>
    <xf numFmtId="0" fontId="39" fillId="0" borderId="2" xfId="5" applyFont="1" applyBorder="1" applyAlignment="1">
      <alignment horizontal="left" vertical="top"/>
    </xf>
    <xf numFmtId="0" fontId="39" fillId="0" borderId="0" xfId="5" applyFont="1" applyAlignment="1">
      <alignment vertical="center" wrapText="1"/>
    </xf>
    <xf numFmtId="0" fontId="39" fillId="0" borderId="0" xfId="5" applyFont="1" applyAlignment="1">
      <alignment horizontal="center" vertical="center" wrapText="1"/>
    </xf>
    <xf numFmtId="0" fontId="73" fillId="0" borderId="0" xfId="5" applyFont="1"/>
    <xf numFmtId="0" fontId="39" fillId="0" borderId="0" xfId="5" applyFont="1" applyAlignment="1" applyProtection="1">
      <alignment horizontal="center" vertical="center" wrapText="1"/>
      <protection locked="0"/>
    </xf>
    <xf numFmtId="1" fontId="39" fillId="0" borderId="0" xfId="5" quotePrefix="1" applyNumberFormat="1" applyFont="1" applyAlignment="1" applyProtection="1">
      <alignment horizontal="left"/>
      <protection locked="0"/>
    </xf>
    <xf numFmtId="0" fontId="39" fillId="0" borderId="0" xfId="5" applyFont="1" applyProtection="1">
      <protection locked="0"/>
    </xf>
    <xf numFmtId="1" fontId="72" fillId="0" borderId="0" xfId="5" quotePrefix="1" applyNumberFormat="1" applyFont="1" applyProtection="1">
      <protection locked="0"/>
    </xf>
    <xf numFmtId="0" fontId="73" fillId="0" borderId="0" xfId="5" applyFont="1" applyProtection="1">
      <protection locked="0"/>
    </xf>
    <xf numFmtId="182" fontId="39" fillId="0" borderId="0" xfId="5" quotePrefix="1" applyNumberFormat="1" applyFont="1" applyAlignment="1" applyProtection="1">
      <alignment horizontal="left"/>
      <protection locked="0"/>
    </xf>
    <xf numFmtId="2" fontId="72" fillId="0" borderId="0" xfId="5" quotePrefix="1" applyNumberFormat="1" applyFont="1" applyProtection="1">
      <protection locked="0"/>
    </xf>
    <xf numFmtId="0" fontId="22" fillId="0" borderId="0" xfId="5" applyAlignment="1">
      <alignment vertical="top" wrapText="1"/>
    </xf>
    <xf numFmtId="0" fontId="39" fillId="0" borderId="1" xfId="5" applyFont="1" applyBorder="1" applyAlignment="1">
      <alignment vertical="top"/>
    </xf>
    <xf numFmtId="0" fontId="39" fillId="0" borderId="2" xfId="5" applyFont="1" applyBorder="1" applyAlignment="1" applyProtection="1">
      <alignment vertical="top" wrapText="1"/>
      <protection locked="0"/>
    </xf>
    <xf numFmtId="0" fontId="39" fillId="0" borderId="2" xfId="5" applyFont="1" applyBorder="1" applyAlignment="1" applyProtection="1">
      <alignment vertical="top"/>
      <protection locked="0"/>
    </xf>
    <xf numFmtId="0" fontId="74" fillId="0" borderId="0" xfId="5" applyFont="1" applyAlignment="1">
      <alignment vertical="top"/>
    </xf>
    <xf numFmtId="0" fontId="39" fillId="0" borderId="0" xfId="5" applyFont="1" applyAlignment="1" applyProtection="1">
      <alignment horizontal="center" vertical="top" wrapText="1"/>
      <protection locked="0"/>
    </xf>
    <xf numFmtId="0" fontId="71" fillId="0" borderId="0" xfId="5" applyFont="1" applyAlignment="1">
      <alignment wrapText="1"/>
    </xf>
    <xf numFmtId="0" fontId="38" fillId="0" borderId="0" xfId="5" applyFont="1"/>
    <xf numFmtId="0" fontId="39" fillId="0" borderId="0" xfId="5" applyFont="1" applyAlignment="1">
      <alignment horizontal="center" vertical="top" wrapText="1"/>
    </xf>
    <xf numFmtId="0" fontId="39" fillId="0" borderId="0" xfId="5" applyFont="1" applyAlignment="1">
      <alignment vertical="top" wrapText="1"/>
    </xf>
    <xf numFmtId="0" fontId="75" fillId="0" borderId="0" xfId="5" applyFont="1" applyAlignment="1">
      <alignment vertical="center"/>
    </xf>
    <xf numFmtId="0" fontId="76" fillId="0" borderId="0" xfId="5" applyFont="1" applyAlignment="1">
      <alignment horizontal="right"/>
    </xf>
    <xf numFmtId="0" fontId="61" fillId="0" borderId="0" xfId="5" applyFont="1" applyAlignment="1">
      <alignment horizontal="left" vertical="center" wrapText="1"/>
    </xf>
    <xf numFmtId="0" fontId="22" fillId="0" borderId="0" xfId="5" applyAlignment="1">
      <alignment horizontal="center" vertical="center" wrapText="1"/>
    </xf>
    <xf numFmtId="17" fontId="22" fillId="0" borderId="0" xfId="5" applyNumberFormat="1" applyAlignment="1">
      <alignment horizontal="center" vertical="center"/>
    </xf>
    <xf numFmtId="0" fontId="22" fillId="0" borderId="0" xfId="5" applyAlignment="1">
      <alignment horizontal="center" vertical="center"/>
    </xf>
    <xf numFmtId="0" fontId="22" fillId="0" borderId="0" xfId="5" applyAlignment="1" applyProtection="1">
      <alignment horizontal="center" vertical="center" wrapText="1"/>
      <protection locked="0"/>
    </xf>
    <xf numFmtId="0" fontId="22" fillId="0" borderId="0" xfId="5" applyAlignment="1" applyProtection="1">
      <alignment horizontal="center" vertical="center"/>
      <protection locked="0"/>
    </xf>
    <xf numFmtId="0" fontId="22" fillId="0" borderId="0" xfId="5" applyAlignment="1">
      <alignment horizontal="left" vertical="center"/>
    </xf>
    <xf numFmtId="0" fontId="22" fillId="0" borderId="0" xfId="5" quotePrefix="1" applyAlignment="1" applyProtection="1">
      <alignment horizontal="center" vertical="center"/>
      <protection locked="0"/>
    </xf>
    <xf numFmtId="0" fontId="79" fillId="0" borderId="0" xfId="5" applyFont="1" applyAlignment="1">
      <alignment horizontal="left" vertical="center" wrapText="1"/>
    </xf>
    <xf numFmtId="0" fontId="79" fillId="0" borderId="0" xfId="5" applyFont="1"/>
    <xf numFmtId="0" fontId="79" fillId="0" borderId="0" xfId="5" applyFont="1" applyAlignment="1">
      <alignment vertical="top"/>
    </xf>
    <xf numFmtId="0" fontId="79" fillId="0" borderId="0" xfId="5" applyFont="1" applyAlignment="1">
      <alignment vertical="center"/>
    </xf>
    <xf numFmtId="0" fontId="79" fillId="0" borderId="3" xfId="5" applyFont="1" applyBorder="1" applyAlignment="1">
      <alignment horizontal="center" vertical="center"/>
    </xf>
    <xf numFmtId="0" fontId="79" fillId="0" borderId="3" xfId="5" quotePrefix="1" applyFont="1" applyBorder="1" applyAlignment="1">
      <alignment horizontal="center" vertical="center"/>
    </xf>
    <xf numFmtId="0" fontId="79" fillId="0" borderId="2" xfId="5" applyFont="1" applyBorder="1" applyAlignment="1">
      <alignment horizontal="center" vertical="center" wrapText="1"/>
    </xf>
    <xf numFmtId="0" fontId="79" fillId="0" borderId="3" xfId="5" applyFont="1" applyBorder="1" applyAlignment="1">
      <alignment horizontal="center" vertical="center" wrapText="1"/>
    </xf>
    <xf numFmtId="0" fontId="79" fillId="0" borderId="0" xfId="5" quotePrefix="1" applyFont="1" applyAlignment="1">
      <alignment vertical="center"/>
    </xf>
    <xf numFmtId="0" fontId="22" fillId="0" borderId="0" xfId="5" applyAlignment="1">
      <alignment horizontal="center"/>
    </xf>
    <xf numFmtId="0" fontId="79" fillId="0" borderId="0" xfId="5" applyFont="1" applyAlignment="1">
      <alignment horizontal="left" vertical="center"/>
    </xf>
    <xf numFmtId="0" fontId="79" fillId="0" borderId="0" xfId="5" applyFont="1" applyAlignment="1">
      <alignment horizontal="right" vertical="center"/>
    </xf>
    <xf numFmtId="181" fontId="79" fillId="0" borderId="0" xfId="5" applyNumberFormat="1" applyFont="1" applyAlignment="1">
      <alignment horizontal="left" vertical="center"/>
    </xf>
    <xf numFmtId="0" fontId="4" fillId="9" borderId="3" xfId="5" applyFont="1" applyFill="1" applyBorder="1"/>
    <xf numFmtId="0" fontId="4" fillId="9" borderId="1" xfId="5" applyFont="1" applyFill="1" applyBorder="1"/>
    <xf numFmtId="0" fontId="4" fillId="0" borderId="0" xfId="5" applyFont="1"/>
    <xf numFmtId="0" fontId="4" fillId="10" borderId="64" xfId="5" applyFont="1" applyFill="1" applyBorder="1"/>
    <xf numFmtId="0" fontId="81" fillId="0" borderId="3" xfId="5" applyFont="1" applyBorder="1"/>
    <xf numFmtId="0" fontId="81" fillId="0" borderId="3" xfId="5" applyFont="1" applyBorder="1" applyAlignment="1">
      <alignment horizontal="left"/>
    </xf>
    <xf numFmtId="0" fontId="22" fillId="0" borderId="64" xfId="5" applyBorder="1"/>
    <xf numFmtId="17" fontId="22" fillId="0" borderId="0" xfId="5" quotePrefix="1" applyNumberFormat="1"/>
    <xf numFmtId="0" fontId="81" fillId="0" borderId="0" xfId="5" applyFont="1"/>
    <xf numFmtId="0" fontId="81" fillId="0" borderId="0" xfId="5" applyFont="1" applyAlignment="1">
      <alignment horizontal="left"/>
    </xf>
    <xf numFmtId="0" fontId="22" fillId="0" borderId="0" xfId="5" quotePrefix="1"/>
    <xf numFmtId="0" fontId="18" fillId="0" borderId="3" xfId="0" applyFont="1" applyBorder="1" applyAlignment="1">
      <alignment horizontal="center"/>
    </xf>
    <xf numFmtId="1" fontId="18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" fontId="25" fillId="0" borderId="34" xfId="0" applyNumberFormat="1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 wrapText="1"/>
    </xf>
    <xf numFmtId="164" fontId="25" fillId="0" borderId="36" xfId="0" applyNumberFormat="1" applyFont="1" applyBorder="1" applyAlignment="1">
      <alignment horizontal="center" vertical="center"/>
    </xf>
    <xf numFmtId="0" fontId="39" fillId="0" borderId="1" xfId="5" applyFont="1" applyBorder="1" applyAlignment="1">
      <alignment horizontal="left" vertical="top" wrapText="1"/>
    </xf>
    <xf numFmtId="0" fontId="68" fillId="0" borderId="0" xfId="5" applyFont="1" applyAlignment="1">
      <alignment horizontal="center"/>
    </xf>
    <xf numFmtId="0" fontId="39" fillId="0" borderId="0" xfId="5" applyFont="1" applyAlignment="1">
      <alignment horizontal="justify" vertical="center" wrapText="1"/>
    </xf>
    <xf numFmtId="0" fontId="0" fillId="0" borderId="3" xfId="0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3" fillId="2" borderId="0" xfId="0" applyFont="1" applyFill="1" applyAlignment="1">
      <alignment vertical="center" wrapText="1"/>
    </xf>
    <xf numFmtId="0" fontId="23" fillId="2" borderId="0" xfId="0" applyFont="1" applyFill="1" applyAlignment="1">
      <alignment horizontal="center" vertical="center" wrapText="1"/>
    </xf>
    <xf numFmtId="0" fontId="6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89" fillId="0" borderId="3" xfId="0" applyFont="1" applyBorder="1" applyAlignment="1">
      <alignment horizontal="center" vertical="center"/>
    </xf>
    <xf numFmtId="1" fontId="83" fillId="0" borderId="3" xfId="0" applyNumberFormat="1" applyFont="1" applyBorder="1" applyAlignment="1">
      <alignment horizontal="center" vertical="center"/>
    </xf>
    <xf numFmtId="0" fontId="56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2" fontId="25" fillId="0" borderId="3" xfId="0" applyNumberFormat="1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2" fontId="50" fillId="2" borderId="1" xfId="0" applyNumberFormat="1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/>
    </xf>
    <xf numFmtId="9" fontId="8" fillId="0" borderId="0" xfId="0" applyNumberFormat="1" applyFont="1" applyAlignment="1">
      <alignment horizontal="center" vertical="center" wrapText="1"/>
    </xf>
    <xf numFmtId="2" fontId="50" fillId="2" borderId="2" xfId="0" applyNumberFormat="1" applyFont="1" applyFill="1" applyBorder="1" applyAlignment="1">
      <alignment vertical="center"/>
    </xf>
    <xf numFmtId="164" fontId="50" fillId="2" borderId="2" xfId="0" applyNumberFormat="1" applyFont="1" applyFill="1" applyBorder="1" applyAlignment="1">
      <alignment horizontal="center" vertical="center" wrapText="1"/>
    </xf>
    <xf numFmtId="0" fontId="83" fillId="2" borderId="0" xfId="0" applyFont="1" applyFill="1" applyAlignment="1">
      <alignment horizontal="center" vertical="center" wrapText="1"/>
    </xf>
    <xf numFmtId="0" fontId="27" fillId="8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/>
    <xf numFmtId="164" fontId="0" fillId="8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0" fontId="23" fillId="2" borderId="1" xfId="0" applyFont="1" applyFill="1" applyBorder="1"/>
    <xf numFmtId="0" fontId="23" fillId="2" borderId="4" xfId="0" applyFont="1" applyFill="1" applyBorder="1"/>
    <xf numFmtId="0" fontId="23" fillId="2" borderId="2" xfId="0" applyFont="1" applyFill="1" applyBorder="1"/>
    <xf numFmtId="0" fontId="23" fillId="2" borderId="3" xfId="0" applyFont="1" applyFill="1" applyBorder="1"/>
    <xf numFmtId="0" fontId="23" fillId="8" borderId="3" xfId="0" applyFont="1" applyFill="1" applyBorder="1" applyAlignment="1">
      <alignment horizontal="left"/>
    </xf>
    <xf numFmtId="164" fontId="25" fillId="0" borderId="43" xfId="0" applyNumberFormat="1" applyFont="1" applyBorder="1" applyAlignment="1">
      <alignment horizontal="center" vertical="center"/>
    </xf>
    <xf numFmtId="0" fontId="2" fillId="0" borderId="3" xfId="0" applyFont="1" applyBorder="1"/>
    <xf numFmtId="0" fontId="90" fillId="0" borderId="16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5" xfId="0" applyBorder="1"/>
    <xf numFmtId="0" fontId="0" fillId="0" borderId="36" xfId="0" applyBorder="1" applyAlignment="1">
      <alignment horizontal="center" vertical="center"/>
    </xf>
    <xf numFmtId="9" fontId="0" fillId="0" borderId="42" xfId="0" applyNumberFormat="1" applyBorder="1" applyAlignment="1">
      <alignment horizontal="center" vertical="center"/>
    </xf>
    <xf numFmtId="164" fontId="0" fillId="8" borderId="42" xfId="0" applyNumberFormat="1" applyFill="1" applyBorder="1" applyAlignment="1">
      <alignment horizontal="center" vertical="center"/>
    </xf>
    <xf numFmtId="0" fontId="0" fillId="8" borderId="27" xfId="0" applyFill="1" applyBorder="1"/>
    <xf numFmtId="0" fontId="0" fillId="0" borderId="27" xfId="0" applyBorder="1"/>
    <xf numFmtId="0" fontId="27" fillId="8" borderId="38" xfId="0" applyFont="1" applyFill="1" applyBorder="1" applyAlignment="1">
      <alignment horizontal="center" vertical="center"/>
    </xf>
    <xf numFmtId="0" fontId="0" fillId="8" borderId="20" xfId="0" applyFill="1" applyBorder="1"/>
    <xf numFmtId="0" fontId="0" fillId="0" borderId="20" xfId="0" applyBorder="1"/>
    <xf numFmtId="0" fontId="0" fillId="0" borderId="24" xfId="0" applyBorder="1"/>
    <xf numFmtId="0" fontId="86" fillId="0" borderId="0" xfId="0" applyFont="1" applyAlignment="1">
      <alignment vertical="center"/>
    </xf>
    <xf numFmtId="0" fontId="0" fillId="3" borderId="16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12" xfId="0" applyFill="1" applyBorder="1"/>
    <xf numFmtId="0" fontId="87" fillId="3" borderId="3" xfId="0" applyFont="1" applyFill="1" applyBorder="1" applyAlignment="1">
      <alignment horizontal="center" vertical="center" wrapText="1"/>
    </xf>
    <xf numFmtId="0" fontId="0" fillId="3" borderId="27" xfId="0" applyFill="1" applyBorder="1"/>
    <xf numFmtId="0" fontId="84" fillId="3" borderId="48" xfId="0" applyFont="1" applyFill="1" applyBorder="1" applyAlignment="1">
      <alignment horizontal="center" vertical="center" wrapText="1"/>
    </xf>
    <xf numFmtId="0" fontId="84" fillId="3" borderId="48" xfId="0" applyFont="1" applyFill="1" applyBorder="1" applyAlignment="1">
      <alignment horizontal="center" vertical="center"/>
    </xf>
    <xf numFmtId="0" fontId="63" fillId="3" borderId="48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2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 vertical="center" wrapText="1"/>
    </xf>
    <xf numFmtId="0" fontId="86" fillId="3" borderId="12" xfId="0" applyFont="1" applyFill="1" applyBorder="1" applyAlignment="1">
      <alignment vertical="center"/>
    </xf>
    <xf numFmtId="0" fontId="30" fillId="3" borderId="48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20" xfId="0" applyFill="1" applyBorder="1"/>
    <xf numFmtId="0" fontId="0" fillId="3" borderId="24" xfId="0" applyFill="1" applyBorder="1"/>
    <xf numFmtId="0" fontId="9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164" fontId="50" fillId="2" borderId="3" xfId="0" applyNumberFormat="1" applyFont="1" applyFill="1" applyBorder="1" applyAlignment="1">
      <alignment horizontal="center" vertical="center" wrapText="1"/>
    </xf>
    <xf numFmtId="177" fontId="6" fillId="0" borderId="0" xfId="0" applyNumberFormat="1" applyFont="1"/>
    <xf numFmtId="0" fontId="64" fillId="3" borderId="0" xfId="0" applyFont="1" applyFill="1" applyAlignment="1">
      <alignment horizontal="center"/>
    </xf>
    <xf numFmtId="1" fontId="50" fillId="0" borderId="0" xfId="1" applyNumberFormat="1" applyFont="1" applyAlignment="1" applyProtection="1">
      <alignment horizontal="center" vertical="center"/>
      <protection locked="0"/>
    </xf>
    <xf numFmtId="2" fontId="11" fillId="0" borderId="0" xfId="0" applyNumberFormat="1" applyFont="1" applyAlignment="1">
      <alignment horizontal="center" vertical="center"/>
    </xf>
    <xf numFmtId="0" fontId="50" fillId="2" borderId="5" xfId="0" applyFont="1" applyFill="1" applyBorder="1" applyAlignment="1" applyProtection="1">
      <alignment vertical="center"/>
      <protection locked="0"/>
    </xf>
    <xf numFmtId="164" fontId="50" fillId="2" borderId="7" xfId="0" applyNumberFormat="1" applyFont="1" applyFill="1" applyBorder="1" applyProtection="1">
      <protection locked="0"/>
    </xf>
    <xf numFmtId="164" fontId="50" fillId="2" borderId="6" xfId="0" applyNumberFormat="1" applyFont="1" applyFill="1" applyBorder="1" applyProtection="1">
      <protection locked="0"/>
    </xf>
    <xf numFmtId="0" fontId="50" fillId="2" borderId="2" xfId="0" applyFont="1" applyFill="1" applyBorder="1" applyAlignment="1" applyProtection="1">
      <alignment horizontal="center" vertical="center"/>
      <protection locked="0"/>
    </xf>
    <xf numFmtId="0" fontId="0" fillId="0" borderId="43" xfId="0" applyBorder="1"/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27" fillId="0" borderId="46" xfId="0" applyFont="1" applyBorder="1"/>
    <xf numFmtId="0" fontId="42" fillId="0" borderId="0" xfId="0" applyFont="1"/>
    <xf numFmtId="0" fontId="41" fillId="0" borderId="0" xfId="0" applyFont="1" applyAlignment="1">
      <alignment horizontal="center"/>
    </xf>
    <xf numFmtId="2" fontId="42" fillId="0" borderId="0" xfId="0" applyNumberFormat="1" applyFont="1" applyAlignment="1">
      <alignment horizontal="right"/>
    </xf>
    <xf numFmtId="0" fontId="42" fillId="0" borderId="0" xfId="0" applyFont="1" applyAlignment="1">
      <alignment horizontal="right" vertical="center"/>
    </xf>
    <xf numFmtId="0" fontId="42" fillId="0" borderId="0" xfId="0" applyFont="1" applyAlignment="1">
      <alignment horizontal="right"/>
    </xf>
    <xf numFmtId="0" fontId="42" fillId="2" borderId="0" xfId="0" applyFont="1" applyFill="1" applyAlignment="1">
      <alignment vertical="center"/>
    </xf>
    <xf numFmtId="172" fontId="42" fillId="2" borderId="0" xfId="0" applyNumberFormat="1" applyFont="1" applyFill="1" applyAlignment="1">
      <alignment vertical="center"/>
    </xf>
    <xf numFmtId="0" fontId="45" fillId="0" borderId="0" xfId="1" applyFont="1"/>
    <xf numFmtId="172" fontId="42" fillId="0" borderId="0" xfId="0" applyNumberFormat="1" applyFont="1"/>
    <xf numFmtId="0" fontId="46" fillId="0" borderId="0" xfId="1" applyFont="1"/>
    <xf numFmtId="0" fontId="48" fillId="0" borderId="0" xfId="1" applyFont="1"/>
    <xf numFmtId="0" fontId="47" fillId="0" borderId="0" xfId="1" applyFont="1"/>
    <xf numFmtId="2" fontId="42" fillId="2" borderId="0" xfId="0" applyNumberFormat="1" applyFont="1" applyFill="1" applyAlignment="1">
      <alignment vertical="center"/>
    </xf>
    <xf numFmtId="0" fontId="49" fillId="0" borderId="0" xfId="0" applyFont="1"/>
    <xf numFmtId="0" fontId="30" fillId="0" borderId="34" xfId="0" applyFont="1" applyBorder="1"/>
    <xf numFmtId="0" fontId="25" fillId="0" borderId="3" xfId="0" applyFont="1" applyBorder="1" applyAlignment="1">
      <alignment horizontal="center" vertical="center"/>
    </xf>
    <xf numFmtId="169" fontId="50" fillId="2" borderId="3" xfId="0" applyNumberFormat="1" applyFont="1" applyFill="1" applyBorder="1" applyAlignment="1">
      <alignment horizontal="center" vertical="center"/>
    </xf>
    <xf numFmtId="0" fontId="91" fillId="2" borderId="0" xfId="0" applyFont="1" applyFill="1" applyAlignment="1" applyProtection="1">
      <alignment horizontal="left"/>
      <protection locked="0"/>
    </xf>
    <xf numFmtId="2" fontId="22" fillId="0" borderId="0" xfId="1" applyNumberFormat="1"/>
    <xf numFmtId="2" fontId="8" fillId="5" borderId="24" xfId="1" applyNumberFormat="1" applyFont="1" applyFill="1" applyBorder="1"/>
    <xf numFmtId="2" fontId="8" fillId="5" borderId="20" xfId="1" applyNumberFormat="1" applyFont="1" applyFill="1" applyBorder="1"/>
    <xf numFmtId="2" fontId="8" fillId="5" borderId="13" xfId="1" applyNumberFormat="1" applyFont="1" applyFill="1" applyBorder="1"/>
    <xf numFmtId="2" fontId="8" fillId="0" borderId="27" xfId="1" applyNumberFormat="1" applyFont="1" applyBorder="1"/>
    <xf numFmtId="2" fontId="8" fillId="0" borderId="0" xfId="1" applyNumberFormat="1" applyFont="1"/>
    <xf numFmtId="2" fontId="8" fillId="0" borderId="1" xfId="1" applyNumberFormat="1" applyFont="1" applyBorder="1"/>
    <xf numFmtId="1" fontId="8" fillId="0" borderId="41" xfId="1" applyNumberFormat="1" applyFont="1" applyBorder="1" applyAlignment="1">
      <alignment horizontal="center" vertical="center"/>
    </xf>
    <xf numFmtId="1" fontId="18" fillId="11" borderId="42" xfId="1" applyNumberFormat="1" applyFont="1" applyFill="1" applyBorder="1" applyAlignment="1">
      <alignment horizontal="center" vertical="center"/>
    </xf>
    <xf numFmtId="1" fontId="18" fillId="11" borderId="3" xfId="1" applyNumberFormat="1" applyFont="1" applyFill="1" applyBorder="1" applyAlignment="1">
      <alignment horizontal="center" vertical="center"/>
    </xf>
    <xf numFmtId="1" fontId="18" fillId="11" borderId="3" xfId="1" applyNumberFormat="1" applyFont="1" applyFill="1" applyBorder="1" applyAlignment="1">
      <alignment horizontal="right" vertical="center"/>
    </xf>
    <xf numFmtId="2" fontId="18" fillId="11" borderId="3" xfId="1" applyNumberFormat="1" applyFont="1" applyFill="1" applyBorder="1" applyAlignment="1">
      <alignment vertical="center"/>
    </xf>
    <xf numFmtId="2" fontId="18" fillId="11" borderId="3" xfId="1" applyNumberFormat="1" applyFont="1" applyFill="1" applyBorder="1" applyAlignment="1">
      <alignment horizontal="center" vertical="center"/>
    </xf>
    <xf numFmtId="2" fontId="18" fillId="11" borderId="41" xfId="1" applyNumberFormat="1" applyFont="1" applyFill="1" applyBorder="1"/>
    <xf numFmtId="2" fontId="8" fillId="0" borderId="61" xfId="1" applyNumberFormat="1" applyFont="1" applyBorder="1"/>
    <xf numFmtId="2" fontId="8" fillId="0" borderId="4" xfId="1" applyNumberFormat="1" applyFont="1" applyBorder="1"/>
    <xf numFmtId="1" fontId="18" fillId="11" borderId="3" xfId="1" applyNumberFormat="1" applyFont="1" applyFill="1" applyBorder="1" applyAlignment="1">
      <alignment vertical="center"/>
    </xf>
    <xf numFmtId="2" fontId="8" fillId="0" borderId="63" xfId="1" applyNumberFormat="1" applyFont="1" applyBorder="1"/>
    <xf numFmtId="2" fontId="8" fillId="0" borderId="56" xfId="1" applyNumberFormat="1" applyFont="1" applyBorder="1"/>
    <xf numFmtId="2" fontId="8" fillId="0" borderId="57" xfId="1" applyNumberFormat="1" applyFont="1" applyBorder="1"/>
    <xf numFmtId="1" fontId="8" fillId="0" borderId="50" xfId="1" applyNumberFormat="1" applyFont="1" applyBorder="1" applyAlignment="1">
      <alignment horizontal="center" vertical="center"/>
    </xf>
    <xf numFmtId="1" fontId="18" fillId="11" borderId="51" xfId="1" applyNumberFormat="1" applyFont="1" applyFill="1" applyBorder="1" applyAlignment="1">
      <alignment horizontal="center" vertical="center"/>
    </xf>
    <xf numFmtId="1" fontId="18" fillId="11" borderId="48" xfId="1" applyNumberFormat="1" applyFont="1" applyFill="1" applyBorder="1" applyAlignment="1">
      <alignment horizontal="center" vertical="center"/>
    </xf>
    <xf numFmtId="1" fontId="18" fillId="11" borderId="48" xfId="1" applyNumberFormat="1" applyFont="1" applyFill="1" applyBorder="1" applyAlignment="1">
      <alignment vertical="center"/>
    </xf>
    <xf numFmtId="2" fontId="18" fillId="11" borderId="48" xfId="1" applyNumberFormat="1" applyFont="1" applyFill="1" applyBorder="1" applyAlignment="1">
      <alignment vertical="center"/>
    </xf>
    <xf numFmtId="2" fontId="18" fillId="11" borderId="48" xfId="1" applyNumberFormat="1" applyFont="1" applyFill="1" applyBorder="1" applyAlignment="1">
      <alignment horizontal="center" vertical="center"/>
    </xf>
    <xf numFmtId="2" fontId="18" fillId="11" borderId="50" xfId="1" applyNumberFormat="1" applyFont="1" applyFill="1" applyBorder="1"/>
    <xf numFmtId="2" fontId="19" fillId="5" borderId="14" xfId="1" quotePrefix="1" applyNumberFormat="1" applyFont="1" applyFill="1" applyBorder="1" applyAlignment="1">
      <alignment vertical="center"/>
    </xf>
    <xf numFmtId="2" fontId="19" fillId="5" borderId="32" xfId="1" quotePrefix="1" applyNumberFormat="1" applyFont="1" applyFill="1" applyBorder="1" applyAlignment="1">
      <alignment vertical="center"/>
    </xf>
    <xf numFmtId="2" fontId="19" fillId="5" borderId="9" xfId="1" applyNumberFormat="1" applyFont="1" applyFill="1" applyBorder="1"/>
    <xf numFmtId="2" fontId="22" fillId="2" borderId="27" xfId="1" applyNumberFormat="1" applyFill="1" applyBorder="1"/>
    <xf numFmtId="2" fontId="22" fillId="2" borderId="0" xfId="1" applyNumberFormat="1" applyFill="1"/>
    <xf numFmtId="2" fontId="62" fillId="2" borderId="0" xfId="1" applyNumberFormat="1" applyFont="1" applyFill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2" fontId="4" fillId="2" borderId="3" xfId="1" applyNumberFormat="1" applyFont="1" applyFill="1" applyBorder="1" applyAlignment="1">
      <alignment horizontal="center" vertical="center"/>
    </xf>
    <xf numFmtId="2" fontId="30" fillId="2" borderId="3" xfId="1" applyNumberFormat="1" applyFont="1" applyFill="1" applyBorder="1" applyAlignment="1">
      <alignment horizontal="center" vertical="center"/>
    </xf>
    <xf numFmtId="1" fontId="30" fillId="2" borderId="3" xfId="1" applyNumberFormat="1" applyFont="1" applyFill="1" applyBorder="1" applyAlignment="1">
      <alignment horizontal="center" vertical="center"/>
    </xf>
    <xf numFmtId="2" fontId="31" fillId="2" borderId="3" xfId="1" applyNumberFormat="1" applyFont="1" applyFill="1" applyBorder="1" applyAlignment="1">
      <alignment horizontal="center" vertical="center"/>
    </xf>
    <xf numFmtId="166" fontId="22" fillId="2" borderId="3" xfId="1" applyNumberFormat="1" applyFill="1" applyBorder="1" applyAlignment="1">
      <alignment horizontal="center" vertical="center"/>
    </xf>
    <xf numFmtId="2" fontId="22" fillId="2" borderId="3" xfId="1" applyNumberFormat="1" applyFill="1" applyBorder="1" applyAlignment="1">
      <alignment horizontal="center" vertical="center"/>
    </xf>
    <xf numFmtId="2" fontId="25" fillId="0" borderId="0" xfId="1" applyNumberFormat="1" applyFont="1" applyAlignment="1">
      <alignment horizontal="center" vertical="center"/>
    </xf>
    <xf numFmtId="2" fontId="25" fillId="2" borderId="27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center" vertical="center"/>
    </xf>
    <xf numFmtId="2" fontId="11" fillId="0" borderId="0" xfId="1" applyNumberFormat="1" applyFont="1"/>
    <xf numFmtId="2" fontId="11" fillId="2" borderId="27" xfId="1" applyNumberFormat="1" applyFont="1" applyFill="1" applyBorder="1"/>
    <xf numFmtId="2" fontId="11" fillId="2" borderId="0" xfId="1" applyNumberFormat="1" applyFont="1" applyFill="1"/>
    <xf numFmtId="2" fontId="25" fillId="2" borderId="0" xfId="1" applyNumberFormat="1" applyFont="1" applyFill="1" applyAlignment="1">
      <alignment horizontal="center" vertical="center" wrapText="1"/>
    </xf>
    <xf numFmtId="2" fontId="92" fillId="2" borderId="27" xfId="1" applyNumberFormat="1" applyFont="1" applyFill="1" applyBorder="1" applyAlignment="1">
      <alignment horizontal="center" vertical="center"/>
    </xf>
    <xf numFmtId="2" fontId="93" fillId="2" borderId="0" xfId="1" applyNumberFormat="1" applyFont="1" applyFill="1" applyAlignment="1">
      <alignment horizontal="center" vertical="center"/>
    </xf>
    <xf numFmtId="2" fontId="93" fillId="2" borderId="27" xfId="1" applyNumberFormat="1" applyFont="1" applyFill="1" applyBorder="1"/>
    <xf numFmtId="2" fontId="93" fillId="2" borderId="0" xfId="1" applyNumberFormat="1" applyFont="1" applyFill="1"/>
    <xf numFmtId="2" fontId="94" fillId="2" borderId="0" xfId="1" applyNumberFormat="1" applyFont="1" applyFill="1" applyAlignment="1">
      <alignment horizontal="center" vertical="center"/>
    </xf>
    <xf numFmtId="2" fontId="93" fillId="2" borderId="0" xfId="1" applyNumberFormat="1" applyFont="1" applyFill="1" applyAlignment="1">
      <alignment horizontal="center" vertical="center" wrapText="1"/>
    </xf>
    <xf numFmtId="166" fontId="1" fillId="2" borderId="54" xfId="1" applyNumberFormat="1" applyFont="1" applyFill="1" applyBorder="1" applyAlignment="1">
      <alignment horizontal="center" vertical="center"/>
    </xf>
    <xf numFmtId="2" fontId="1" fillId="2" borderId="1" xfId="1" applyNumberFormat="1" applyFont="1" applyFill="1" applyBorder="1" applyAlignment="1">
      <alignment horizontal="center" vertical="center"/>
    </xf>
    <xf numFmtId="2" fontId="95" fillId="2" borderId="3" xfId="1" applyNumberFormat="1" applyFont="1" applyFill="1" applyBorder="1" applyAlignment="1">
      <alignment horizontal="center" vertical="center" wrapText="1"/>
    </xf>
    <xf numFmtId="2" fontId="13" fillId="0" borderId="39" xfId="1" applyNumberFormat="1" applyFont="1" applyBorder="1" applyAlignment="1">
      <alignment horizontal="center" vertical="center"/>
    </xf>
    <xf numFmtId="2" fontId="13" fillId="0" borderId="38" xfId="1" applyNumberFormat="1" applyFont="1" applyBorder="1" applyAlignment="1">
      <alignment horizontal="center" vertical="center"/>
    </xf>
    <xf numFmtId="2" fontId="1" fillId="2" borderId="37" xfId="1" applyNumberFormat="1" applyFont="1" applyFill="1" applyBorder="1" applyAlignment="1">
      <alignment horizontal="center"/>
    </xf>
    <xf numFmtId="166" fontId="96" fillId="2" borderId="62" xfId="1" applyNumberFormat="1" applyFont="1" applyFill="1" applyBorder="1" applyAlignment="1">
      <alignment horizontal="center" vertical="center"/>
    </xf>
    <xf numFmtId="2" fontId="97" fillId="2" borderId="53" xfId="1" applyNumberFormat="1" applyFont="1" applyFill="1" applyBorder="1" applyAlignment="1">
      <alignment horizontal="center" vertical="center"/>
    </xf>
    <xf numFmtId="2" fontId="98" fillId="5" borderId="49" xfId="1" applyNumberFormat="1" applyFont="1" applyFill="1" applyBorder="1" applyAlignment="1">
      <alignment horizontal="center" vertical="center" wrapText="1"/>
    </xf>
    <xf numFmtId="2" fontId="22" fillId="2" borderId="0" xfId="1" applyNumberFormat="1" applyFill="1" applyAlignment="1">
      <alignment horizontal="right" vertical="center"/>
    </xf>
    <xf numFmtId="2" fontId="13" fillId="0" borderId="42" xfId="1" applyNumberFormat="1" applyFont="1" applyBorder="1" applyAlignment="1">
      <alignment vertical="center"/>
    </xf>
    <xf numFmtId="2" fontId="4" fillId="2" borderId="41" xfId="1" applyNumberFormat="1" applyFont="1" applyFill="1" applyBorder="1" applyAlignment="1">
      <alignment horizontal="center" vertical="center"/>
    </xf>
    <xf numFmtId="2" fontId="1" fillId="2" borderId="5" xfId="1" applyNumberFormat="1" applyFont="1" applyFill="1" applyBorder="1" applyAlignment="1">
      <alignment horizontal="center" vertical="center"/>
    </xf>
    <xf numFmtId="2" fontId="22" fillId="5" borderId="49" xfId="1" applyNumberFormat="1" applyFill="1" applyBorder="1" applyAlignment="1">
      <alignment horizontal="center" vertical="center" wrapText="1"/>
    </xf>
    <xf numFmtId="166" fontId="1" fillId="2" borderId="51" xfId="1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2" fontId="22" fillId="5" borderId="41" xfId="1" applyNumberFormat="1" applyFill="1" applyBorder="1" applyAlignment="1">
      <alignment horizontal="center" vertical="center" wrapText="1"/>
    </xf>
    <xf numFmtId="2" fontId="6" fillId="2" borderId="0" xfId="1" applyNumberFormat="1" applyFont="1" applyFill="1" applyAlignment="1">
      <alignment vertical="center"/>
    </xf>
    <xf numFmtId="166" fontId="25" fillId="2" borderId="3" xfId="1" applyNumberFormat="1" applyFont="1" applyFill="1" applyBorder="1" applyAlignment="1">
      <alignment horizontal="center" vertical="center" wrapText="1"/>
    </xf>
    <xf numFmtId="166" fontId="1" fillId="2" borderId="36" xfId="1" applyNumberFormat="1" applyFont="1" applyFill="1" applyBorder="1" applyAlignment="1">
      <alignment horizontal="center" vertical="center"/>
    </xf>
    <xf numFmtId="2" fontId="1" fillId="2" borderId="43" xfId="1" applyNumberFormat="1" applyFont="1" applyFill="1" applyBorder="1" applyAlignment="1">
      <alignment horizontal="center" vertical="center"/>
    </xf>
    <xf numFmtId="2" fontId="22" fillId="5" borderId="34" xfId="1" applyNumberFormat="1" applyFill="1" applyBorder="1" applyAlignment="1">
      <alignment horizontal="center" vertical="center" wrapText="1"/>
    </xf>
    <xf numFmtId="2" fontId="25" fillId="2" borderId="3" xfId="1" applyNumberFormat="1" applyFont="1" applyFill="1" applyBorder="1" applyAlignment="1">
      <alignment horizontal="center" vertical="center" wrapText="1"/>
    </xf>
    <xf numFmtId="166" fontId="25" fillId="2" borderId="3" xfId="1" applyNumberFormat="1" applyFont="1" applyFill="1" applyBorder="1" applyAlignment="1">
      <alignment horizontal="center" vertical="center"/>
    </xf>
    <xf numFmtId="2" fontId="22" fillId="2" borderId="25" xfId="1" applyNumberFormat="1" applyFill="1" applyBorder="1"/>
    <xf numFmtId="2" fontId="60" fillId="2" borderId="3" xfId="1" applyNumberFormat="1" applyFont="1" applyFill="1" applyBorder="1" applyAlignment="1">
      <alignment horizontal="center" vertical="center"/>
    </xf>
    <xf numFmtId="2" fontId="22" fillId="0" borderId="0" xfId="1" applyNumberFormat="1" applyAlignment="1">
      <alignment horizontal="center" vertical="center"/>
    </xf>
    <xf numFmtId="2" fontId="22" fillId="0" borderId="12" xfId="1" applyNumberFormat="1" applyBorder="1"/>
    <xf numFmtId="2" fontId="22" fillId="2" borderId="0" xfId="1" applyNumberFormat="1" applyFill="1" applyAlignment="1">
      <alignment horizontal="center" vertical="center"/>
    </xf>
    <xf numFmtId="2" fontId="22" fillId="2" borderId="0" xfId="1" applyNumberFormat="1" applyFill="1" applyAlignment="1">
      <alignment horizontal="center" vertical="center" wrapText="1"/>
    </xf>
    <xf numFmtId="2" fontId="22" fillId="11" borderId="3" xfId="1" applyNumberFormat="1" applyFill="1" applyBorder="1" applyAlignment="1">
      <alignment horizontal="center" vertical="center"/>
    </xf>
    <xf numFmtId="2" fontId="22" fillId="2" borderId="3" xfId="1" applyNumberFormat="1" applyFill="1" applyBorder="1"/>
    <xf numFmtId="2" fontId="22" fillId="2" borderId="3" xfId="1" applyNumberFormat="1" applyFill="1" applyBorder="1" applyAlignment="1">
      <alignment horizontal="center" vertical="center" wrapText="1"/>
    </xf>
    <xf numFmtId="2" fontId="4" fillId="11" borderId="3" xfId="1" applyNumberFormat="1" applyFont="1" applyFill="1" applyBorder="1" applyAlignment="1">
      <alignment horizontal="center" vertical="center"/>
    </xf>
    <xf numFmtId="2" fontId="30" fillId="11" borderId="3" xfId="1" applyNumberFormat="1" applyFont="1" applyFill="1" applyBorder="1" applyAlignment="1">
      <alignment horizontal="center" vertical="center"/>
    </xf>
    <xf numFmtId="2" fontId="22" fillId="0" borderId="3" xfId="1" applyNumberFormat="1" applyBorder="1"/>
    <xf numFmtId="2" fontId="31" fillId="11" borderId="3" xfId="1" applyNumberFormat="1" applyFont="1" applyFill="1" applyBorder="1" applyAlignment="1">
      <alignment horizontal="center" vertical="center"/>
    </xf>
    <xf numFmtId="2" fontId="27" fillId="11" borderId="3" xfId="1" applyNumberFormat="1" applyFont="1" applyFill="1" applyBorder="1" applyAlignment="1">
      <alignment horizontal="center" vertical="center"/>
    </xf>
    <xf numFmtId="2" fontId="39" fillId="11" borderId="3" xfId="1" applyNumberFormat="1" applyFont="1" applyFill="1" applyBorder="1" applyAlignment="1">
      <alignment horizontal="center" vertical="center"/>
    </xf>
    <xf numFmtId="2" fontId="22" fillId="0" borderId="3" xfId="1" applyNumberFormat="1" applyBorder="1" applyAlignment="1">
      <alignment horizontal="center" vertical="center"/>
    </xf>
    <xf numFmtId="2" fontId="22" fillId="11" borderId="3" xfId="1" quotePrefix="1" applyNumberFormat="1" applyFill="1" applyBorder="1" applyAlignment="1">
      <alignment horizontal="center" vertical="center"/>
    </xf>
    <xf numFmtId="2" fontId="22" fillId="2" borderId="3" xfId="1" applyNumberFormat="1" applyFill="1" applyBorder="1" applyAlignment="1">
      <alignment horizontal="center"/>
    </xf>
    <xf numFmtId="2" fontId="1" fillId="2" borderId="3" xfId="1" applyNumberFormat="1" applyFont="1" applyFill="1" applyBorder="1" applyAlignment="1">
      <alignment horizontal="center" vertical="center"/>
    </xf>
    <xf numFmtId="2" fontId="22" fillId="11" borderId="3" xfId="1" applyNumberFormat="1" applyFill="1" applyBorder="1" applyAlignment="1">
      <alignment horizontal="center"/>
    </xf>
    <xf numFmtId="2" fontId="1" fillId="11" borderId="3" xfId="1" applyNumberFormat="1" applyFont="1" applyFill="1" applyBorder="1" applyAlignment="1">
      <alignment horizontal="center" vertical="center"/>
    </xf>
    <xf numFmtId="2" fontId="39" fillId="11" borderId="3" xfId="1" applyNumberFormat="1" applyFont="1" applyFill="1" applyBorder="1"/>
    <xf numFmtId="2" fontId="22" fillId="0" borderId="3" xfId="1" quotePrefix="1" applyNumberFormat="1" applyBorder="1" applyAlignment="1">
      <alignment horizontal="center" vertical="center"/>
    </xf>
    <xf numFmtId="2" fontId="22" fillId="0" borderId="3" xfId="1" applyNumberFormat="1" applyBorder="1" applyAlignment="1">
      <alignment horizontal="center"/>
    </xf>
    <xf numFmtId="2" fontId="30" fillId="0" borderId="3" xfId="1" applyNumberFormat="1" applyFont="1" applyBorder="1" applyAlignment="1">
      <alignment horizontal="center" vertical="center"/>
    </xf>
    <xf numFmtId="2" fontId="31" fillId="0" borderId="3" xfId="1" applyNumberFormat="1" applyFont="1" applyBorder="1" applyAlignment="1">
      <alignment horizontal="center" vertical="center"/>
    </xf>
    <xf numFmtId="2" fontId="26" fillId="0" borderId="3" xfId="1" quotePrefix="1" applyNumberFormat="1" applyFont="1" applyBorder="1" applyAlignment="1">
      <alignment horizontal="center" vertical="center"/>
    </xf>
    <xf numFmtId="2" fontId="30" fillId="0" borderId="3" xfId="1" quotePrefix="1" applyNumberFormat="1" applyFont="1" applyBorder="1" applyAlignment="1">
      <alignment horizontal="center" vertical="center"/>
    </xf>
    <xf numFmtId="2" fontId="27" fillId="0" borderId="3" xfId="1" applyNumberFormat="1" applyFont="1" applyBorder="1" applyAlignment="1">
      <alignment horizontal="center" vertical="center"/>
    </xf>
    <xf numFmtId="2" fontId="22" fillId="0" borderId="0" xfId="1" quotePrefix="1" applyNumberFormat="1" applyAlignment="1">
      <alignment horizontal="center" vertical="center"/>
    </xf>
    <xf numFmtId="2" fontId="37" fillId="0" borderId="0" xfId="1" applyNumberFormat="1" applyFont="1" applyAlignment="1">
      <alignment horizontal="center" vertical="center" wrapText="1"/>
    </xf>
    <xf numFmtId="2" fontId="22" fillId="0" borderId="0" xfId="1" applyNumberFormat="1" applyAlignment="1">
      <alignment horizontal="center"/>
    </xf>
    <xf numFmtId="2" fontId="37" fillId="2" borderId="0" xfId="1" applyNumberFormat="1" applyFont="1" applyFill="1" applyAlignment="1">
      <alignment horizontal="center" vertical="center" wrapText="1"/>
    </xf>
    <xf numFmtId="2" fontId="22" fillId="0" borderId="48" xfId="1" applyNumberFormat="1" applyBorder="1" applyAlignment="1">
      <alignment horizontal="center"/>
    </xf>
    <xf numFmtId="2" fontId="22" fillId="0" borderId="48" xfId="1" applyNumberFormat="1" applyBorder="1" applyAlignment="1">
      <alignment horizontal="center" vertical="center"/>
    </xf>
    <xf numFmtId="166" fontId="22" fillId="0" borderId="3" xfId="1" applyNumberFormat="1" applyBorder="1" applyAlignment="1">
      <alignment horizontal="center"/>
    </xf>
    <xf numFmtId="166" fontId="22" fillId="0" borderId="3" xfId="1" applyNumberFormat="1" applyBorder="1" applyAlignment="1">
      <alignment horizontal="center" vertical="center"/>
    </xf>
    <xf numFmtId="166" fontId="22" fillId="0" borderId="3" xfId="1" applyNumberFormat="1" applyBorder="1"/>
    <xf numFmtId="2" fontId="26" fillId="0" borderId="3" xfId="1" applyNumberFormat="1" applyFont="1" applyBorder="1" applyAlignment="1">
      <alignment horizontal="center" vertical="center"/>
    </xf>
    <xf numFmtId="2" fontId="22" fillId="0" borderId="27" xfId="1" applyNumberFormat="1" applyBorder="1"/>
    <xf numFmtId="2" fontId="22" fillId="0" borderId="0" xfId="1" applyNumberFormat="1" applyAlignment="1">
      <alignment horizontal="right" vertical="center"/>
    </xf>
    <xf numFmtId="2" fontId="37" fillId="2" borderId="12" xfId="1" applyNumberFormat="1" applyFont="1" applyFill="1" applyBorder="1" applyAlignment="1">
      <alignment horizontal="center" vertical="center" wrapText="1"/>
    </xf>
    <xf numFmtId="166" fontId="22" fillId="0" borderId="3" xfId="1" quotePrefix="1" applyNumberFormat="1" applyBorder="1" applyAlignment="1">
      <alignment horizontal="center" vertical="center"/>
    </xf>
    <xf numFmtId="166" fontId="22" fillId="0" borderId="48" xfId="1" quotePrefix="1" applyNumberFormat="1" applyBorder="1" applyAlignment="1">
      <alignment horizontal="center" vertical="center"/>
    </xf>
    <xf numFmtId="2" fontId="22" fillId="2" borderId="0" xfId="1" quotePrefix="1" applyNumberFormat="1" applyFill="1" applyAlignment="1">
      <alignment horizontal="center" vertical="center"/>
    </xf>
    <xf numFmtId="2" fontId="30" fillId="2" borderId="0" xfId="1" applyNumberFormat="1" applyFont="1" applyFill="1" applyAlignment="1">
      <alignment horizontal="center" vertical="center"/>
    </xf>
    <xf numFmtId="2" fontId="22" fillId="2" borderId="12" xfId="1" applyNumberFormat="1" applyFill="1" applyBorder="1"/>
    <xf numFmtId="2" fontId="27" fillId="0" borderId="0" xfId="1" applyNumberFormat="1" applyFont="1"/>
    <xf numFmtId="0" fontId="50" fillId="2" borderId="1" xfId="0" applyFont="1" applyFill="1" applyBorder="1" applyAlignment="1">
      <alignment horizontal="center"/>
    </xf>
    <xf numFmtId="2" fontId="27" fillId="7" borderId="41" xfId="1" applyNumberFormat="1" applyFont="1" applyFill="1" applyBorder="1" applyAlignment="1">
      <alignment horizontal="center" vertical="center"/>
    </xf>
    <xf numFmtId="2" fontId="27" fillId="5" borderId="42" xfId="1" applyNumberFormat="1" applyFont="1" applyFill="1" applyBorder="1" applyAlignment="1">
      <alignment horizontal="center" vertical="center"/>
    </xf>
    <xf numFmtId="2" fontId="30" fillId="5" borderId="3" xfId="1" applyNumberFormat="1" applyFont="1" applyFill="1" applyBorder="1" applyAlignment="1">
      <alignment horizontal="center" vertical="center"/>
    </xf>
    <xf numFmtId="2" fontId="22" fillId="5" borderId="3" xfId="1" applyNumberFormat="1" applyFill="1" applyBorder="1" applyAlignment="1">
      <alignment horizontal="center" vertical="center"/>
    </xf>
    <xf numFmtId="2" fontId="22" fillId="7" borderId="3" xfId="1" applyNumberFormat="1" applyFill="1" applyBorder="1" applyAlignment="1">
      <alignment horizontal="center"/>
    </xf>
    <xf numFmtId="2" fontId="22" fillId="5" borderId="3" xfId="1" applyNumberFormat="1" applyFill="1" applyBorder="1" applyAlignment="1">
      <alignment vertical="center"/>
    </xf>
    <xf numFmtId="2" fontId="22" fillId="5" borderId="3" xfId="1" quotePrefix="1" applyNumberFormat="1" applyFill="1" applyBorder="1" applyAlignment="1">
      <alignment horizontal="center" vertical="center"/>
    </xf>
    <xf numFmtId="2" fontId="22" fillId="5" borderId="3" xfId="1" applyNumberFormat="1" applyFill="1" applyBorder="1"/>
    <xf numFmtId="2" fontId="27" fillId="7" borderId="37" xfId="1" applyNumberFormat="1" applyFont="1" applyFill="1" applyBorder="1" applyAlignment="1">
      <alignment horizontal="center" vertical="center"/>
    </xf>
    <xf numFmtId="2" fontId="27" fillId="5" borderId="39" xfId="1" applyNumberFormat="1" applyFont="1" applyFill="1" applyBorder="1" applyAlignment="1">
      <alignment horizontal="center" vertical="center"/>
    </xf>
    <xf numFmtId="2" fontId="22" fillId="5" borderId="3" xfId="1" applyNumberFormat="1" applyFill="1" applyBorder="1" applyAlignment="1">
      <alignment horizontal="center"/>
    </xf>
    <xf numFmtId="2" fontId="22" fillId="5" borderId="3" xfId="1" quotePrefix="1" applyNumberFormat="1" applyFill="1" applyBorder="1" applyAlignment="1">
      <alignment horizontal="center"/>
    </xf>
    <xf numFmtId="2" fontId="22" fillId="0" borderId="32" xfId="1" applyNumberFormat="1" applyBorder="1"/>
    <xf numFmtId="2" fontId="1" fillId="0" borderId="0" xfId="1" applyNumberFormat="1" applyFont="1"/>
    <xf numFmtId="2" fontId="22" fillId="2" borderId="12" xfId="1" applyNumberFormat="1" applyFill="1" applyBorder="1" applyAlignment="1">
      <alignment horizontal="center" vertical="center"/>
    </xf>
    <xf numFmtId="2" fontId="22" fillId="2" borderId="0" xfId="1" applyNumberFormat="1" applyFill="1" applyAlignment="1">
      <alignment horizontal="center"/>
    </xf>
    <xf numFmtId="2" fontId="22" fillId="2" borderId="0" xfId="1" quotePrefix="1" applyNumberFormat="1" applyFill="1" applyAlignment="1">
      <alignment horizontal="center"/>
    </xf>
    <xf numFmtId="2" fontId="27" fillId="5" borderId="3" xfId="1" applyNumberFormat="1" applyFont="1" applyFill="1" applyBorder="1" applyAlignment="1">
      <alignment horizontal="center" vertical="center"/>
    </xf>
    <xf numFmtId="2" fontId="30" fillId="5" borderId="3" xfId="1" quotePrefix="1" applyNumberFormat="1" applyFont="1" applyFill="1" applyBorder="1" applyAlignment="1">
      <alignment horizontal="center" vertical="center"/>
    </xf>
    <xf numFmtId="2" fontId="30" fillId="7" borderId="3" xfId="1" applyNumberFormat="1" applyFont="1" applyFill="1" applyBorder="1" applyAlignment="1">
      <alignment horizontal="center" vertical="center"/>
    </xf>
    <xf numFmtId="2" fontId="22" fillId="0" borderId="25" xfId="1" applyNumberFormat="1" applyBorder="1"/>
    <xf numFmtId="2" fontId="22" fillId="0" borderId="12" xfId="1" applyNumberFormat="1" applyBorder="1" applyAlignment="1">
      <alignment horizontal="center" vertical="center"/>
    </xf>
    <xf numFmtId="2" fontId="22" fillId="0" borderId="0" xfId="1" quotePrefix="1" applyNumberFormat="1" applyAlignment="1">
      <alignment horizontal="center"/>
    </xf>
    <xf numFmtId="2" fontId="27" fillId="5" borderId="0" xfId="1" applyNumberFormat="1" applyFont="1" applyFill="1" applyAlignment="1">
      <alignment horizontal="center" vertical="center"/>
    </xf>
    <xf numFmtId="2" fontId="1" fillId="6" borderId="13" xfId="1" applyNumberFormat="1" applyFont="1" applyFill="1" applyBorder="1"/>
    <xf numFmtId="2" fontId="25" fillId="2" borderId="3" xfId="1" applyNumberFormat="1" applyFont="1" applyFill="1" applyBorder="1" applyAlignment="1">
      <alignment vertical="center"/>
    </xf>
    <xf numFmtId="2" fontId="25" fillId="2" borderId="25" xfId="1" applyNumberFormat="1" applyFont="1" applyFill="1" applyBorder="1" applyAlignment="1">
      <alignment horizontal="center" vertical="center"/>
    </xf>
    <xf numFmtId="2" fontId="59" fillId="7" borderId="3" xfId="1" applyNumberFormat="1" applyFont="1" applyFill="1" applyBorder="1" applyAlignment="1">
      <alignment horizontal="center" vertical="center"/>
    </xf>
    <xf numFmtId="2" fontId="31" fillId="7" borderId="3" xfId="1" applyNumberFormat="1" applyFont="1" applyFill="1" applyBorder="1" applyAlignment="1">
      <alignment horizontal="center" vertical="center"/>
    </xf>
    <xf numFmtId="2" fontId="11" fillId="3" borderId="41" xfId="1" applyNumberFormat="1" applyFont="1" applyFill="1" applyBorder="1" applyAlignment="1">
      <alignment horizontal="center" vertical="center"/>
    </xf>
    <xf numFmtId="2" fontId="11" fillId="3" borderId="42" xfId="1" applyNumberFormat="1" applyFont="1" applyFill="1" applyBorder="1" applyAlignment="1">
      <alignment horizontal="center" vertical="center"/>
    </xf>
    <xf numFmtId="2" fontId="1" fillId="7" borderId="3" xfId="1" applyNumberFormat="1" applyFont="1" applyFill="1" applyBorder="1" applyAlignment="1">
      <alignment horizontal="center" vertical="center"/>
    </xf>
    <xf numFmtId="2" fontId="1" fillId="7" borderId="42" xfId="1" applyNumberFormat="1" applyFont="1" applyFill="1" applyBorder="1" applyAlignment="1">
      <alignment horizontal="center" vertical="center"/>
    </xf>
    <xf numFmtId="2" fontId="11" fillId="3" borderId="41" xfId="1" applyNumberFormat="1" applyFont="1" applyFill="1" applyBorder="1" applyAlignment="1">
      <alignment horizontal="center"/>
    </xf>
    <xf numFmtId="2" fontId="11" fillId="3" borderId="42" xfId="1" applyNumberFormat="1" applyFont="1" applyFill="1" applyBorder="1" applyAlignment="1">
      <alignment horizontal="center"/>
    </xf>
    <xf numFmtId="2" fontId="1" fillId="7" borderId="3" xfId="1" applyNumberFormat="1" applyFont="1" applyFill="1" applyBorder="1" applyAlignment="1">
      <alignment horizontal="center"/>
    </xf>
    <xf numFmtId="2" fontId="1" fillId="7" borderId="42" xfId="1" applyNumberFormat="1" applyFont="1" applyFill="1" applyBorder="1" applyAlignment="1">
      <alignment horizontal="center"/>
    </xf>
    <xf numFmtId="2" fontId="27" fillId="3" borderId="42" xfId="1" applyNumberFormat="1" applyFont="1" applyFill="1" applyBorder="1" applyAlignment="1">
      <alignment horizontal="center"/>
    </xf>
    <xf numFmtId="2" fontId="11" fillId="3" borderId="37" xfId="1" applyNumberFormat="1" applyFont="1" applyFill="1" applyBorder="1" applyAlignment="1">
      <alignment horizontal="center" vertical="center"/>
    </xf>
    <xf numFmtId="2" fontId="27" fillId="3" borderId="39" xfId="1" applyNumberFormat="1" applyFont="1" applyFill="1" applyBorder="1" applyAlignment="1">
      <alignment horizontal="center"/>
    </xf>
    <xf numFmtId="2" fontId="1" fillId="7" borderId="38" xfId="1" applyNumberFormat="1" applyFont="1" applyFill="1" applyBorder="1" applyAlignment="1">
      <alignment horizontal="center" vertical="center"/>
    </xf>
    <xf numFmtId="2" fontId="1" fillId="7" borderId="38" xfId="1" applyNumberFormat="1" applyFont="1" applyFill="1" applyBorder="1" applyAlignment="1">
      <alignment horizontal="center"/>
    </xf>
    <xf numFmtId="2" fontId="1" fillId="7" borderId="39" xfId="1" applyNumberFormat="1" applyFont="1" applyFill="1" applyBorder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20" xfId="1" applyNumberFormat="1" applyFont="1" applyBorder="1"/>
    <xf numFmtId="2" fontId="1" fillId="2" borderId="60" xfId="1" applyNumberFormat="1" applyFont="1" applyFill="1" applyBorder="1" applyAlignment="1">
      <alignment horizontal="center" vertical="center"/>
    </xf>
    <xf numFmtId="2" fontId="1" fillId="2" borderId="60" xfId="1" applyNumberFormat="1" applyFont="1" applyFill="1" applyBorder="1" applyAlignment="1">
      <alignment horizontal="center"/>
    </xf>
    <xf numFmtId="2" fontId="1" fillId="2" borderId="54" xfId="1" applyNumberFormat="1" applyFont="1" applyFill="1" applyBorder="1" applyAlignment="1">
      <alignment horizontal="center"/>
    </xf>
    <xf numFmtId="2" fontId="1" fillId="2" borderId="0" xfId="1" applyNumberFormat="1" applyFont="1" applyFill="1"/>
    <xf numFmtId="2" fontId="1" fillId="7" borderId="35" xfId="1" applyNumberFormat="1" applyFont="1" applyFill="1" applyBorder="1" applyAlignment="1">
      <alignment horizontal="center" vertical="center"/>
    </xf>
    <xf numFmtId="2" fontId="1" fillId="7" borderId="35" xfId="1" applyNumberFormat="1" applyFont="1" applyFill="1" applyBorder="1" applyAlignment="1">
      <alignment horizontal="center"/>
    </xf>
    <xf numFmtId="2" fontId="1" fillId="7" borderId="36" xfId="1" applyNumberFormat="1" applyFont="1" applyFill="1" applyBorder="1" applyAlignment="1">
      <alignment horizontal="center"/>
    </xf>
    <xf numFmtId="2" fontId="1" fillId="0" borderId="25" xfId="1" applyNumberFormat="1" applyFont="1" applyBorder="1"/>
    <xf numFmtId="2" fontId="53" fillId="3" borderId="42" xfId="1" applyNumberFormat="1" applyFont="1" applyFill="1" applyBorder="1" applyAlignment="1">
      <alignment horizontal="center" vertical="center"/>
    </xf>
    <xf numFmtId="2" fontId="1" fillId="7" borderId="39" xfId="1" applyNumberFormat="1" applyFont="1" applyFill="1" applyBorder="1" applyAlignment="1">
      <alignment horizontal="center" vertical="center"/>
    </xf>
    <xf numFmtId="2" fontId="1" fillId="2" borderId="59" xfId="1" applyNumberFormat="1" applyFont="1" applyFill="1" applyBorder="1" applyAlignment="1">
      <alignment horizontal="center" vertical="center"/>
    </xf>
    <xf numFmtId="2" fontId="1" fillId="7" borderId="36" xfId="1" applyNumberFormat="1" applyFont="1" applyFill="1" applyBorder="1" applyAlignment="1">
      <alignment horizontal="center" vertical="center"/>
    </xf>
    <xf numFmtId="2" fontId="1" fillId="2" borderId="31" xfId="1" applyNumberFormat="1" applyFont="1" applyFill="1" applyBorder="1" applyAlignment="1">
      <alignment horizontal="center" vertical="center"/>
    </xf>
    <xf numFmtId="2" fontId="1" fillId="2" borderId="12" xfId="1" applyNumberFormat="1" applyFont="1" applyFill="1" applyBorder="1" applyAlignment="1">
      <alignment horizontal="center" vertical="center"/>
    </xf>
    <xf numFmtId="2" fontId="1" fillId="0" borderId="12" xfId="1" applyNumberFormat="1" applyFont="1" applyBorder="1" applyAlignment="1">
      <alignment horizontal="center" vertical="center"/>
    </xf>
    <xf numFmtId="2" fontId="1" fillId="2" borderId="0" xfId="1" applyNumberFormat="1" applyFont="1" applyFill="1" applyAlignment="1">
      <alignment horizontal="center" vertical="center"/>
    </xf>
    <xf numFmtId="2" fontId="25" fillId="2" borderId="3" xfId="1" applyNumberFormat="1" applyFont="1" applyFill="1" applyBorder="1" applyAlignment="1">
      <alignment horizontal="center" vertical="center"/>
    </xf>
    <xf numFmtId="2" fontId="25" fillId="2" borderId="25" xfId="1" applyNumberFormat="1" applyFont="1" applyFill="1" applyBorder="1" applyAlignment="1">
      <alignment horizontal="left" vertical="center" wrapText="1"/>
    </xf>
    <xf numFmtId="2" fontId="59" fillId="2" borderId="3" xfId="1" applyNumberFormat="1" applyFont="1" applyFill="1" applyBorder="1" applyAlignment="1">
      <alignment horizontal="center" vertical="center"/>
    </xf>
    <xf numFmtId="2" fontId="39" fillId="2" borderId="3" xfId="1" applyNumberFormat="1" applyFont="1" applyFill="1" applyBorder="1" applyAlignment="1">
      <alignment horizontal="center" vertical="center"/>
    </xf>
    <xf numFmtId="2" fontId="1" fillId="5" borderId="3" xfId="1" applyNumberFormat="1" applyFont="1" applyFill="1" applyBorder="1" applyAlignment="1">
      <alignment horizontal="center"/>
    </xf>
    <xf numFmtId="2" fontId="1" fillId="2" borderId="12" xfId="1" applyNumberFormat="1" applyFont="1" applyFill="1" applyBorder="1" applyAlignment="1">
      <alignment horizontal="center"/>
    </xf>
    <xf numFmtId="2" fontId="22" fillId="5" borderId="35" xfId="1" applyNumberFormat="1" applyFill="1" applyBorder="1"/>
    <xf numFmtId="2" fontId="22" fillId="5" borderId="36" xfId="1" applyNumberFormat="1" applyFill="1" applyBorder="1"/>
    <xf numFmtId="2" fontId="39" fillId="2" borderId="0" xfId="1" applyNumberFormat="1" applyFont="1" applyFill="1"/>
    <xf numFmtId="2" fontId="22" fillId="5" borderId="42" xfId="1" applyNumberFormat="1" applyFill="1" applyBorder="1"/>
    <xf numFmtId="2" fontId="1" fillId="2" borderId="12" xfId="1" applyNumberFormat="1" applyFont="1" applyFill="1" applyBorder="1"/>
    <xf numFmtId="2" fontId="22" fillId="5" borderId="38" xfId="1" applyNumberFormat="1" applyFill="1" applyBorder="1"/>
    <xf numFmtId="2" fontId="22" fillId="5" borderId="39" xfId="1" applyNumberFormat="1" applyFill="1" applyBorder="1"/>
    <xf numFmtId="2" fontId="25" fillId="2" borderId="0" xfId="1" applyNumberFormat="1" applyFont="1" applyFill="1" applyAlignment="1">
      <alignment vertical="center"/>
    </xf>
    <xf numFmtId="2" fontId="39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/>
    </xf>
    <xf numFmtId="2" fontId="59" fillId="2" borderId="0" xfId="1" applyNumberFormat="1" applyFont="1" applyFill="1" applyAlignment="1">
      <alignment vertical="center"/>
    </xf>
    <xf numFmtId="2" fontId="25" fillId="2" borderId="3" xfId="1" applyNumberFormat="1" applyFont="1" applyFill="1" applyBorder="1" applyAlignment="1">
      <alignment horizontal="center"/>
    </xf>
    <xf numFmtId="2" fontId="1" fillId="2" borderId="0" xfId="1" applyNumberFormat="1" applyFont="1" applyFill="1" applyAlignment="1">
      <alignment horizontal="center"/>
    </xf>
    <xf numFmtId="2" fontId="1" fillId="2" borderId="20" xfId="1" applyNumberFormat="1" applyFont="1" applyFill="1" applyBorder="1"/>
    <xf numFmtId="2" fontId="1" fillId="2" borderId="20" xfId="1" applyNumberFormat="1" applyFont="1" applyFill="1" applyBorder="1" applyAlignment="1">
      <alignment horizontal="center"/>
    </xf>
    <xf numFmtId="2" fontId="22" fillId="0" borderId="20" xfId="1" applyNumberFormat="1" applyBorder="1"/>
    <xf numFmtId="2" fontId="22" fillId="0" borderId="24" xfId="1" applyNumberFormat="1" applyBorder="1"/>
    <xf numFmtId="2" fontId="1" fillId="7" borderId="3" xfId="1" applyNumberFormat="1" applyFont="1" applyFill="1" applyBorder="1" applyAlignment="1">
      <alignment vertical="center"/>
    </xf>
    <xf numFmtId="2" fontId="51" fillId="0" borderId="42" xfId="1" applyNumberFormat="1" applyFont="1" applyBorder="1" applyAlignment="1">
      <alignment horizontal="left" vertical="center"/>
    </xf>
    <xf numFmtId="2" fontId="1" fillId="7" borderId="3" xfId="1" applyNumberFormat="1" applyFont="1" applyFill="1" applyBorder="1" applyAlignment="1">
      <alignment horizontal="left" vertical="center"/>
    </xf>
    <xf numFmtId="0" fontId="66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16" fillId="0" borderId="3" xfId="0" applyFont="1" applyBorder="1" applyAlignment="1">
      <alignment vertical="center" wrapText="1"/>
    </xf>
    <xf numFmtId="0" fontId="35" fillId="0" borderId="0" xfId="0" applyFont="1"/>
    <xf numFmtId="173" fontId="50" fillId="2" borderId="0" xfId="0" applyNumberFormat="1" applyFont="1" applyFill="1" applyAlignment="1">
      <alignment horizontal="center" vertical="center" wrapText="1"/>
    </xf>
    <xf numFmtId="174" fontId="50" fillId="2" borderId="0" xfId="0" applyNumberFormat="1" applyFont="1" applyFill="1" applyAlignment="1">
      <alignment horizontal="center" vertical="center" wrapText="1"/>
    </xf>
    <xf numFmtId="175" fontId="50" fillId="2" borderId="0" xfId="0" applyNumberFormat="1" applyFont="1" applyFill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27" fillId="0" borderId="0" xfId="5" applyFont="1" applyProtection="1">
      <protection locked="0"/>
    </xf>
    <xf numFmtId="0" fontId="22" fillId="0" borderId="16" xfId="5" applyBorder="1"/>
    <xf numFmtId="0" fontId="102" fillId="0" borderId="26" xfId="5" applyFont="1" applyBorder="1"/>
    <xf numFmtId="0" fontId="22" fillId="0" borderId="12" xfId="5" applyBorder="1"/>
    <xf numFmtId="0" fontId="22" fillId="0" borderId="27" xfId="5" applyBorder="1"/>
    <xf numFmtId="0" fontId="22" fillId="0" borderId="12" xfId="5" applyBorder="1" applyAlignment="1">
      <alignment wrapText="1"/>
    </xf>
    <xf numFmtId="0" fontId="22" fillId="0" borderId="27" xfId="5" applyBorder="1" applyAlignment="1">
      <alignment wrapText="1"/>
    </xf>
    <xf numFmtId="0" fontId="102" fillId="0" borderId="27" xfId="5" applyFont="1" applyBorder="1"/>
    <xf numFmtId="0" fontId="81" fillId="0" borderId="27" xfId="5" applyFont="1" applyBorder="1" applyAlignment="1">
      <alignment horizontal="left" wrapText="1"/>
    </xf>
    <xf numFmtId="0" fontId="22" fillId="0" borderId="0" xfId="5" applyAlignment="1">
      <alignment wrapText="1"/>
    </xf>
    <xf numFmtId="0" fontId="81" fillId="0" borderId="12" xfId="5" applyFont="1" applyBorder="1" applyAlignment="1">
      <alignment wrapText="1"/>
    </xf>
    <xf numFmtId="181" fontId="81" fillId="0" borderId="27" xfId="5" applyNumberFormat="1" applyFont="1" applyBorder="1" applyAlignment="1">
      <alignment horizontal="left"/>
    </xf>
    <xf numFmtId="181" fontId="22" fillId="0" borderId="27" xfId="5" applyNumberFormat="1" applyBorder="1"/>
    <xf numFmtId="0" fontId="103" fillId="0" borderId="27" xfId="5" applyFont="1" applyBorder="1" applyAlignment="1">
      <alignment horizontal="left" wrapText="1"/>
    </xf>
    <xf numFmtId="0" fontId="81" fillId="0" borderId="27" xfId="5" applyFont="1" applyBorder="1" applyAlignment="1">
      <alignment wrapText="1"/>
    </xf>
    <xf numFmtId="0" fontId="81" fillId="0" borderId="12" xfId="5" applyFont="1" applyBorder="1"/>
    <xf numFmtId="0" fontId="81" fillId="0" borderId="13" xfId="5" applyFont="1" applyBorder="1"/>
    <xf numFmtId="0" fontId="81" fillId="0" borderId="24" xfId="5" applyFont="1" applyBorder="1" applyAlignment="1">
      <alignment wrapText="1"/>
    </xf>
    <xf numFmtId="0" fontId="22" fillId="0" borderId="0" xfId="5" applyAlignment="1" applyProtection="1">
      <alignment horizontal="center" vertical="center" wrapText="1"/>
      <protection hidden="1"/>
    </xf>
    <xf numFmtId="0" fontId="6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right" vertical="center"/>
    </xf>
    <xf numFmtId="0" fontId="35" fillId="0" borderId="0" xfId="0" applyFont="1" applyAlignment="1">
      <alignment vertical="center"/>
    </xf>
    <xf numFmtId="0" fontId="55" fillId="0" borderId="0" xfId="0" quotePrefix="1" applyFont="1" applyAlignment="1">
      <alignment horizontal="left" vertical="center"/>
    </xf>
    <xf numFmtId="0" fontId="56" fillId="0" borderId="0" xfId="0" applyFont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50" fillId="0" borderId="0" xfId="0" applyNumberFormat="1" applyFont="1" applyAlignment="1">
      <alignment horizontal="right" vertical="center"/>
    </xf>
    <xf numFmtId="0" fontId="57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50" fillId="0" borderId="3" xfId="0" applyFont="1" applyBorder="1" applyAlignment="1">
      <alignment horizontal="center" vertical="center" wrapText="1"/>
    </xf>
    <xf numFmtId="2" fontId="50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50" fillId="0" borderId="0" xfId="0" applyFont="1" applyAlignment="1">
      <alignment horizontal="center" vertical="center" wrapText="1"/>
    </xf>
    <xf numFmtId="168" fontId="50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quotePrefix="1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166" fontId="50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0" fontId="50" fillId="0" borderId="0" xfId="0" applyFont="1" applyAlignment="1" applyProtection="1">
      <alignment horizontal="left" vertical="center"/>
      <protection locked="0"/>
    </xf>
    <xf numFmtId="0" fontId="50" fillId="0" borderId="0" xfId="0" applyFont="1" applyAlignment="1" applyProtection="1">
      <alignment vertical="center"/>
      <protection locked="0"/>
    </xf>
    <xf numFmtId="0" fontId="50" fillId="0" borderId="0" xfId="0" applyFont="1" applyAlignment="1" applyProtection="1">
      <alignment horizontal="center" vertical="center"/>
      <protection locked="0"/>
    </xf>
    <xf numFmtId="166" fontId="50" fillId="0" borderId="0" xfId="0" applyNumberFormat="1" applyFont="1" applyAlignment="1" applyProtection="1">
      <alignment horizontal="righ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164" fontId="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right" vertical="center"/>
    </xf>
    <xf numFmtId="164" fontId="50" fillId="0" borderId="0" xfId="0" applyNumberFormat="1" applyFont="1" applyAlignment="1">
      <alignment vertical="center"/>
    </xf>
    <xf numFmtId="164" fontId="35" fillId="0" borderId="0" xfId="0" applyNumberFormat="1" applyFont="1" applyAlignment="1">
      <alignment vertical="center"/>
    </xf>
    <xf numFmtId="164" fontId="35" fillId="0" borderId="0" xfId="0" applyNumberFormat="1" applyFont="1" applyAlignment="1">
      <alignment horizontal="left" vertical="center"/>
    </xf>
    <xf numFmtId="164" fontId="50" fillId="0" borderId="0" xfId="0" applyNumberFormat="1" applyFont="1" applyAlignment="1">
      <alignment horizontal="left" vertical="center"/>
    </xf>
    <xf numFmtId="0" fontId="50" fillId="0" borderId="0" xfId="0" applyFont="1" applyAlignment="1" applyProtection="1">
      <alignment vertical="center"/>
      <protection locked="0" hidden="1"/>
    </xf>
    <xf numFmtId="0" fontId="29" fillId="0" borderId="0" xfId="0" applyFont="1" applyAlignment="1" applyProtection="1">
      <alignment vertical="center"/>
      <protection locked="0"/>
    </xf>
    <xf numFmtId="0" fontId="29" fillId="0" borderId="0" xfId="0" applyFont="1" applyAlignment="1">
      <alignment vertical="center"/>
    </xf>
    <xf numFmtId="0" fontId="29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>
      <alignment vertical="center"/>
    </xf>
    <xf numFmtId="0" fontId="35" fillId="0" borderId="0" xfId="2" applyFont="1" applyProtection="1">
      <protection locked="0"/>
    </xf>
    <xf numFmtId="0" fontId="50" fillId="0" borderId="0" xfId="2" applyFont="1" applyAlignment="1" applyProtection="1">
      <alignment vertical="top"/>
      <protection locked="0"/>
    </xf>
    <xf numFmtId="0" fontId="50" fillId="0" borderId="0" xfId="2" applyFont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50" fillId="0" borderId="0" xfId="0" quotePrefix="1" applyFont="1" applyAlignment="1" applyProtection="1">
      <alignment vertical="center"/>
      <protection locked="0"/>
    </xf>
    <xf numFmtId="0" fontId="101" fillId="0" borderId="3" xfId="0" applyFont="1" applyBorder="1" applyAlignment="1">
      <alignment horizontal="center" vertical="center"/>
    </xf>
    <xf numFmtId="164" fontId="101" fillId="0" borderId="3" xfId="0" applyNumberFormat="1" applyFont="1" applyBorder="1" applyAlignment="1">
      <alignment horizontal="center" vertical="center"/>
    </xf>
    <xf numFmtId="164" fontId="101" fillId="0" borderId="2" xfId="0" applyNumberFormat="1" applyFont="1" applyBorder="1" applyAlignment="1">
      <alignment horizontal="center" vertical="center" wrapText="1"/>
    </xf>
    <xf numFmtId="2" fontId="101" fillId="0" borderId="3" xfId="0" applyNumberFormat="1" applyFont="1" applyBorder="1" applyAlignment="1">
      <alignment horizontal="left" vertical="center"/>
    </xf>
    <xf numFmtId="0" fontId="50" fillId="0" borderId="3" xfId="0" applyFont="1" applyBorder="1" applyAlignment="1">
      <alignment horizontal="left" vertical="center"/>
    </xf>
    <xf numFmtId="0" fontId="37" fillId="0" borderId="0" xfId="0" applyFont="1" applyAlignment="1">
      <alignment horizontal="right" vertical="center"/>
    </xf>
    <xf numFmtId="0" fontId="9" fillId="0" borderId="0" xfId="0" applyFont="1"/>
    <xf numFmtId="0" fontId="37" fillId="0" borderId="0" xfId="0" applyFont="1"/>
    <xf numFmtId="0" fontId="24" fillId="0" borderId="0" xfId="0" applyFont="1" applyAlignment="1">
      <alignment horizontal="center" vertical="center"/>
    </xf>
    <xf numFmtId="0" fontId="51" fillId="0" borderId="0" xfId="0" applyFont="1"/>
    <xf numFmtId="0" fontId="5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0" fillId="0" borderId="0" xfId="0" applyFont="1" applyAlignment="1">
      <alignment horizontal="right"/>
    </xf>
    <xf numFmtId="0" fontId="50" fillId="0" borderId="3" xfId="0" applyFont="1" applyBorder="1" applyAlignment="1">
      <alignment vertical="center"/>
    </xf>
    <xf numFmtId="164" fontId="101" fillId="0" borderId="3" xfId="0" applyNumberFormat="1" applyFont="1" applyBorder="1" applyAlignment="1" applyProtection="1">
      <alignment horizontal="center" vertical="center"/>
      <protection locked="0"/>
    </xf>
    <xf numFmtId="164" fontId="50" fillId="0" borderId="3" xfId="0" applyNumberFormat="1" applyFont="1" applyBorder="1" applyAlignment="1">
      <alignment horizontal="center" vertical="center"/>
    </xf>
    <xf numFmtId="0" fontId="55" fillId="0" borderId="0" xfId="0" applyFont="1"/>
    <xf numFmtId="164" fontId="50" fillId="0" borderId="0" xfId="0" applyNumberFormat="1" applyFont="1" applyAlignment="1">
      <alignment horizontal="center" vertical="center"/>
    </xf>
    <xf numFmtId="164" fontId="50" fillId="0" borderId="0" xfId="0" applyNumberFormat="1" applyFont="1" applyAlignment="1" applyProtection="1">
      <alignment horizontal="center" vertical="center"/>
      <protection locked="0"/>
    </xf>
    <xf numFmtId="0" fontId="55" fillId="0" borderId="0" xfId="0" quotePrefix="1" applyFont="1" applyAlignment="1">
      <alignment horizontal="left"/>
    </xf>
    <xf numFmtId="0" fontId="50" fillId="0" borderId="0" xfId="0" quotePrefix="1" applyFont="1" applyAlignment="1">
      <alignment horizontal="left"/>
    </xf>
    <xf numFmtId="0" fontId="101" fillId="0" borderId="0" xfId="0" applyFont="1" applyProtection="1">
      <protection locked="0"/>
    </xf>
    <xf numFmtId="0" fontId="56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50" fillId="0" borderId="1" xfId="0" applyFont="1" applyBorder="1" applyAlignment="1" applyProtection="1">
      <alignment vertical="center"/>
      <protection locked="0"/>
    </xf>
    <xf numFmtId="0" fontId="50" fillId="0" borderId="4" xfId="0" applyFont="1" applyBorder="1" applyAlignment="1" applyProtection="1">
      <alignment vertical="center"/>
      <protection locked="0"/>
    </xf>
    <xf numFmtId="0" fontId="50" fillId="0" borderId="4" xfId="0" applyFont="1" applyBorder="1" applyAlignment="1" applyProtection="1">
      <alignment horizontal="center" vertical="center"/>
      <protection locked="0"/>
    </xf>
    <xf numFmtId="0" fontId="50" fillId="0" borderId="2" xfId="0" applyFont="1" applyBorder="1" applyAlignment="1" applyProtection="1">
      <alignment vertical="center"/>
      <protection locked="0"/>
    </xf>
    <xf numFmtId="0" fontId="50" fillId="0" borderId="2" xfId="0" applyFont="1" applyBorder="1" applyAlignment="1">
      <alignment horizontal="left" vertical="center"/>
    </xf>
    <xf numFmtId="0" fontId="57" fillId="0" borderId="0" xfId="0" applyFont="1" applyAlignment="1">
      <alignment vertical="center"/>
    </xf>
    <xf numFmtId="179" fontId="50" fillId="0" borderId="3" xfId="0" applyNumberFormat="1" applyFont="1" applyBorder="1" applyAlignment="1">
      <alignment horizontal="center" vertical="center"/>
    </xf>
    <xf numFmtId="0" fontId="50" fillId="0" borderId="3" xfId="0" quotePrefix="1" applyFont="1" applyBorder="1" applyAlignment="1">
      <alignment horizontal="center" vertical="center"/>
    </xf>
    <xf numFmtId="1" fontId="50" fillId="0" borderId="0" xfId="0" quotePrefix="1" applyNumberFormat="1" applyFont="1" applyAlignment="1">
      <alignment horizontal="center" vertical="center"/>
    </xf>
    <xf numFmtId="0" fontId="64" fillId="0" borderId="3" xfId="0" applyFont="1" applyBorder="1" applyAlignment="1">
      <alignment horizontal="right"/>
    </xf>
    <xf numFmtId="0" fontId="6" fillId="0" borderId="3" xfId="0" applyFont="1" applyBorder="1"/>
    <xf numFmtId="166" fontId="50" fillId="0" borderId="0" xfId="0" applyNumberFormat="1" applyFont="1" applyAlignment="1">
      <alignment horizontal="right"/>
    </xf>
    <xf numFmtId="0" fontId="6" fillId="0" borderId="0" xfId="0" quotePrefix="1" applyFont="1"/>
    <xf numFmtId="0" fontId="50" fillId="0" borderId="3" xfId="0" applyFont="1" applyBorder="1" applyAlignment="1">
      <alignment horizontal="center"/>
    </xf>
    <xf numFmtId="164" fontId="101" fillId="0" borderId="2" xfId="0" applyNumberFormat="1" applyFont="1" applyBorder="1" applyAlignment="1" applyProtection="1">
      <alignment horizontal="center" vertical="center"/>
      <protection locked="0"/>
    </xf>
    <xf numFmtId="0" fontId="35" fillId="0" borderId="0" xfId="0" applyFont="1" applyProtection="1">
      <protection locked="0"/>
    </xf>
    <xf numFmtId="0" fontId="35" fillId="0" borderId="0" xfId="0" applyFont="1" applyAlignment="1" applyProtection="1">
      <alignment horizontal="left"/>
      <protection locked="0"/>
    </xf>
    <xf numFmtId="0" fontId="50" fillId="0" borderId="0" xfId="0" applyFont="1" applyProtection="1">
      <protection locked="0"/>
    </xf>
    <xf numFmtId="0" fontId="13" fillId="0" borderId="0" xfId="0" applyFont="1" applyAlignment="1">
      <alignment horizontal="left"/>
    </xf>
    <xf numFmtId="0" fontId="50" fillId="0" borderId="0" xfId="0" applyFont="1" applyAlignment="1" applyProtection="1">
      <alignment horizontal="left"/>
      <protection locked="0"/>
    </xf>
    <xf numFmtId="164" fontId="35" fillId="0" borderId="0" xfId="0" applyNumberFormat="1" applyFont="1" applyAlignment="1" applyProtection="1">
      <alignment vertical="center"/>
      <protection locked="0"/>
    </xf>
    <xf numFmtId="2" fontId="51" fillId="0" borderId="3" xfId="0" applyNumberFormat="1" applyFont="1" applyBorder="1" applyAlignment="1" applyProtection="1">
      <alignment vertical="center"/>
      <protection locked="0"/>
    </xf>
    <xf numFmtId="2" fontId="51" fillId="0" borderId="3" xfId="0" quotePrefix="1" applyNumberFormat="1" applyFont="1" applyBorder="1" applyAlignment="1" applyProtection="1">
      <alignment vertical="center"/>
      <protection locked="0"/>
    </xf>
    <xf numFmtId="164" fontId="35" fillId="0" borderId="0" xfId="0" applyNumberFormat="1" applyFont="1" applyAlignment="1" applyProtection="1">
      <alignment horizontal="left"/>
      <protection locked="0"/>
    </xf>
    <xf numFmtId="164" fontId="50" fillId="0" borderId="0" xfId="0" applyNumberFormat="1" applyFont="1" applyAlignment="1" applyProtection="1">
      <alignment vertical="center"/>
      <protection locked="0"/>
    </xf>
    <xf numFmtId="2" fontId="51" fillId="0" borderId="0" xfId="0" applyNumberFormat="1" applyFont="1" applyAlignment="1" applyProtection="1">
      <alignment vertical="center"/>
      <protection locked="0"/>
    </xf>
    <xf numFmtId="0" fontId="51" fillId="0" borderId="3" xfId="0" applyFont="1" applyBorder="1" applyAlignment="1" applyProtection="1">
      <alignment vertical="center"/>
      <protection locked="0"/>
    </xf>
    <xf numFmtId="164" fontId="50" fillId="0" borderId="0" xfId="0" applyNumberFormat="1" applyFont="1" applyAlignment="1" applyProtection="1">
      <alignment horizontal="left"/>
      <protection locked="0"/>
    </xf>
    <xf numFmtId="2" fontId="51" fillId="0" borderId="1" xfId="0" applyNumberFormat="1" applyFont="1" applyBorder="1" applyAlignment="1" applyProtection="1">
      <alignment vertical="center"/>
      <protection locked="0"/>
    </xf>
    <xf numFmtId="165" fontId="50" fillId="0" borderId="0" xfId="0" applyNumberFormat="1" applyFont="1" applyAlignment="1" applyProtection="1">
      <alignment horizontal="center"/>
      <protection locked="0"/>
    </xf>
    <xf numFmtId="2" fontId="51" fillId="0" borderId="3" xfId="0" applyNumberFormat="1" applyFont="1" applyBorder="1" applyAlignment="1" applyProtection="1">
      <alignment vertical="center" wrapText="1"/>
      <protection locked="0"/>
    </xf>
    <xf numFmtId="0" fontId="50" fillId="0" borderId="0" xfId="0" quotePrefix="1" applyFont="1" applyProtection="1">
      <protection locked="0"/>
    </xf>
    <xf numFmtId="2" fontId="51" fillId="0" borderId="0" xfId="0" quotePrefix="1" applyNumberFormat="1" applyFont="1" applyAlignment="1" applyProtection="1">
      <alignment horizontal="center" vertical="center"/>
      <protection locked="0"/>
    </xf>
    <xf numFmtId="2" fontId="51" fillId="0" borderId="0" xfId="0" applyNumberFormat="1" applyFont="1" applyAlignment="1" applyProtection="1">
      <alignment horizontal="right" vertical="center"/>
      <protection locked="0"/>
    </xf>
    <xf numFmtId="0" fontId="14" fillId="0" borderId="0" xfId="0" applyFont="1"/>
    <xf numFmtId="0" fontId="51" fillId="0" borderId="0" xfId="0" applyFont="1" applyAlignment="1" applyProtection="1">
      <alignment horizontal="left" vertical="center"/>
      <protection locked="0"/>
    </xf>
    <xf numFmtId="1" fontId="51" fillId="0" borderId="0" xfId="0" applyNumberFormat="1" applyFont="1" applyAlignment="1" applyProtection="1">
      <alignment vertical="center"/>
      <protection locked="0"/>
    </xf>
    <xf numFmtId="2" fontId="22" fillId="0" borderId="0" xfId="0" applyNumberFormat="1" applyFont="1"/>
    <xf numFmtId="0" fontId="51" fillId="0" borderId="17" xfId="0" applyFont="1" applyBorder="1" applyAlignment="1" applyProtection="1">
      <alignment vertical="center"/>
      <protection locked="0"/>
    </xf>
    <xf numFmtId="0" fontId="51" fillId="0" borderId="44" xfId="0" applyFont="1" applyBorder="1" applyAlignment="1" applyProtection="1">
      <alignment horizontal="center" vertical="center"/>
      <protection locked="0"/>
    </xf>
    <xf numFmtId="0" fontId="51" fillId="0" borderId="25" xfId="0" quotePrefix="1" applyFont="1" applyBorder="1" applyAlignment="1" applyProtection="1">
      <alignment horizontal="center" vertical="center"/>
      <protection locked="0"/>
    </xf>
    <xf numFmtId="0" fontId="51" fillId="0" borderId="25" xfId="0" applyFont="1" applyBorder="1" applyAlignment="1" applyProtection="1">
      <alignment vertical="center"/>
      <protection locked="0"/>
    </xf>
    <xf numFmtId="0" fontId="51" fillId="0" borderId="26" xfId="0" applyFont="1" applyBorder="1" applyAlignment="1" applyProtection="1">
      <alignment vertical="center"/>
      <protection locked="0"/>
    </xf>
    <xf numFmtId="1" fontId="65" fillId="0" borderId="18" xfId="0" applyNumberFormat="1" applyFont="1" applyBorder="1" applyAlignment="1" applyProtection="1">
      <alignment horizontal="center" vertical="center"/>
      <protection locked="0"/>
    </xf>
    <xf numFmtId="0" fontId="51" fillId="0" borderId="59" xfId="0" applyFont="1" applyBorder="1" applyAlignment="1" applyProtection="1">
      <alignment horizontal="center" vertical="center"/>
      <protection locked="0"/>
    </xf>
    <xf numFmtId="0" fontId="51" fillId="0" borderId="27" xfId="0" applyFont="1" applyBorder="1" applyAlignment="1" applyProtection="1">
      <alignment vertical="center"/>
      <protection locked="0"/>
    </xf>
    <xf numFmtId="0" fontId="51" fillId="0" borderId="19" xfId="0" applyFont="1" applyBorder="1" applyAlignment="1" applyProtection="1">
      <alignment vertical="center"/>
      <protection locked="0"/>
    </xf>
    <xf numFmtId="0" fontId="51" fillId="0" borderId="20" xfId="0" applyFont="1" applyBorder="1" applyAlignment="1" applyProtection="1">
      <alignment vertical="center"/>
      <protection locked="0"/>
    </xf>
    <xf numFmtId="0" fontId="51" fillId="0" borderId="24" xfId="0" applyFont="1" applyBorder="1" applyAlignment="1" applyProtection="1">
      <alignment vertical="center"/>
      <protection locked="0"/>
    </xf>
    <xf numFmtId="0" fontId="51" fillId="0" borderId="40" xfId="0" applyFont="1" applyBorder="1" applyAlignment="1" applyProtection="1">
      <alignment horizontal="center" vertical="center"/>
      <protection locked="0"/>
    </xf>
    <xf numFmtId="0" fontId="51" fillId="0" borderId="0" xfId="0" quotePrefix="1" applyFont="1" applyAlignment="1" applyProtection="1">
      <alignment horizontal="center" vertical="center"/>
      <protection locked="0"/>
    </xf>
    <xf numFmtId="164" fontId="13" fillId="0" borderId="0" xfId="0" applyNumberFormat="1" applyFont="1" applyAlignment="1">
      <alignment horizontal="right"/>
    </xf>
    <xf numFmtId="2" fontId="6" fillId="0" borderId="0" xfId="0" applyNumberFormat="1" applyFont="1"/>
    <xf numFmtId="164" fontId="13" fillId="0" borderId="0" xfId="0" applyNumberFormat="1" applyFont="1"/>
    <xf numFmtId="166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vertical="center"/>
    </xf>
    <xf numFmtId="2" fontId="13" fillId="0" borderId="0" xfId="0" applyNumberFormat="1" applyFont="1"/>
    <xf numFmtId="2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left" vertical="center"/>
    </xf>
    <xf numFmtId="2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quotePrefix="1" applyFont="1" applyAlignment="1">
      <alignment horizontal="center"/>
    </xf>
    <xf numFmtId="0" fontId="5" fillId="0" borderId="0" xfId="0" applyFont="1"/>
    <xf numFmtId="0" fontId="12" fillId="0" borderId="0" xfId="0" applyFont="1" applyAlignment="1">
      <alignment horizontal="center"/>
    </xf>
    <xf numFmtId="0" fontId="17" fillId="0" borderId="3" xfId="0" applyFont="1" applyBorder="1" applyAlignment="1">
      <alignment horizontal="left" wrapText="1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0" fillId="0" borderId="0" xfId="0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vertical="center"/>
      <protection locked="0"/>
    </xf>
    <xf numFmtId="164" fontId="22" fillId="0" borderId="0" xfId="0" applyNumberFormat="1" applyFont="1" applyAlignment="1" applyProtection="1">
      <alignment horizontal="center" vertical="center"/>
      <protection locked="0"/>
    </xf>
    <xf numFmtId="0" fontId="64" fillId="0" borderId="3" xfId="0" quotePrefix="1" applyFont="1" applyBorder="1"/>
    <xf numFmtId="2" fontId="13" fillId="0" borderId="0" xfId="0" quotePrefix="1" applyNumberFormat="1" applyFont="1" applyAlignment="1">
      <alignment horizontal="center" vertical="center" wrapText="1"/>
    </xf>
    <xf numFmtId="166" fontId="13" fillId="0" borderId="0" xfId="0" applyNumberFormat="1" applyFont="1" applyAlignment="1">
      <alignment horizontal="center" vertical="center"/>
    </xf>
    <xf numFmtId="2" fontId="51" fillId="0" borderId="0" xfId="0" applyNumberFormat="1" applyFont="1" applyProtection="1">
      <protection locked="0"/>
    </xf>
    <xf numFmtId="2" fontId="50" fillId="0" borderId="3" xfId="0" applyNumberFormat="1" applyFont="1" applyBorder="1" applyAlignment="1">
      <alignment horizontal="center" vertical="center"/>
    </xf>
    <xf numFmtId="170" fontId="50" fillId="0" borderId="0" xfId="0" applyNumberFormat="1" applyFont="1" applyAlignment="1">
      <alignment vertical="center"/>
    </xf>
    <xf numFmtId="171" fontId="50" fillId="0" borderId="0" xfId="0" applyNumberFormat="1" applyFont="1" applyAlignment="1">
      <alignment horizontal="left" vertical="center"/>
    </xf>
    <xf numFmtId="0" fontId="50" fillId="0" borderId="0" xfId="0" quotePrefix="1" applyFont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right" vertical="center"/>
    </xf>
    <xf numFmtId="164" fontId="22" fillId="0" borderId="0" xfId="1" applyNumberFormat="1"/>
    <xf numFmtId="0" fontId="6" fillId="0" borderId="3" xfId="0" applyFont="1" applyBorder="1" applyAlignment="1">
      <alignment vertical="center"/>
    </xf>
    <xf numFmtId="164" fontId="101" fillId="0" borderId="0" xfId="0" applyNumberFormat="1" applyFont="1" applyAlignment="1">
      <alignment horizontal="center" vertical="center"/>
    </xf>
    <xf numFmtId="0" fontId="37" fillId="0" borderId="0" xfId="0" quotePrefix="1" applyFont="1" applyAlignment="1" applyProtection="1">
      <alignment vertical="center"/>
      <protection locked="0"/>
    </xf>
    <xf numFmtId="164" fontId="1" fillId="2" borderId="3" xfId="1" applyNumberFormat="1" applyFont="1" applyFill="1" applyBorder="1" applyAlignment="1">
      <alignment horizontal="center"/>
    </xf>
    <xf numFmtId="164" fontId="22" fillId="0" borderId="3" xfId="1" applyNumberFormat="1" applyBorder="1" applyAlignment="1">
      <alignment horizontal="center" vertical="center"/>
    </xf>
    <xf numFmtId="2" fontId="11" fillId="7" borderId="3" xfId="1" applyNumberFormat="1" applyFont="1" applyFill="1" applyBorder="1" applyAlignment="1">
      <alignment vertical="center"/>
    </xf>
    <xf numFmtId="2" fontId="11" fillId="5" borderId="3" xfId="1" applyNumberFormat="1" applyFont="1" applyFill="1" applyBorder="1" applyAlignment="1">
      <alignment vertical="center"/>
    </xf>
    <xf numFmtId="2" fontId="0" fillId="3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18" fillId="3" borderId="3" xfId="0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/>
    <xf numFmtId="2" fontId="18" fillId="3" borderId="3" xfId="0" applyNumberFormat="1" applyFont="1" applyFill="1" applyBorder="1" applyAlignment="1">
      <alignment horizontal="center" vertical="center" wrapText="1"/>
    </xf>
    <xf numFmtId="2" fontId="101" fillId="0" borderId="1" xfId="0" quotePrefix="1" applyNumberFormat="1" applyFont="1" applyBorder="1" applyAlignment="1" applyProtection="1">
      <alignment horizontal="right" vertical="center"/>
      <protection locked="0"/>
    </xf>
    <xf numFmtId="0" fontId="101" fillId="0" borderId="0" xfId="0" applyFont="1" applyAlignment="1" applyProtection="1">
      <alignment vertical="center"/>
      <protection locked="0"/>
    </xf>
    <xf numFmtId="0" fontId="101" fillId="0" borderId="0" xfId="0" applyFont="1" applyAlignment="1" applyProtection="1">
      <alignment horizontal="left" vertical="center"/>
      <protection locked="0"/>
    </xf>
    <xf numFmtId="164" fontId="101" fillId="0" borderId="0" xfId="0" applyNumberFormat="1" applyFont="1" applyAlignment="1">
      <alignment vertical="center"/>
    </xf>
    <xf numFmtId="184" fontId="0" fillId="0" borderId="3" xfId="0" applyNumberFormat="1" applyBorder="1" applyAlignment="1">
      <alignment horizontal="center" vertical="center"/>
    </xf>
    <xf numFmtId="185" fontId="25" fillId="0" borderId="3" xfId="0" applyNumberFormat="1" applyFont="1" applyBorder="1" applyAlignment="1">
      <alignment horizontal="center" vertical="center"/>
    </xf>
    <xf numFmtId="186" fontId="17" fillId="3" borderId="3" xfId="0" applyNumberFormat="1" applyFont="1" applyFill="1" applyBorder="1" applyAlignment="1">
      <alignment horizontal="center" vertical="center" wrapText="1"/>
    </xf>
    <xf numFmtId="184" fontId="0" fillId="3" borderId="2" xfId="0" applyNumberFormat="1" applyFill="1" applyBorder="1" applyAlignment="1">
      <alignment horizontal="center" vertical="center"/>
    </xf>
    <xf numFmtId="164" fontId="22" fillId="3" borderId="3" xfId="0" applyNumberFormat="1" applyFont="1" applyFill="1" applyBorder="1" applyAlignment="1">
      <alignment horizontal="center"/>
    </xf>
    <xf numFmtId="186" fontId="22" fillId="3" borderId="3" xfId="0" applyNumberFormat="1" applyFont="1" applyFill="1" applyBorder="1" applyAlignment="1">
      <alignment horizontal="right"/>
    </xf>
    <xf numFmtId="184" fontId="25" fillId="0" borderId="1" xfId="0" applyNumberFormat="1" applyFont="1" applyBorder="1" applyAlignment="1">
      <alignment horizontal="center" vertical="center"/>
    </xf>
    <xf numFmtId="184" fontId="25" fillId="0" borderId="3" xfId="0" applyNumberFormat="1" applyFont="1" applyBorder="1" applyAlignment="1">
      <alignment horizontal="center" vertical="center"/>
    </xf>
    <xf numFmtId="184" fontId="0" fillId="3" borderId="3" xfId="0" applyNumberFormat="1" applyFill="1" applyBorder="1" applyAlignment="1">
      <alignment horizontal="center" vertical="center"/>
    </xf>
    <xf numFmtId="185" fontId="0" fillId="3" borderId="3" xfId="0" applyNumberFormat="1" applyFill="1" applyBorder="1" applyAlignment="1">
      <alignment horizontal="center" vertical="center"/>
    </xf>
    <xf numFmtId="184" fontId="18" fillId="3" borderId="0" xfId="0" applyNumberFormat="1" applyFont="1" applyFill="1" applyAlignment="1">
      <alignment horizontal="center" vertical="center"/>
    </xf>
    <xf numFmtId="185" fontId="17" fillId="3" borderId="3" xfId="0" applyNumberFormat="1" applyFont="1" applyFill="1" applyBorder="1" applyAlignment="1">
      <alignment horizontal="center" vertical="center" wrapText="1"/>
    </xf>
    <xf numFmtId="165" fontId="0" fillId="0" borderId="3" xfId="0" applyNumberFormat="1" applyBorder="1" applyAlignment="1">
      <alignment horizontal="right"/>
    </xf>
    <xf numFmtId="184" fontId="0" fillId="0" borderId="3" xfId="0" applyNumberFormat="1" applyBorder="1" applyAlignment="1">
      <alignment horizontal="right"/>
    </xf>
    <xf numFmtId="184" fontId="22" fillId="0" borderId="3" xfId="0" applyNumberFormat="1" applyFont="1" applyBorder="1" applyAlignment="1">
      <alignment horizontal="right"/>
    </xf>
    <xf numFmtId="186" fontId="0" fillId="0" borderId="3" xfId="0" applyNumberFormat="1" applyBorder="1" applyAlignment="1">
      <alignment horizontal="right"/>
    </xf>
    <xf numFmtId="186" fontId="22" fillId="0" borderId="3" xfId="0" applyNumberFormat="1" applyFont="1" applyBorder="1" applyAlignment="1">
      <alignment horizontal="right"/>
    </xf>
    <xf numFmtId="0" fontId="0" fillId="6" borderId="3" xfId="0" applyFill="1" applyBorder="1" applyAlignment="1">
      <alignment horizontal="right"/>
    </xf>
    <xf numFmtId="186" fontId="22" fillId="6" borderId="3" xfId="0" applyNumberFormat="1" applyFont="1" applyFill="1" applyBorder="1" applyAlignment="1">
      <alignment horizontal="right"/>
    </xf>
    <xf numFmtId="186" fontId="0" fillId="6" borderId="3" xfId="0" applyNumberFormat="1" applyFill="1" applyBorder="1" applyAlignment="1">
      <alignment horizontal="right"/>
    </xf>
    <xf numFmtId="0" fontId="0" fillId="6" borderId="3" xfId="0" applyFill="1" applyBorder="1"/>
    <xf numFmtId="2" fontId="0" fillId="6" borderId="3" xfId="0" applyNumberFormat="1" applyFill="1" applyBorder="1"/>
    <xf numFmtId="2" fontId="0" fillId="6" borderId="38" xfId="0" applyNumberFormat="1" applyFill="1" applyBorder="1"/>
    <xf numFmtId="0" fontId="0" fillId="6" borderId="42" xfId="0" applyFill="1" applyBorder="1" applyAlignment="1">
      <alignment horizontal="right"/>
    </xf>
    <xf numFmtId="0" fontId="0" fillId="6" borderId="42" xfId="0" applyFill="1" applyBorder="1"/>
    <xf numFmtId="0" fontId="22" fillId="6" borderId="3" xfId="0" applyFont="1" applyFill="1" applyBorder="1" applyAlignment="1">
      <alignment horizontal="right"/>
    </xf>
    <xf numFmtId="0" fontId="50" fillId="0" borderId="53" xfId="0" applyFont="1" applyBorder="1" applyAlignment="1">
      <alignment horizontal="center" vertical="center" wrapText="1"/>
    </xf>
    <xf numFmtId="0" fontId="50" fillId="0" borderId="60" xfId="0" applyFont="1" applyBorder="1" applyAlignment="1">
      <alignment horizontal="center" vertical="center" wrapText="1"/>
    </xf>
    <xf numFmtId="0" fontId="50" fillId="0" borderId="48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166" fontId="50" fillId="0" borderId="1" xfId="0" applyNumberFormat="1" applyFont="1" applyBorder="1" applyAlignment="1">
      <alignment horizontal="center" vertical="center"/>
    </xf>
    <xf numFmtId="166" fontId="50" fillId="0" borderId="3" xfId="0" applyNumberFormat="1" applyFont="1" applyBorder="1" applyAlignment="1">
      <alignment horizontal="center" vertical="center" wrapText="1"/>
    </xf>
    <xf numFmtId="0" fontId="101" fillId="0" borderId="0" xfId="0" applyFont="1" applyAlignment="1" applyProtection="1">
      <alignment horizontal="left" vertical="top" wrapText="1"/>
      <protection locked="0"/>
    </xf>
    <xf numFmtId="0" fontId="51" fillId="0" borderId="53" xfId="0" applyFont="1" applyBorder="1" applyAlignment="1">
      <alignment horizontal="center" vertical="center"/>
    </xf>
    <xf numFmtId="0" fontId="51" fillId="0" borderId="48" xfId="0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0" fontId="51" fillId="0" borderId="25" xfId="0" applyFont="1" applyBorder="1" applyAlignment="1" applyProtection="1">
      <alignment horizontal="left" vertical="center"/>
      <protection locked="0"/>
    </xf>
    <xf numFmtId="0" fontId="50" fillId="0" borderId="0" xfId="0" applyFont="1" applyAlignment="1">
      <alignment horizontal="center" vertical="center" wrapText="1"/>
    </xf>
    <xf numFmtId="164" fontId="50" fillId="0" borderId="0" xfId="0" applyNumberFormat="1" applyFont="1" applyAlignment="1">
      <alignment horizontal="center" vertical="center"/>
    </xf>
    <xf numFmtId="0" fontId="5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/>
    </xf>
    <xf numFmtId="0" fontId="50" fillId="0" borderId="1" xfId="0" applyFont="1" applyBorder="1" applyAlignment="1" applyProtection="1">
      <alignment horizontal="left" vertical="center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50" fillId="0" borderId="2" xfId="0" applyFont="1" applyBorder="1" applyAlignment="1" applyProtection="1">
      <alignment horizontal="left" vertical="center"/>
      <protection locked="0"/>
    </xf>
    <xf numFmtId="164" fontId="101" fillId="0" borderId="0" xfId="0" applyNumberFormat="1" applyFont="1" applyAlignment="1">
      <alignment horizontal="left" vertical="top" wrapText="1"/>
    </xf>
    <xf numFmtId="0" fontId="50" fillId="0" borderId="3" xfId="0" applyFont="1" applyBorder="1" applyAlignment="1">
      <alignment horizontal="left" vertical="center"/>
    </xf>
    <xf numFmtId="0" fontId="50" fillId="0" borderId="1" xfId="0" applyFont="1" applyBorder="1" applyAlignment="1">
      <alignment horizontal="left" vertical="center"/>
    </xf>
    <xf numFmtId="0" fontId="35" fillId="0" borderId="3" xfId="0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27" fillId="0" borderId="41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8" borderId="3" xfId="0" applyFont="1" applyFill="1" applyBorder="1" applyAlignment="1">
      <alignment horizontal="center" vertical="center"/>
    </xf>
    <xf numFmtId="0" fontId="27" fillId="8" borderId="38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wrapText="1"/>
    </xf>
    <xf numFmtId="0" fontId="27" fillId="0" borderId="3" xfId="0" applyFont="1" applyBorder="1" applyAlignment="1">
      <alignment horizontal="center" vertical="center"/>
    </xf>
    <xf numFmtId="0" fontId="23" fillId="2" borderId="0" xfId="0" applyFont="1" applyFill="1" applyAlignment="1">
      <alignment horizontal="center" vertical="top" wrapText="1"/>
    </xf>
    <xf numFmtId="0" fontId="86" fillId="3" borderId="3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 wrapText="1"/>
    </xf>
    <xf numFmtId="0" fontId="20" fillId="3" borderId="48" xfId="0" applyFont="1" applyFill="1" applyBorder="1" applyAlignment="1">
      <alignment horizontal="center" vertical="center" wrapText="1"/>
    </xf>
    <xf numFmtId="2" fontId="88" fillId="3" borderId="3" xfId="0" applyNumberFormat="1" applyFont="1" applyFill="1" applyBorder="1" applyAlignment="1">
      <alignment horizontal="right" vertical="center" wrapText="1"/>
    </xf>
    <xf numFmtId="0" fontId="88" fillId="3" borderId="3" xfId="0" applyFont="1" applyFill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169" fontId="85" fillId="3" borderId="3" xfId="0" applyNumberFormat="1" applyFont="1" applyFill="1" applyBorder="1" applyAlignment="1">
      <alignment horizontal="center" vertical="center"/>
    </xf>
    <xf numFmtId="2" fontId="88" fillId="0" borderId="3" xfId="0" applyNumberFormat="1" applyFont="1" applyBorder="1" applyAlignment="1">
      <alignment horizontal="left" vertical="center" wrapText="1"/>
    </xf>
    <xf numFmtId="0" fontId="27" fillId="0" borderId="38" xfId="0" applyFont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2" fontId="7" fillId="0" borderId="23" xfId="1" applyNumberFormat="1" applyFont="1" applyBorder="1" applyAlignment="1">
      <alignment horizontal="center"/>
    </xf>
    <xf numFmtId="2" fontId="7" fillId="0" borderId="32" xfId="1" applyNumberFormat="1" applyFont="1" applyBorder="1" applyAlignment="1">
      <alignment horizontal="center"/>
    </xf>
    <xf numFmtId="2" fontId="7" fillId="0" borderId="14" xfId="1" applyNumberFormat="1" applyFont="1" applyBorder="1" applyAlignment="1">
      <alignment horizontal="center"/>
    </xf>
    <xf numFmtId="1" fontId="27" fillId="11" borderId="37" xfId="1" applyNumberFormat="1" applyFont="1" applyFill="1" applyBorder="1" applyAlignment="1">
      <alignment horizontal="center"/>
    </xf>
    <xf numFmtId="1" fontId="27" fillId="11" borderId="38" xfId="1" applyNumberFormat="1" applyFont="1" applyFill="1" applyBorder="1" applyAlignment="1">
      <alignment horizontal="center"/>
    </xf>
    <xf numFmtId="1" fontId="27" fillId="11" borderId="39" xfId="1" applyNumberFormat="1" applyFont="1" applyFill="1" applyBorder="1" applyAlignment="1">
      <alignment horizontal="center"/>
    </xf>
    <xf numFmtId="2" fontId="60" fillId="2" borderId="3" xfId="1" applyNumberFormat="1" applyFont="1" applyFill="1" applyBorder="1" applyAlignment="1">
      <alignment horizontal="center" vertical="center" wrapText="1"/>
    </xf>
    <xf numFmtId="2" fontId="52" fillId="2" borderId="34" xfId="1" applyNumberFormat="1" applyFont="1" applyFill="1" applyBorder="1" applyAlignment="1">
      <alignment horizontal="center" vertical="center" wrapText="1"/>
    </xf>
    <xf numFmtId="2" fontId="52" fillId="2" borderId="41" xfId="1" applyNumberFormat="1" applyFont="1" applyFill="1" applyBorder="1" applyAlignment="1">
      <alignment horizontal="center" vertical="center" wrapText="1"/>
    </xf>
    <xf numFmtId="2" fontId="52" fillId="2" borderId="49" xfId="1" applyNumberFormat="1" applyFont="1" applyFill="1" applyBorder="1" applyAlignment="1">
      <alignment horizontal="center" vertical="center" wrapText="1"/>
    </xf>
    <xf numFmtId="2" fontId="52" fillId="2" borderId="11" xfId="1" applyNumberFormat="1" applyFont="1" applyFill="1" applyBorder="1" applyAlignment="1">
      <alignment horizontal="center" vertical="center" wrapText="1"/>
    </xf>
    <xf numFmtId="2" fontId="52" fillId="2" borderId="60" xfId="1" applyNumberFormat="1" applyFont="1" applyFill="1" applyBorder="1" applyAlignment="1">
      <alignment horizontal="center" vertical="center" wrapText="1"/>
    </xf>
    <xf numFmtId="2" fontId="52" fillId="2" borderId="58" xfId="1" applyNumberFormat="1" applyFont="1" applyFill="1" applyBorder="1" applyAlignment="1">
      <alignment horizontal="center" vertical="center" wrapText="1"/>
    </xf>
    <xf numFmtId="2" fontId="27" fillId="2" borderId="52" xfId="1" applyNumberFormat="1" applyFont="1" applyFill="1" applyBorder="1" applyAlignment="1">
      <alignment horizontal="center" vertical="center" wrapText="1"/>
    </xf>
    <xf numFmtId="2" fontId="27" fillId="2" borderId="54" xfId="1" applyNumberFormat="1" applyFont="1" applyFill="1" applyBorder="1" applyAlignment="1">
      <alignment horizontal="center" vertical="center" wrapText="1"/>
    </xf>
    <xf numFmtId="2" fontId="27" fillId="2" borderId="55" xfId="1" applyNumberFormat="1" applyFont="1" applyFill="1" applyBorder="1" applyAlignment="1">
      <alignment horizontal="center" vertical="center" wrapText="1"/>
    </xf>
    <xf numFmtId="2" fontId="31" fillId="2" borderId="3" xfId="1" applyNumberFormat="1" applyFont="1" applyFill="1" applyBorder="1" applyAlignment="1">
      <alignment horizontal="center" vertical="center" wrapText="1"/>
    </xf>
    <xf numFmtId="2" fontId="30" fillId="2" borderId="3" xfId="1" applyNumberFormat="1" applyFont="1" applyFill="1" applyBorder="1" applyAlignment="1">
      <alignment horizontal="center" vertical="center"/>
    </xf>
    <xf numFmtId="2" fontId="11" fillId="2" borderId="34" xfId="1" applyNumberFormat="1" applyFont="1" applyFill="1" applyBorder="1" applyAlignment="1">
      <alignment horizontal="center" vertical="center"/>
    </xf>
    <xf numFmtId="2" fontId="11" fillId="2" borderId="35" xfId="1" applyNumberFormat="1" applyFont="1" applyFill="1" applyBorder="1" applyAlignment="1">
      <alignment horizontal="center" vertical="center"/>
    </xf>
    <xf numFmtId="2" fontId="11" fillId="2" borderId="36" xfId="1" applyNumberFormat="1" applyFont="1" applyFill="1" applyBorder="1" applyAlignment="1">
      <alignment horizontal="center" vertical="center"/>
    </xf>
    <xf numFmtId="2" fontId="58" fillId="2" borderId="15" xfId="1" applyNumberFormat="1" applyFont="1" applyFill="1" applyBorder="1" applyAlignment="1">
      <alignment horizontal="center" vertical="center"/>
    </xf>
    <xf numFmtId="2" fontId="58" fillId="2" borderId="21" xfId="1" applyNumberFormat="1" applyFont="1" applyFill="1" applyBorder="1" applyAlignment="1">
      <alignment horizontal="center" vertical="center"/>
    </xf>
    <xf numFmtId="2" fontId="58" fillId="2" borderId="33" xfId="1" applyNumberFormat="1" applyFont="1" applyFill="1" applyBorder="1" applyAlignment="1">
      <alignment horizontal="center" vertical="center"/>
    </xf>
    <xf numFmtId="2" fontId="30" fillId="2" borderId="3" xfId="1" applyNumberFormat="1" applyFont="1" applyFill="1" applyBorder="1" applyAlignment="1">
      <alignment horizontal="center" vertical="center" wrapText="1"/>
    </xf>
    <xf numFmtId="2" fontId="25" fillId="2" borderId="0" xfId="1" applyNumberFormat="1" applyFont="1" applyFill="1" applyAlignment="1">
      <alignment horizontal="center" vertical="center" wrapText="1"/>
    </xf>
    <xf numFmtId="2" fontId="62" fillId="2" borderId="0" xfId="1" applyNumberFormat="1" applyFont="1" applyFill="1" applyAlignment="1">
      <alignment horizontal="center" vertical="center" wrapText="1"/>
    </xf>
    <xf numFmtId="2" fontId="22" fillId="11" borderId="3" xfId="1" applyNumberFormat="1" applyFill="1" applyBorder="1" applyAlignment="1">
      <alignment horizontal="center" vertical="center" wrapText="1"/>
    </xf>
    <xf numFmtId="2" fontId="38" fillId="11" borderId="3" xfId="1" applyNumberFormat="1" applyFont="1" applyFill="1" applyBorder="1" applyAlignment="1">
      <alignment horizontal="center" vertical="center" wrapText="1"/>
    </xf>
    <xf numFmtId="2" fontId="39" fillId="11" borderId="3" xfId="1" applyNumberFormat="1" applyFont="1" applyFill="1" applyBorder="1" applyAlignment="1">
      <alignment horizontal="center" vertical="center"/>
    </xf>
    <xf numFmtId="2" fontId="22" fillId="11" borderId="3" xfId="1" applyNumberFormat="1" applyFill="1" applyBorder="1" applyAlignment="1">
      <alignment horizontal="center" vertical="center"/>
    </xf>
    <xf numFmtId="2" fontId="27" fillId="11" borderId="3" xfId="1" applyNumberFormat="1" applyFont="1" applyFill="1" applyBorder="1" applyAlignment="1">
      <alignment horizontal="center" vertical="center"/>
    </xf>
    <xf numFmtId="2" fontId="39" fillId="11" borderId="3" xfId="1" applyNumberFormat="1" applyFont="1" applyFill="1" applyBorder="1" applyAlignment="1">
      <alignment horizontal="center"/>
    </xf>
    <xf numFmtId="2" fontId="37" fillId="6" borderId="12" xfId="1" applyNumberFormat="1" applyFont="1" applyFill="1" applyBorder="1" applyAlignment="1">
      <alignment horizontal="center" vertical="center" wrapText="1"/>
    </xf>
    <xf numFmtId="2" fontId="37" fillId="6" borderId="0" xfId="1" applyNumberFormat="1" applyFont="1" applyFill="1" applyAlignment="1">
      <alignment horizontal="center" vertical="center" wrapText="1"/>
    </xf>
    <xf numFmtId="2" fontId="39" fillId="11" borderId="1" xfId="1" applyNumberFormat="1" applyFont="1" applyFill="1" applyBorder="1" applyAlignment="1">
      <alignment horizontal="center"/>
    </xf>
    <xf numFmtId="2" fontId="39" fillId="11" borderId="4" xfId="1" applyNumberFormat="1" applyFont="1" applyFill="1" applyBorder="1" applyAlignment="1">
      <alignment horizontal="center"/>
    </xf>
    <xf numFmtId="2" fontId="39" fillId="11" borderId="2" xfId="1" applyNumberFormat="1" applyFont="1" applyFill="1" applyBorder="1" applyAlignment="1">
      <alignment horizontal="center"/>
    </xf>
    <xf numFmtId="2" fontId="27" fillId="2" borderId="3" xfId="1" applyNumberFormat="1" applyFont="1" applyFill="1" applyBorder="1" applyAlignment="1">
      <alignment horizontal="center" vertical="center"/>
    </xf>
    <xf numFmtId="2" fontId="27" fillId="2" borderId="3" xfId="1" applyNumberFormat="1" applyFont="1" applyFill="1" applyBorder="1" applyAlignment="1">
      <alignment horizontal="center" vertical="center" wrapText="1"/>
    </xf>
    <xf numFmtId="2" fontId="30" fillId="0" borderId="3" xfId="1" applyNumberFormat="1" applyFont="1" applyBorder="1" applyAlignment="1">
      <alignment horizontal="center" vertical="center"/>
    </xf>
    <xf numFmtId="2" fontId="30" fillId="0" borderId="3" xfId="1" applyNumberFormat="1" applyFont="1" applyBorder="1" applyAlignment="1">
      <alignment horizontal="center" vertical="center" wrapText="1"/>
    </xf>
    <xf numFmtId="2" fontId="99" fillId="0" borderId="3" xfId="1" applyNumberFormat="1" applyFont="1" applyBorder="1" applyAlignment="1">
      <alignment horizontal="center" vertical="center" wrapText="1"/>
    </xf>
    <xf numFmtId="2" fontId="38" fillId="0" borderId="3" xfId="1" applyNumberFormat="1" applyFont="1" applyBorder="1" applyAlignment="1">
      <alignment horizontal="center" vertical="center"/>
    </xf>
    <xf numFmtId="2" fontId="31" fillId="0" borderId="3" xfId="1" applyNumberFormat="1" applyFont="1" applyBorder="1" applyAlignment="1">
      <alignment horizontal="center" vertical="center"/>
    </xf>
    <xf numFmtId="2" fontId="99" fillId="2" borderId="3" xfId="1" applyNumberFormat="1" applyFont="1" applyFill="1" applyBorder="1" applyAlignment="1">
      <alignment horizontal="center" vertical="center" wrapText="1"/>
    </xf>
    <xf numFmtId="2" fontId="27" fillId="0" borderId="3" xfId="1" applyNumberFormat="1" applyFont="1" applyBorder="1" applyAlignment="1">
      <alignment horizontal="center" vertical="center"/>
    </xf>
    <xf numFmtId="2" fontId="31" fillId="0" borderId="3" xfId="1" applyNumberFormat="1" applyFont="1" applyBorder="1" applyAlignment="1">
      <alignment horizontal="center"/>
    </xf>
    <xf numFmtId="2" fontId="30" fillId="0" borderId="53" xfId="1" applyNumberFormat="1" applyFont="1" applyBorder="1" applyAlignment="1">
      <alignment horizontal="center" vertical="center"/>
    </xf>
    <xf numFmtId="2" fontId="30" fillId="0" borderId="48" xfId="1" applyNumberFormat="1" applyFont="1" applyBorder="1" applyAlignment="1">
      <alignment horizontal="center" vertical="center"/>
    </xf>
    <xf numFmtId="2" fontId="22" fillId="0" borderId="53" xfId="1" applyNumberFormat="1" applyBorder="1" applyAlignment="1">
      <alignment horizontal="center" vertical="center"/>
    </xf>
    <xf numFmtId="2" fontId="22" fillId="0" borderId="48" xfId="1" applyNumberFormat="1" applyBorder="1" applyAlignment="1">
      <alignment horizontal="center" vertical="center"/>
    </xf>
    <xf numFmtId="2" fontId="36" fillId="6" borderId="65" xfId="1" applyNumberFormat="1" applyFont="1" applyFill="1" applyBorder="1" applyAlignment="1">
      <alignment horizontal="center" vertical="center"/>
    </xf>
    <xf numFmtId="2" fontId="36" fillId="6" borderId="56" xfId="1" applyNumberFormat="1" applyFont="1" applyFill="1" applyBorder="1" applyAlignment="1">
      <alignment horizontal="center" vertical="center"/>
    </xf>
    <xf numFmtId="2" fontId="52" fillId="7" borderId="34" xfId="1" applyNumberFormat="1" applyFont="1" applyFill="1" applyBorder="1" applyAlignment="1">
      <alignment horizontal="center" vertical="center"/>
    </xf>
    <xf numFmtId="2" fontId="52" fillId="7" borderId="36" xfId="1" applyNumberFormat="1" applyFont="1" applyFill="1" applyBorder="1" applyAlignment="1">
      <alignment horizontal="center" vertical="center"/>
    </xf>
    <xf numFmtId="2" fontId="30" fillId="7" borderId="3" xfId="1" applyNumberFormat="1" applyFont="1" applyFill="1" applyBorder="1" applyAlignment="1">
      <alignment horizontal="center" vertical="center"/>
    </xf>
    <xf numFmtId="2" fontId="31" fillId="7" borderId="3" xfId="1" applyNumberFormat="1" applyFont="1" applyFill="1" applyBorder="1" applyAlignment="1">
      <alignment horizontal="center" vertical="center"/>
    </xf>
    <xf numFmtId="2" fontId="28" fillId="7" borderId="3" xfId="1" applyNumberFormat="1" applyFont="1" applyFill="1" applyBorder="1" applyAlignment="1">
      <alignment horizontal="center" vertical="center"/>
    </xf>
    <xf numFmtId="2" fontId="22" fillId="0" borderId="3" xfId="1" applyNumberFormat="1" applyBorder="1" applyAlignment="1">
      <alignment horizontal="center" vertical="center"/>
    </xf>
    <xf numFmtId="2" fontId="25" fillId="7" borderId="3" xfId="1" applyNumberFormat="1" applyFont="1" applyFill="1" applyBorder="1" applyAlignment="1">
      <alignment horizontal="center" vertical="center"/>
    </xf>
    <xf numFmtId="2" fontId="58" fillId="6" borderId="12" xfId="1" applyNumberFormat="1" applyFont="1" applyFill="1" applyBorder="1" applyAlignment="1">
      <alignment horizontal="center" vertical="center"/>
    </xf>
    <xf numFmtId="2" fontId="58" fillId="6" borderId="0" xfId="1" applyNumberFormat="1" applyFont="1" applyFill="1" applyAlignment="1">
      <alignment horizontal="center" vertical="center"/>
    </xf>
    <xf numFmtId="2" fontId="22" fillId="0" borderId="16" xfId="1" applyNumberFormat="1" applyBorder="1" applyAlignment="1">
      <alignment horizontal="center" vertical="center"/>
    </xf>
    <xf numFmtId="2" fontId="22" fillId="0" borderId="12" xfId="1" applyNumberFormat="1" applyBorder="1" applyAlignment="1">
      <alignment horizontal="center" vertical="center"/>
    </xf>
    <xf numFmtId="2" fontId="22" fillId="0" borderId="13" xfId="1" applyNumberFormat="1" applyBorder="1" applyAlignment="1">
      <alignment horizontal="center" vertical="center"/>
    </xf>
    <xf numFmtId="2" fontId="30" fillId="7" borderId="1" xfId="1" applyNumberFormat="1" applyFont="1" applyFill="1" applyBorder="1" applyAlignment="1">
      <alignment horizontal="center" vertical="center"/>
    </xf>
    <xf numFmtId="2" fontId="30" fillId="7" borderId="4" xfId="1" applyNumberFormat="1" applyFont="1" applyFill="1" applyBorder="1" applyAlignment="1">
      <alignment horizontal="center" vertical="center"/>
    </xf>
    <xf numFmtId="2" fontId="30" fillId="7" borderId="2" xfId="1" applyNumberFormat="1" applyFont="1" applyFill="1" applyBorder="1" applyAlignment="1">
      <alignment horizontal="center" vertical="center"/>
    </xf>
    <xf numFmtId="2" fontId="11" fillId="7" borderId="3" xfId="1" applyNumberFormat="1" applyFont="1" applyFill="1" applyBorder="1" applyAlignment="1">
      <alignment horizontal="center" vertical="center"/>
    </xf>
    <xf numFmtId="2" fontId="11" fillId="7" borderId="3" xfId="1" applyNumberFormat="1" applyFont="1" applyFill="1" applyBorder="1" applyAlignment="1">
      <alignment horizontal="center" vertical="center" wrapText="1"/>
    </xf>
    <xf numFmtId="2" fontId="11" fillId="7" borderId="35" xfId="1" applyNumberFormat="1" applyFont="1" applyFill="1" applyBorder="1" applyAlignment="1">
      <alignment horizontal="center" vertical="center"/>
    </xf>
    <xf numFmtId="2" fontId="11" fillId="7" borderId="35" xfId="1" applyNumberFormat="1" applyFont="1" applyFill="1" applyBorder="1" applyAlignment="1">
      <alignment horizontal="center" vertical="center" wrapText="1"/>
    </xf>
    <xf numFmtId="2" fontId="25" fillId="7" borderId="35" xfId="1" applyNumberFormat="1" applyFont="1" applyFill="1" applyBorder="1" applyAlignment="1">
      <alignment horizontal="center" vertical="center"/>
    </xf>
    <xf numFmtId="2" fontId="25" fillId="7" borderId="36" xfId="1" applyNumberFormat="1" applyFont="1" applyFill="1" applyBorder="1" applyAlignment="1">
      <alignment horizontal="center" vertical="center"/>
    </xf>
    <xf numFmtId="2" fontId="25" fillId="3" borderId="34" xfId="1" applyNumberFormat="1" applyFont="1" applyFill="1" applyBorder="1" applyAlignment="1">
      <alignment horizontal="center" vertical="center"/>
    </xf>
    <xf numFmtId="2" fontId="25" fillId="3" borderId="36" xfId="1" applyNumberFormat="1" applyFont="1" applyFill="1" applyBorder="1" applyAlignment="1">
      <alignment horizontal="center" vertical="center"/>
    </xf>
    <xf numFmtId="2" fontId="59" fillId="7" borderId="3" xfId="1" applyNumberFormat="1" applyFont="1" applyFill="1" applyBorder="1" applyAlignment="1">
      <alignment horizontal="center" vertical="center"/>
    </xf>
    <xf numFmtId="2" fontId="59" fillId="7" borderId="5" xfId="1" applyNumberFormat="1" applyFont="1" applyFill="1" applyBorder="1" applyAlignment="1">
      <alignment horizontal="center" vertical="center"/>
    </xf>
    <xf numFmtId="2" fontId="59" fillId="7" borderId="7" xfId="1" applyNumberFormat="1" applyFont="1" applyFill="1" applyBorder="1" applyAlignment="1">
      <alignment horizontal="center" vertical="center"/>
    </xf>
    <xf numFmtId="2" fontId="59" fillId="7" borderId="6" xfId="1" applyNumberFormat="1" applyFont="1" applyFill="1" applyBorder="1" applyAlignment="1">
      <alignment horizontal="center" vertical="center"/>
    </xf>
    <xf numFmtId="2" fontId="59" fillId="7" borderId="42" xfId="1" applyNumberFormat="1" applyFont="1" applyFill="1" applyBorder="1" applyAlignment="1">
      <alignment horizontal="center" vertical="center"/>
    </xf>
    <xf numFmtId="2" fontId="11" fillId="3" borderId="41" xfId="1" applyNumberFormat="1" applyFont="1" applyFill="1" applyBorder="1" applyAlignment="1">
      <alignment horizontal="center" vertical="center"/>
    </xf>
    <xf numFmtId="2" fontId="11" fillId="3" borderId="42" xfId="1" applyNumberFormat="1" applyFont="1" applyFill="1" applyBorder="1" applyAlignment="1">
      <alignment horizontal="center" vertical="center"/>
    </xf>
    <xf numFmtId="2" fontId="1" fillId="6" borderId="0" xfId="1" applyNumberFormat="1" applyFont="1" applyFill="1" applyAlignment="1">
      <alignment horizontal="center"/>
    </xf>
    <xf numFmtId="2" fontId="1" fillId="7" borderId="3" xfId="1" applyNumberFormat="1" applyFont="1" applyFill="1" applyBorder="1" applyAlignment="1">
      <alignment horizontal="center" vertical="center"/>
    </xf>
    <xf numFmtId="2" fontId="1" fillId="7" borderId="35" xfId="1" applyNumberFormat="1" applyFont="1" applyFill="1" applyBorder="1" applyAlignment="1">
      <alignment horizontal="center" vertical="center"/>
    </xf>
    <xf numFmtId="2" fontId="1" fillId="7" borderId="38" xfId="1" applyNumberFormat="1" applyFont="1" applyFill="1" applyBorder="1" applyAlignment="1">
      <alignment horizontal="center" vertical="center"/>
    </xf>
    <xf numFmtId="2" fontId="1" fillId="7" borderId="53" xfId="1" applyNumberFormat="1" applyFont="1" applyFill="1" applyBorder="1" applyAlignment="1">
      <alignment horizontal="center" vertical="center"/>
    </xf>
    <xf numFmtId="2" fontId="1" fillId="7" borderId="60" xfId="1" applyNumberFormat="1" applyFont="1" applyFill="1" applyBorder="1" applyAlignment="1">
      <alignment horizontal="center" vertical="center"/>
    </xf>
    <xf numFmtId="2" fontId="1" fillId="7" borderId="58" xfId="1" applyNumberFormat="1" applyFont="1" applyFill="1" applyBorder="1" applyAlignment="1">
      <alignment horizontal="center" vertical="center"/>
    </xf>
    <xf numFmtId="2" fontId="1" fillId="7" borderId="11" xfId="1" applyNumberFormat="1" applyFont="1" applyFill="1" applyBorder="1" applyAlignment="1">
      <alignment horizontal="center" vertical="center"/>
    </xf>
    <xf numFmtId="2" fontId="25" fillId="2" borderId="3" xfId="1" applyNumberFormat="1" applyFont="1" applyFill="1" applyBorder="1" applyAlignment="1">
      <alignment horizontal="center" vertical="center" wrapText="1"/>
    </xf>
    <xf numFmtId="2" fontId="11" fillId="2" borderId="3" xfId="1" applyNumberFormat="1" applyFont="1" applyFill="1" applyBorder="1" applyAlignment="1">
      <alignment horizontal="center" vertical="center" wrapText="1"/>
    </xf>
    <xf numFmtId="2" fontId="1" fillId="2" borderId="34" xfId="1" applyNumberFormat="1" applyFont="1" applyFill="1" applyBorder="1" applyAlignment="1">
      <alignment horizontal="center" vertical="center"/>
    </xf>
    <xf numFmtId="2" fontId="1" fillId="2" borderId="41" xfId="1" applyNumberFormat="1" applyFont="1" applyFill="1" applyBorder="1" applyAlignment="1">
      <alignment horizontal="center" vertical="center"/>
    </xf>
    <xf numFmtId="2" fontId="1" fillId="2" borderId="37" xfId="1" applyNumberFormat="1" applyFont="1" applyFill="1" applyBorder="1" applyAlignment="1">
      <alignment horizontal="center" vertical="center"/>
    </xf>
    <xf numFmtId="2" fontId="25" fillId="2" borderId="3" xfId="1" applyNumberFormat="1" applyFont="1" applyFill="1" applyBorder="1" applyAlignment="1">
      <alignment horizontal="left" vertical="center" wrapText="1"/>
    </xf>
    <xf numFmtId="2" fontId="59" fillId="2" borderId="3" xfId="1" applyNumberFormat="1" applyFont="1" applyFill="1" applyBorder="1" applyAlignment="1">
      <alignment horizontal="center" vertical="center"/>
    </xf>
    <xf numFmtId="0" fontId="39" fillId="0" borderId="1" xfId="5" applyFont="1" applyBorder="1" applyAlignment="1">
      <alignment horizontal="left" vertical="top" wrapText="1"/>
    </xf>
    <xf numFmtId="0" fontId="39" fillId="0" borderId="4" xfId="5" applyFont="1" applyBorder="1" applyAlignment="1">
      <alignment horizontal="left" vertical="top" wrapText="1"/>
    </xf>
    <xf numFmtId="0" fontId="70" fillId="0" borderId="0" xfId="5" applyFont="1" applyAlignment="1" applyProtection="1">
      <alignment horizontal="center" vertical="center"/>
      <protection locked="0"/>
    </xf>
    <xf numFmtId="181" fontId="72" fillId="0" borderId="0" xfId="5" quotePrefix="1" applyNumberFormat="1" applyFont="1" applyAlignment="1" applyProtection="1">
      <alignment horizontal="center" vertical="center"/>
      <protection locked="0"/>
    </xf>
    <xf numFmtId="181" fontId="72" fillId="0" borderId="0" xfId="5" applyNumberFormat="1" applyFont="1" applyAlignment="1" applyProtection="1">
      <alignment horizontal="center" vertical="center"/>
      <protection locked="0"/>
    </xf>
    <xf numFmtId="0" fontId="39" fillId="0" borderId="0" xfId="5" applyFont="1" applyAlignment="1">
      <alignment horizontal="center"/>
    </xf>
    <xf numFmtId="0" fontId="23" fillId="0" borderId="0" xfId="5" applyFont="1" applyAlignment="1">
      <alignment horizontal="right" vertical="center"/>
    </xf>
    <xf numFmtId="0" fontId="69" fillId="0" borderId="0" xfId="5" applyFont="1" applyAlignment="1">
      <alignment horizontal="center"/>
    </xf>
    <xf numFmtId="0" fontId="72" fillId="0" borderId="0" xfId="5" quotePrefix="1" applyFont="1" applyAlignment="1" applyProtection="1">
      <alignment horizontal="left"/>
      <protection locked="0"/>
    </xf>
    <xf numFmtId="0" fontId="39" fillId="0" borderId="0" xfId="5" applyFont="1" applyAlignment="1">
      <alignment horizontal="left" vertical="center" wrapText="1"/>
    </xf>
    <xf numFmtId="0" fontId="73" fillId="0" borderId="0" xfId="5" quotePrefix="1" applyFont="1" applyAlignment="1" applyProtection="1">
      <alignment horizontal="left" vertical="center" wrapText="1"/>
      <protection locked="0"/>
    </xf>
    <xf numFmtId="11" fontId="72" fillId="0" borderId="0" xfId="5" quotePrefix="1" applyNumberFormat="1" applyFont="1" applyAlignment="1" applyProtection="1">
      <alignment horizontal="left"/>
      <protection locked="0"/>
    </xf>
    <xf numFmtId="0" fontId="72" fillId="0" borderId="0" xfId="5" applyFont="1" applyAlignment="1" applyProtection="1">
      <alignment horizontal="left"/>
      <protection locked="0"/>
    </xf>
    <xf numFmtId="0" fontId="39" fillId="0" borderId="0" xfId="5" applyFont="1" applyAlignment="1" applyProtection="1">
      <alignment horizontal="left" vertical="center" wrapText="1"/>
      <protection locked="0"/>
    </xf>
    <xf numFmtId="181" fontId="39" fillId="0" borderId="0" xfId="5" applyNumberFormat="1" applyFont="1" applyAlignment="1">
      <alignment horizontal="left" vertical="center" wrapText="1"/>
    </xf>
    <xf numFmtId="0" fontId="73" fillId="0" borderId="0" xfId="5" applyFont="1" applyAlignment="1" applyProtection="1">
      <alignment horizontal="left" vertical="center" wrapText="1"/>
      <protection locked="0"/>
    </xf>
    <xf numFmtId="0" fontId="39" fillId="0" borderId="0" xfId="5" applyFont="1" applyAlignment="1" applyProtection="1">
      <alignment horizontal="left" vertical="top" wrapText="1"/>
      <protection locked="0"/>
    </xf>
    <xf numFmtId="0" fontId="39" fillId="0" borderId="0" xfId="5" applyFont="1" applyAlignment="1" applyProtection="1">
      <alignment horizontal="justify" vertical="top" wrapText="1"/>
      <protection locked="0"/>
    </xf>
    <xf numFmtId="183" fontId="72" fillId="0" borderId="0" xfId="5" quotePrefix="1" applyNumberFormat="1" applyFont="1" applyAlignment="1" applyProtection="1">
      <alignment horizontal="left" vertical="center"/>
      <protection locked="0"/>
    </xf>
    <xf numFmtId="183" fontId="72" fillId="0" borderId="0" xfId="5" applyNumberFormat="1" applyFont="1" applyAlignment="1" applyProtection="1">
      <alignment horizontal="left" vertical="center"/>
      <protection locked="0"/>
    </xf>
    <xf numFmtId="0" fontId="39" fillId="0" borderId="0" xfId="5" applyFont="1" applyAlignment="1">
      <alignment horizontal="left" vertical="top" wrapText="1"/>
    </xf>
    <xf numFmtId="0" fontId="68" fillId="0" borderId="0" xfId="5" applyFont="1" applyAlignment="1">
      <alignment horizontal="center"/>
    </xf>
    <xf numFmtId="0" fontId="39" fillId="3" borderId="0" xfId="5" applyFont="1" applyFill="1" applyAlignment="1">
      <alignment horizontal="justify" vertical="center" wrapText="1"/>
    </xf>
    <xf numFmtId="0" fontId="4" fillId="0" borderId="0" xfId="5" applyFont="1" applyAlignment="1">
      <alignment horizontal="left" vertical="center" wrapText="1"/>
    </xf>
    <xf numFmtId="181" fontId="39" fillId="0" borderId="0" xfId="5" applyNumberFormat="1" applyFont="1" applyAlignment="1">
      <alignment horizontal="left" vertical="top" wrapText="1"/>
    </xf>
    <xf numFmtId="0" fontId="1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0" fillId="2" borderId="53" xfId="0" applyFont="1" applyFill="1" applyBorder="1" applyAlignment="1">
      <alignment horizontal="center" vertical="center" wrapText="1"/>
    </xf>
    <xf numFmtId="0" fontId="50" fillId="2" borderId="60" xfId="0" applyFont="1" applyFill="1" applyBorder="1" applyAlignment="1">
      <alignment horizontal="center" vertical="center" wrapText="1"/>
    </xf>
    <xf numFmtId="0" fontId="50" fillId="2" borderId="48" xfId="0" applyFont="1" applyFill="1" applyBorder="1" applyAlignment="1">
      <alignment horizontal="center" vertical="center" wrapText="1"/>
    </xf>
    <xf numFmtId="0" fontId="50" fillId="2" borderId="5" xfId="0" applyFont="1" applyFill="1" applyBorder="1" applyAlignment="1">
      <alignment horizontal="center" vertical="center"/>
    </xf>
    <xf numFmtId="0" fontId="50" fillId="2" borderId="57" xfId="0" applyFont="1" applyFill="1" applyBorder="1" applyAlignment="1">
      <alignment horizontal="center" vertical="center"/>
    </xf>
    <xf numFmtId="0" fontId="18" fillId="0" borderId="53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56" fillId="2" borderId="0" xfId="0" applyFont="1" applyFill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2" borderId="5" xfId="0" applyFont="1" applyFill="1" applyBorder="1" applyAlignment="1">
      <alignment horizontal="center"/>
    </xf>
    <xf numFmtId="0" fontId="50" fillId="2" borderId="7" xfId="0" applyFont="1" applyFill="1" applyBorder="1" applyAlignment="1">
      <alignment horizontal="center"/>
    </xf>
    <xf numFmtId="0" fontId="50" fillId="2" borderId="6" xfId="0" applyFont="1" applyFill="1" applyBorder="1" applyAlignment="1">
      <alignment horizontal="center"/>
    </xf>
    <xf numFmtId="0" fontId="50" fillId="2" borderId="56" xfId="0" applyFont="1" applyFill="1" applyBorder="1" applyAlignment="1" applyProtection="1">
      <alignment horizontal="center" vertical="center"/>
      <protection locked="0"/>
    </xf>
    <xf numFmtId="0" fontId="50" fillId="2" borderId="8" xfId="0" applyFont="1" applyFill="1" applyBorder="1" applyAlignment="1" applyProtection="1">
      <alignment horizontal="center" vertical="center"/>
      <protection locked="0"/>
    </xf>
    <xf numFmtId="176" fontId="50" fillId="2" borderId="3" xfId="0" applyNumberFormat="1" applyFont="1" applyFill="1" applyBorder="1" applyAlignment="1" applyProtection="1">
      <alignment horizontal="center" vertical="center"/>
      <protection locked="0"/>
    </xf>
    <xf numFmtId="0" fontId="50" fillId="2" borderId="3" xfId="0" applyFont="1" applyFill="1" applyBorder="1" applyAlignment="1" applyProtection="1">
      <alignment horizontal="center" vertical="center"/>
      <protection locked="0"/>
    </xf>
    <xf numFmtId="0" fontId="51" fillId="2" borderId="0" xfId="0" applyFont="1" applyFill="1" applyAlignment="1">
      <alignment horizontal="center" vertical="center"/>
    </xf>
    <xf numFmtId="164" fontId="50" fillId="2" borderId="0" xfId="0" applyNumberFormat="1" applyFont="1" applyFill="1" applyAlignment="1">
      <alignment horizontal="left" vertical="top" wrapText="1"/>
    </xf>
    <xf numFmtId="0" fontId="50" fillId="2" borderId="1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left" vertical="top"/>
    </xf>
    <xf numFmtId="0" fontId="50" fillId="2" borderId="4" xfId="0" applyFont="1" applyFill="1" applyBorder="1" applyAlignment="1">
      <alignment horizontal="left" vertical="top"/>
    </xf>
    <xf numFmtId="0" fontId="50" fillId="2" borderId="2" xfId="0" applyFont="1" applyFill="1" applyBorder="1" applyAlignment="1">
      <alignment horizontal="left" vertical="top"/>
    </xf>
    <xf numFmtId="0" fontId="50" fillId="2" borderId="1" xfId="0" applyFont="1" applyFill="1" applyBorder="1" applyAlignment="1">
      <alignment horizontal="left" vertical="center"/>
    </xf>
    <xf numFmtId="0" fontId="50" fillId="2" borderId="4" xfId="0" applyFont="1" applyFill="1" applyBorder="1" applyAlignment="1">
      <alignment horizontal="left" vertical="center"/>
    </xf>
    <xf numFmtId="0" fontId="50" fillId="2" borderId="2" xfId="0" applyFont="1" applyFill="1" applyBorder="1" applyAlignment="1">
      <alignment horizontal="left" vertical="center"/>
    </xf>
    <xf numFmtId="16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0" fillId="2" borderId="3" xfId="0" applyFont="1" applyFill="1" applyBorder="1" applyAlignment="1" applyProtection="1">
      <alignment horizontal="center"/>
      <protection locked="0"/>
    </xf>
    <xf numFmtId="0" fontId="79" fillId="0" borderId="0" xfId="5" applyFont="1" applyAlignment="1">
      <alignment horizontal="left" vertical="center" wrapText="1"/>
    </xf>
    <xf numFmtId="0" fontId="73" fillId="0" borderId="0" xfId="5" quotePrefix="1" applyFont="1" applyAlignment="1" applyProtection="1">
      <alignment horizontal="center" vertical="center" wrapText="1"/>
      <protection locked="0"/>
    </xf>
    <xf numFmtId="0" fontId="61" fillId="0" borderId="0" xfId="5" applyFont="1" applyAlignment="1" applyProtection="1">
      <alignment horizontal="center" vertical="center"/>
      <protection locked="0"/>
    </xf>
    <xf numFmtId="0" fontId="77" fillId="0" borderId="0" xfId="5" applyFont="1" applyAlignment="1" applyProtection="1">
      <alignment horizontal="center" vertical="center"/>
      <protection locked="0"/>
    </xf>
    <xf numFmtId="183" fontId="72" fillId="0" borderId="0" xfId="5" quotePrefix="1" applyNumberFormat="1" applyFont="1" applyAlignment="1" applyProtection="1">
      <alignment horizontal="center" vertical="center"/>
      <protection locked="0"/>
    </xf>
    <xf numFmtId="183" fontId="72" fillId="0" borderId="0" xfId="5" applyNumberFormat="1" applyFont="1" applyAlignment="1" applyProtection="1">
      <alignment horizontal="center" vertical="center"/>
      <protection locked="0"/>
    </xf>
    <xf numFmtId="0" fontId="78" fillId="0" borderId="0" xfId="5" applyFont="1" applyAlignment="1">
      <alignment horizontal="center" vertical="center"/>
    </xf>
    <xf numFmtId="11" fontId="72" fillId="0" borderId="0" xfId="5" quotePrefix="1" applyNumberFormat="1" applyFont="1" applyAlignment="1" applyProtection="1">
      <alignment horizontal="center" vertical="center"/>
      <protection locked="0"/>
    </xf>
    <xf numFmtId="0" fontId="72" fillId="0" borderId="0" xfId="5" applyFont="1" applyAlignment="1" applyProtection="1">
      <alignment horizontal="center" vertical="center"/>
      <protection locked="0"/>
    </xf>
    <xf numFmtId="0" fontId="79" fillId="0" borderId="1" xfId="5" applyFont="1" applyBorder="1" applyAlignment="1">
      <alignment horizontal="center" vertical="center"/>
    </xf>
    <xf numFmtId="0" fontId="79" fillId="0" borderId="2" xfId="5" applyFont="1" applyBorder="1" applyAlignment="1">
      <alignment horizontal="center" vertical="center"/>
    </xf>
    <xf numFmtId="0" fontId="79" fillId="0" borderId="1" xfId="5" applyFont="1" applyBorder="1" applyAlignment="1">
      <alignment horizontal="center" vertical="center" wrapText="1"/>
    </xf>
    <xf numFmtId="0" fontId="79" fillId="0" borderId="2" xfId="5" applyFont="1" applyBorder="1" applyAlignment="1">
      <alignment horizontal="center" vertical="center" wrapText="1"/>
    </xf>
    <xf numFmtId="0" fontId="79" fillId="0" borderId="0" xfId="5" applyFont="1" applyAlignment="1">
      <alignment horizontal="left" vertical="center"/>
    </xf>
    <xf numFmtId="0" fontId="79" fillId="0" borderId="0" xfId="5" applyFont="1" applyAlignment="1">
      <alignment horizontal="center"/>
    </xf>
    <xf numFmtId="0" fontId="78" fillId="0" borderId="0" xfId="5" applyFont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2 2" xfId="4" xr:uid="{00000000-0005-0000-0000-000002000000}"/>
    <cellStyle name="Normal 2 3" xfId="5" xr:uid="{00000000-0005-0000-0000-000003000000}"/>
    <cellStyle name="Normal 3" xfId="3" xr:uid="{00000000-0005-0000-0000-000004000000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bpfkbanjarbaru/public/alkes_excel_file/ECG_Rec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/>
      <sheetData sheetId="1"/>
      <sheetData sheetId="2"/>
      <sheetData sheetId="3">
        <row r="1">
          <cell r="A1" t="str">
            <v>INPUT DATA KALIBRASI ELECTROCARDIOGRAPH</v>
          </cell>
        </row>
        <row r="2">
          <cell r="I2" t="str">
            <v>10 / III - 21 / E - 003.30 DL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P108"/>
  <sheetViews>
    <sheetView showGridLines="0" view="pageBreakPreview" topLeftCell="C27" zoomScale="80" zoomScaleNormal="80" zoomScaleSheetLayoutView="80" zoomScalePageLayoutView="80" workbookViewId="0">
      <selection activeCell="N32" sqref="N32"/>
    </sheetView>
  </sheetViews>
  <sheetFormatPr defaultColWidth="9.1796875" defaultRowHeight="15.5" x14ac:dyDescent="0.35"/>
  <cols>
    <col min="1" max="1" width="4.7265625" style="668" customWidth="1"/>
    <col min="2" max="2" width="22.81640625" style="1" customWidth="1"/>
    <col min="3" max="3" width="16.7265625" style="1" customWidth="1"/>
    <col min="4" max="4" width="13.26953125" style="1" customWidth="1"/>
    <col min="5" max="5" width="12" style="1" customWidth="1"/>
    <col min="6" max="6" width="11.1796875" style="1" customWidth="1"/>
    <col min="7" max="7" width="11.453125" style="1" customWidth="1"/>
    <col min="8" max="8" width="11.1796875" style="1" customWidth="1"/>
    <col min="9" max="9" width="29.453125" style="1" customWidth="1"/>
    <col min="10" max="10" width="12.453125" style="1" customWidth="1"/>
    <col min="11" max="11" width="15.81640625" style="1" customWidth="1"/>
    <col min="12" max="12" width="8.54296875" style="1" customWidth="1"/>
    <col min="13" max="13" width="15.453125" style="1" customWidth="1"/>
    <col min="14" max="14" width="23.81640625" style="1" customWidth="1"/>
    <col min="15" max="15" width="16.26953125" style="1" customWidth="1"/>
    <col min="16" max="16" width="15.26953125" style="1" customWidth="1"/>
    <col min="17" max="17" width="9.1796875" style="1"/>
    <col min="18" max="18" width="18.1796875" style="1" customWidth="1"/>
    <col min="19" max="16384" width="9.1796875" style="1"/>
  </cols>
  <sheetData>
    <row r="1" spans="1:15" ht="28" customHeight="1" x14ac:dyDescent="0.35">
      <c r="A1" s="829" t="s">
        <v>97</v>
      </c>
      <c r="B1" s="829"/>
      <c r="C1" s="829"/>
      <c r="D1" s="829"/>
      <c r="E1" s="829"/>
      <c r="F1" s="829"/>
      <c r="G1" s="829"/>
      <c r="H1" s="829"/>
      <c r="I1" s="829"/>
      <c r="J1" s="829"/>
      <c r="K1" s="829"/>
      <c r="L1" s="829"/>
    </row>
    <row r="2" spans="1:15" ht="19.5" customHeight="1" x14ac:dyDescent="0.35">
      <c r="E2" s="667" t="str">
        <f>IF(LP!I57&gt;=70,KESIMPULAN!G11,KESIMPULAN!G12)</f>
        <v>Nomor Sertifikat : 33 /</v>
      </c>
      <c r="I2" s="771" t="s">
        <v>98</v>
      </c>
    </row>
    <row r="3" spans="1:15" ht="18.75" customHeight="1" x14ac:dyDescent="0.35">
      <c r="A3" s="596"/>
      <c r="B3" s="596"/>
      <c r="C3" s="596"/>
      <c r="D3" s="596"/>
      <c r="G3" s="596"/>
      <c r="H3" s="596"/>
      <c r="I3" s="596"/>
      <c r="J3" s="596"/>
      <c r="K3" s="596"/>
      <c r="L3" s="596"/>
    </row>
    <row r="4" spans="1:15" ht="18.75" customHeight="1" x14ac:dyDescent="0.35">
      <c r="A4" s="669"/>
      <c r="B4" s="670"/>
      <c r="C4" s="670"/>
      <c r="D4" s="670"/>
      <c r="E4" s="670"/>
      <c r="F4" s="670"/>
      <c r="G4" s="670"/>
      <c r="H4" s="670"/>
      <c r="I4" s="670"/>
      <c r="J4" s="670"/>
      <c r="K4" s="671"/>
      <c r="L4" s="671"/>
    </row>
    <row r="5" spans="1:15" ht="15.75" customHeight="1" x14ac:dyDescent="0.35">
      <c r="A5" s="669"/>
      <c r="B5" s="163"/>
      <c r="C5" s="163"/>
      <c r="D5" s="163"/>
      <c r="E5" s="163"/>
      <c r="F5" s="163"/>
      <c r="G5" s="163"/>
      <c r="H5" s="163"/>
      <c r="I5" s="163"/>
      <c r="J5" s="163"/>
      <c r="K5" s="671"/>
      <c r="L5" s="671"/>
    </row>
    <row r="6" spans="1:15" ht="15.75" customHeight="1" x14ac:dyDescent="0.35">
      <c r="A6" s="617" t="str">
        <f>'Lembar Kerja'!A4</f>
        <v>Merek</v>
      </c>
      <c r="B6" s="89"/>
      <c r="C6" s="619" t="s">
        <v>20</v>
      </c>
      <c r="D6" s="641" t="s">
        <v>99</v>
      </c>
      <c r="E6" s="89"/>
      <c r="F6" s="89"/>
      <c r="G6" s="89"/>
      <c r="H6" s="89"/>
      <c r="I6" s="89"/>
      <c r="J6" s="89"/>
      <c r="K6" s="89"/>
      <c r="L6" s="89"/>
    </row>
    <row r="7" spans="1:15" s="673" customFormat="1" ht="15.75" customHeight="1" x14ac:dyDescent="0.35">
      <c r="A7" s="617" t="str">
        <f>'Lembar Kerja'!A5</f>
        <v xml:space="preserve">Model/Tipe                    </v>
      </c>
      <c r="B7" s="672"/>
      <c r="C7" s="619" t="s">
        <v>20</v>
      </c>
      <c r="D7" s="766" t="s">
        <v>100</v>
      </c>
      <c r="E7" s="672"/>
      <c r="F7" s="672"/>
      <c r="G7" s="672"/>
      <c r="H7" s="672"/>
      <c r="I7" s="672"/>
      <c r="J7" s="672"/>
      <c r="K7" s="672"/>
      <c r="L7" s="672"/>
      <c r="M7" s="1"/>
    </row>
    <row r="8" spans="1:15" ht="15.75" customHeight="1" x14ac:dyDescent="0.35">
      <c r="A8" s="617" t="str">
        <f>'Lembar Kerja'!A6</f>
        <v xml:space="preserve">No. Seri                          </v>
      </c>
      <c r="B8" s="89"/>
      <c r="C8" s="619" t="s">
        <v>20</v>
      </c>
      <c r="D8" s="766" t="s">
        <v>101</v>
      </c>
      <c r="E8" s="89"/>
      <c r="F8" s="89"/>
      <c r="G8" s="89"/>
      <c r="H8" s="89"/>
      <c r="I8" s="89"/>
      <c r="J8" s="89"/>
      <c r="K8" s="89"/>
      <c r="L8" s="89"/>
    </row>
    <row r="9" spans="1:15" ht="15.75" customHeight="1" x14ac:dyDescent="0.35">
      <c r="A9" s="617" t="str">
        <f>'Lembar Kerja'!A7</f>
        <v>Tanggal Penerimaan Alat</v>
      </c>
      <c r="B9" s="89"/>
      <c r="C9" s="619" t="s">
        <v>20</v>
      </c>
      <c r="D9" s="766" t="s">
        <v>102</v>
      </c>
      <c r="E9" s="89"/>
      <c r="F9" s="89"/>
      <c r="G9" s="89"/>
      <c r="H9" s="89"/>
      <c r="I9" s="89"/>
      <c r="J9" s="89"/>
      <c r="K9" s="89"/>
      <c r="L9" s="89"/>
    </row>
    <row r="10" spans="1:15" ht="15.75" customHeight="1" x14ac:dyDescent="0.35">
      <c r="A10" s="617" t="str">
        <f>'Lembar Kerja'!A8</f>
        <v xml:space="preserve">Tanggal Pengujian                            </v>
      </c>
      <c r="B10" s="89"/>
      <c r="C10" s="674" t="s">
        <v>20</v>
      </c>
      <c r="D10" s="766" t="s">
        <v>102</v>
      </c>
      <c r="E10" s="89"/>
      <c r="F10" s="89"/>
      <c r="G10" s="89"/>
      <c r="H10" s="674"/>
      <c r="I10" s="89"/>
      <c r="J10" s="89"/>
      <c r="K10" s="89"/>
      <c r="L10" s="89"/>
    </row>
    <row r="11" spans="1:15" ht="15.75" customHeight="1" x14ac:dyDescent="0.35">
      <c r="A11" s="617" t="str">
        <f>'Lembar Kerja'!A9</f>
        <v xml:space="preserve">Tempat Pengujian                             </v>
      </c>
      <c r="B11" s="89"/>
      <c r="C11" s="619" t="s">
        <v>20</v>
      </c>
      <c r="D11" s="641" t="s">
        <v>103</v>
      </c>
      <c r="E11" s="89"/>
      <c r="F11" s="89"/>
      <c r="G11" s="89"/>
      <c r="H11" s="674"/>
      <c r="I11" s="89"/>
      <c r="J11" s="89"/>
      <c r="K11" s="89"/>
      <c r="L11" s="89"/>
    </row>
    <row r="12" spans="1:15" ht="15.75" customHeight="1" x14ac:dyDescent="0.35">
      <c r="A12" s="617" t="str">
        <f>'Lembar Kerja'!A10</f>
        <v xml:space="preserve">Nama Ruang                                    </v>
      </c>
      <c r="B12" s="89"/>
      <c r="C12" s="619" t="s">
        <v>20</v>
      </c>
      <c r="D12" s="641" t="s">
        <v>103</v>
      </c>
      <c r="E12" s="89"/>
      <c r="F12" s="89"/>
      <c r="G12" s="89"/>
      <c r="H12" s="89"/>
      <c r="I12" s="89"/>
      <c r="J12" s="89"/>
      <c r="K12" s="89"/>
      <c r="L12" s="89"/>
      <c r="M12" s="754"/>
      <c r="N12" s="755"/>
      <c r="O12" s="755"/>
    </row>
    <row r="13" spans="1:15" ht="18.75" customHeight="1" x14ac:dyDescent="0.35">
      <c r="A13" s="617" t="s">
        <v>104</v>
      </c>
      <c r="B13" s="89"/>
      <c r="C13" s="619" t="s">
        <v>20</v>
      </c>
      <c r="D13" s="89" t="s">
        <v>105</v>
      </c>
      <c r="E13" s="89"/>
      <c r="F13" s="89"/>
      <c r="G13" s="89"/>
      <c r="H13" s="89"/>
      <c r="I13" s="89"/>
      <c r="J13" s="672"/>
      <c r="K13" s="89"/>
      <c r="L13" s="89"/>
      <c r="M13" s="756"/>
      <c r="N13" s="757"/>
      <c r="O13" s="757"/>
    </row>
    <row r="14" spans="1:15" ht="18.75" customHeight="1" x14ac:dyDescent="0.35">
      <c r="A14" s="620"/>
      <c r="B14" s="89"/>
      <c r="C14" s="619"/>
      <c r="D14" s="89"/>
      <c r="E14" s="89"/>
      <c r="F14" s="89"/>
      <c r="G14" s="89"/>
      <c r="H14" s="89"/>
      <c r="I14" s="89"/>
      <c r="J14" s="672"/>
      <c r="K14" s="89"/>
      <c r="L14" s="89"/>
      <c r="M14" s="756"/>
      <c r="N14" s="757"/>
      <c r="O14" s="757"/>
    </row>
    <row r="15" spans="1:15" ht="15.75" customHeight="1" x14ac:dyDescent="0.35">
      <c r="A15" s="592" t="s">
        <v>27</v>
      </c>
      <c r="B15" s="592" t="s">
        <v>28</v>
      </c>
      <c r="C15" s="592"/>
      <c r="D15" s="134" t="s">
        <v>4</v>
      </c>
      <c r="E15" s="134" t="s">
        <v>5</v>
      </c>
      <c r="F15" s="675" t="s">
        <v>106</v>
      </c>
      <c r="G15" s="89"/>
      <c r="H15" s="826"/>
      <c r="I15" s="826"/>
      <c r="J15" s="826"/>
      <c r="K15" s="89"/>
      <c r="L15" s="89"/>
      <c r="M15" s="756"/>
      <c r="N15" s="757"/>
      <c r="O15" s="758"/>
    </row>
    <row r="16" spans="1:15" ht="18" customHeight="1" x14ac:dyDescent="0.35">
      <c r="A16" s="592"/>
      <c r="B16" s="618" t="s">
        <v>29</v>
      </c>
      <c r="C16" s="619" t="s">
        <v>20</v>
      </c>
      <c r="D16" s="676">
        <v>26.6</v>
      </c>
      <c r="E16" s="676">
        <v>26.7</v>
      </c>
      <c r="F16" s="677">
        <f>(D16+E16)/2</f>
        <v>26.65</v>
      </c>
      <c r="G16" s="678" t="s">
        <v>30</v>
      </c>
      <c r="H16" s="827"/>
      <c r="I16" s="827"/>
      <c r="J16" s="827"/>
      <c r="K16" s="89"/>
      <c r="L16" s="89"/>
      <c r="M16" s="758"/>
      <c r="N16" s="757"/>
      <c r="O16" s="758"/>
    </row>
    <row r="17" spans="1:42" ht="16.5" customHeight="1" x14ac:dyDescent="0.35">
      <c r="A17" s="592"/>
      <c r="B17" s="672" t="s">
        <v>31</v>
      </c>
      <c r="C17" s="619" t="s">
        <v>20</v>
      </c>
      <c r="D17" s="676">
        <v>66.599999999999994</v>
      </c>
      <c r="E17" s="676">
        <v>66.7</v>
      </c>
      <c r="F17" s="677">
        <f>(D17+E17)/2</f>
        <v>66.650000000000006</v>
      </c>
      <c r="G17" s="89" t="s">
        <v>32</v>
      </c>
      <c r="H17" s="827"/>
      <c r="I17" s="827"/>
      <c r="J17" s="827"/>
      <c r="K17" s="89"/>
      <c r="L17" s="89"/>
    </row>
    <row r="18" spans="1:42" ht="16.5" customHeight="1" x14ac:dyDescent="0.35">
      <c r="A18" s="592"/>
      <c r="B18" s="672" t="s">
        <v>107</v>
      </c>
      <c r="C18" s="619" t="s">
        <v>20</v>
      </c>
      <c r="D18" s="676">
        <v>223.4</v>
      </c>
      <c r="E18" s="680" t="s">
        <v>34</v>
      </c>
      <c r="F18" s="679"/>
      <c r="G18" s="89"/>
      <c r="H18" s="679"/>
      <c r="I18" s="679"/>
      <c r="J18" s="679"/>
      <c r="K18" s="89"/>
      <c r="L18" s="89"/>
    </row>
    <row r="19" spans="1:42" ht="7.5" customHeight="1" x14ac:dyDescent="0.35">
      <c r="A19" s="592"/>
      <c r="B19" s="592"/>
      <c r="C19" s="592"/>
      <c r="D19" s="592"/>
      <c r="E19" s="89"/>
      <c r="F19" s="89"/>
      <c r="G19" s="89"/>
      <c r="H19" s="89"/>
      <c r="I19" s="89"/>
      <c r="J19" s="681"/>
      <c r="K19" s="89"/>
      <c r="L19" s="89"/>
    </row>
    <row r="20" spans="1:42" ht="19.5" customHeight="1" x14ac:dyDescent="0.35">
      <c r="A20" s="592" t="s">
        <v>35</v>
      </c>
      <c r="B20" s="592" t="s">
        <v>36</v>
      </c>
      <c r="C20" s="89"/>
      <c r="D20" s="89"/>
      <c r="E20" s="89"/>
      <c r="F20" s="89"/>
      <c r="G20" s="681"/>
      <c r="H20" s="89"/>
      <c r="I20" s="682"/>
      <c r="J20" s="89"/>
      <c r="K20" s="89"/>
      <c r="L20" s="89"/>
      <c r="N20" s="1" t="s">
        <v>108</v>
      </c>
      <c r="O20" s="2" t="s">
        <v>109</v>
      </c>
    </row>
    <row r="21" spans="1:42" ht="21" customHeight="1" x14ac:dyDescent="0.35">
      <c r="A21" s="592"/>
      <c r="B21" s="89" t="s">
        <v>110</v>
      </c>
      <c r="C21" s="619" t="s">
        <v>20</v>
      </c>
      <c r="D21" s="703" t="s">
        <v>111</v>
      </c>
      <c r="E21" s="89"/>
      <c r="F21" s="89"/>
      <c r="G21" s="684"/>
      <c r="H21" s="828"/>
      <c r="I21" s="828"/>
      <c r="J21" s="828"/>
      <c r="K21" s="828"/>
      <c r="L21" s="89"/>
      <c r="N21" s="1" t="s">
        <v>112</v>
      </c>
      <c r="O21" s="2" t="s">
        <v>109</v>
      </c>
    </row>
    <row r="22" spans="1:42" ht="15.75" customHeight="1" x14ac:dyDescent="0.35">
      <c r="A22" s="592"/>
      <c r="B22" s="89" t="s">
        <v>113</v>
      </c>
      <c r="C22" s="619" t="s">
        <v>20</v>
      </c>
      <c r="D22" s="703" t="s">
        <v>111</v>
      </c>
      <c r="E22" s="89"/>
      <c r="F22" s="684"/>
      <c r="G22" s="684"/>
      <c r="H22" s="828"/>
      <c r="I22" s="828"/>
      <c r="J22" s="828"/>
      <c r="K22" s="828"/>
      <c r="L22" s="89"/>
    </row>
    <row r="23" spans="1:42" ht="18.75" customHeight="1" x14ac:dyDescent="0.35">
      <c r="A23" s="592" t="s">
        <v>41</v>
      </c>
      <c r="B23" s="592" t="s">
        <v>42</v>
      </c>
      <c r="C23" s="89"/>
      <c r="D23" s="89"/>
      <c r="E23" s="89"/>
      <c r="F23" s="89"/>
      <c r="G23" s="89"/>
      <c r="H23" s="89"/>
      <c r="I23" s="89"/>
      <c r="J23" s="681"/>
      <c r="K23" s="89"/>
      <c r="L23" s="89"/>
      <c r="N23" s="1" t="s">
        <v>111</v>
      </c>
    </row>
    <row r="24" spans="1:42" ht="33" customHeight="1" x14ac:dyDescent="0.35">
      <c r="A24" s="592"/>
      <c r="B24" s="623" t="s">
        <v>43</v>
      </c>
      <c r="C24" s="830" t="s">
        <v>44</v>
      </c>
      <c r="D24" s="831"/>
      <c r="E24" s="831"/>
      <c r="F24" s="831"/>
      <c r="G24" s="831"/>
      <c r="H24" s="832"/>
      <c r="I24" s="830" t="s">
        <v>45</v>
      </c>
      <c r="J24" s="832"/>
      <c r="K24" s="623" t="s">
        <v>46</v>
      </c>
      <c r="L24" s="685"/>
      <c r="N24" s="1" t="s">
        <v>114</v>
      </c>
    </row>
    <row r="25" spans="1:42" ht="15.75" customHeight="1" x14ac:dyDescent="0.35">
      <c r="A25" s="592"/>
      <c r="B25" s="134">
        <v>1</v>
      </c>
      <c r="C25" s="686" t="str">
        <f>'Lembar Kerja'!C23</f>
        <v>Resistansi isolasi</v>
      </c>
      <c r="D25" s="687"/>
      <c r="E25" s="687"/>
      <c r="F25" s="687"/>
      <c r="G25" s="688"/>
      <c r="H25" s="689"/>
      <c r="I25" s="782" t="s">
        <v>115</v>
      </c>
      <c r="J25" s="690" t="s">
        <v>116</v>
      </c>
      <c r="K25" s="134" t="str">
        <f>'Lembar Kerja'!I23</f>
        <v>&gt; 2 MΩ</v>
      </c>
      <c r="L25" s="691"/>
    </row>
    <row r="26" spans="1:42" ht="15.75" customHeight="1" x14ac:dyDescent="0.35">
      <c r="A26" s="592"/>
      <c r="B26" s="134">
        <v>2</v>
      </c>
      <c r="C26" s="835" t="s">
        <v>112</v>
      </c>
      <c r="D26" s="836"/>
      <c r="E26" s="836"/>
      <c r="F26" s="836"/>
      <c r="G26" s="836"/>
      <c r="H26" s="837"/>
      <c r="I26" s="782" t="s">
        <v>115</v>
      </c>
      <c r="J26" s="690" t="s">
        <v>117</v>
      </c>
      <c r="K26" s="692" t="str">
        <f>VLOOKUP(C26,N20:O21,2,FALSE)</f>
        <v>≤ 0.2 Ώ</v>
      </c>
      <c r="L26" s="691"/>
      <c r="Q26" s="89" t="s">
        <v>118</v>
      </c>
      <c r="S26" s="89">
        <v>0</v>
      </c>
      <c r="T26" s="89" t="s">
        <v>118</v>
      </c>
    </row>
    <row r="27" spans="1:42" ht="15.75" customHeight="1" x14ac:dyDescent="0.35">
      <c r="A27" s="592"/>
      <c r="B27" s="693">
        <v>3</v>
      </c>
      <c r="C27" s="686" t="s">
        <v>670</v>
      </c>
      <c r="D27" s="687"/>
      <c r="E27" s="687"/>
      <c r="F27" s="687"/>
      <c r="G27" s="687"/>
      <c r="H27" s="689"/>
      <c r="I27" s="782">
        <v>200</v>
      </c>
      <c r="J27" s="690" t="s">
        <v>54</v>
      </c>
      <c r="K27" s="134" t="str">
        <f>VLOOKUP(C27,'Cetik - Cetik'!M3:O4,2,TRUE)</f>
        <v>≤ 500</v>
      </c>
      <c r="L27" s="617"/>
      <c r="M27" s="1">
        <f>VLOOKUP(C27,'Cetik - Cetik'!M3:O4,3,TRUE)</f>
        <v>500</v>
      </c>
      <c r="Q27" s="89" t="s">
        <v>119</v>
      </c>
      <c r="S27" s="89">
        <v>1</v>
      </c>
      <c r="T27" s="89" t="s">
        <v>118</v>
      </c>
    </row>
    <row r="28" spans="1:42" ht="20.149999999999999" customHeight="1" x14ac:dyDescent="0.35">
      <c r="A28" s="592"/>
      <c r="B28" s="694"/>
      <c r="C28" s="617"/>
      <c r="D28" s="617"/>
      <c r="E28" s="617"/>
      <c r="F28" s="617"/>
      <c r="G28" s="135"/>
      <c r="H28" s="617"/>
      <c r="I28" s="619"/>
      <c r="J28" s="618"/>
      <c r="K28" s="691"/>
      <c r="L28" s="691"/>
      <c r="M28" s="695" t="s">
        <v>120</v>
      </c>
      <c r="N28" s="759">
        <v>0</v>
      </c>
      <c r="Q28" s="696" t="s">
        <v>66</v>
      </c>
      <c r="R28" s="696">
        <f>IF(D18="-",0,1)</f>
        <v>1</v>
      </c>
      <c r="S28" s="1">
        <v>2</v>
      </c>
      <c r="T28" s="89" t="str">
        <f>T34</f>
        <v>Pengukuran keselamatan listrik menggunakan Point to Point</v>
      </c>
    </row>
    <row r="29" spans="1:42" ht="20.149999999999999" customHeight="1" x14ac:dyDescent="0.35">
      <c r="A29" s="592" t="s">
        <v>56</v>
      </c>
      <c r="B29" s="592" t="s">
        <v>121</v>
      </c>
      <c r="C29" s="89"/>
      <c r="D29" s="89"/>
      <c r="E29" s="89"/>
      <c r="F29" s="89"/>
      <c r="G29" s="89"/>
      <c r="H29" s="89"/>
      <c r="I29" s="89"/>
      <c r="J29" s="89"/>
      <c r="K29" s="697"/>
      <c r="L29" s="697"/>
      <c r="Q29" s="666" t="s">
        <v>116</v>
      </c>
      <c r="R29" s="696">
        <f>IF(I25="-",0,1)</f>
        <v>0</v>
      </c>
      <c r="S29" s="89">
        <v>3</v>
      </c>
      <c r="T29" s="89" t="s">
        <v>119</v>
      </c>
    </row>
    <row r="30" spans="1:42" ht="18" customHeight="1" x14ac:dyDescent="0.35">
      <c r="A30" s="592"/>
      <c r="B30" s="833" t="s">
        <v>43</v>
      </c>
      <c r="C30" s="833" t="s">
        <v>58</v>
      </c>
      <c r="D30" s="833" t="s">
        <v>59</v>
      </c>
      <c r="E30" s="834" t="s">
        <v>60</v>
      </c>
      <c r="F30" s="834"/>
      <c r="G30" s="834"/>
      <c r="H30" s="834"/>
      <c r="I30" s="834"/>
      <c r="J30" s="834"/>
      <c r="K30" s="819" t="s">
        <v>122</v>
      </c>
      <c r="L30" s="818" t="s">
        <v>123</v>
      </c>
      <c r="M30" s="815"/>
      <c r="N30" s="815"/>
      <c r="Q30" s="666" t="s">
        <v>117</v>
      </c>
      <c r="R30" s="696">
        <f>IF(I26="-",0,1)</f>
        <v>0</v>
      </c>
      <c r="S30" s="1">
        <v>4</v>
      </c>
      <c r="T30" s="698" t="s">
        <v>124</v>
      </c>
    </row>
    <row r="31" spans="1:42" ht="27" customHeight="1" x14ac:dyDescent="0.35">
      <c r="A31" s="592"/>
      <c r="B31" s="833"/>
      <c r="C31" s="833"/>
      <c r="D31" s="833"/>
      <c r="E31" s="699" t="s">
        <v>62</v>
      </c>
      <c r="F31" s="699" t="s">
        <v>63</v>
      </c>
      <c r="G31" s="699" t="s">
        <v>64</v>
      </c>
      <c r="H31" s="699" t="s">
        <v>65</v>
      </c>
      <c r="I31" s="699" t="s">
        <v>66</v>
      </c>
      <c r="J31" s="699" t="s">
        <v>67</v>
      </c>
      <c r="K31" s="819"/>
      <c r="L31" s="818"/>
      <c r="M31" s="616"/>
      <c r="N31" s="73"/>
      <c r="Q31" s="666" t="s">
        <v>54</v>
      </c>
      <c r="R31" s="696">
        <f>IF(I27="-",0,1)</f>
        <v>1</v>
      </c>
    </row>
    <row r="32" spans="1:42" ht="49.5" customHeight="1" x14ac:dyDescent="0.35">
      <c r="A32" s="592"/>
      <c r="B32" s="134">
        <v>1</v>
      </c>
      <c r="C32" s="631" t="s">
        <v>68</v>
      </c>
      <c r="D32" s="812" t="s">
        <v>69</v>
      </c>
      <c r="E32" s="700">
        <v>2000</v>
      </c>
      <c r="F32" s="700">
        <v>2000</v>
      </c>
      <c r="G32" s="700">
        <v>2000</v>
      </c>
      <c r="H32" s="700">
        <v>2000</v>
      </c>
      <c r="I32" s="700">
        <v>2000</v>
      </c>
      <c r="J32" s="700">
        <v>2001</v>
      </c>
      <c r="K32" s="763">
        <f>AVERAGE(E32:J32)</f>
        <v>2000.1666666666667</v>
      </c>
      <c r="L32" s="763">
        <f>STDEV(E32:J32)</f>
        <v>0.40824829046386302</v>
      </c>
      <c r="M32" s="760"/>
      <c r="N32" s="761"/>
      <c r="Q32" s="73" t="s">
        <v>125</v>
      </c>
      <c r="R32" s="73">
        <f>SUM(R28:R31)</f>
        <v>2</v>
      </c>
      <c r="T32" s="1" t="str">
        <f>VLOOKUP(R32,S26:T30,2,FALSE)</f>
        <v>Pengukuran keselamatan listrik menggunakan Point to Point</v>
      </c>
      <c r="AP32" s="2"/>
    </row>
    <row r="33" spans="1:42" ht="49.5" customHeight="1" x14ac:dyDescent="0.35">
      <c r="A33" s="592"/>
      <c r="B33" s="134">
        <v>2</v>
      </c>
      <c r="C33" s="631" t="s">
        <v>71</v>
      </c>
      <c r="D33" s="813"/>
      <c r="E33" s="700">
        <v>71</v>
      </c>
      <c r="F33" s="700">
        <v>70</v>
      </c>
      <c r="G33" s="700">
        <v>71</v>
      </c>
      <c r="H33" s="700">
        <v>70</v>
      </c>
      <c r="I33" s="700">
        <v>70</v>
      </c>
      <c r="J33" s="700">
        <v>71</v>
      </c>
      <c r="K33" s="763">
        <f>AVERAGE(E33:J33)</f>
        <v>70.5</v>
      </c>
      <c r="L33" s="763">
        <f>STDEV(E33:J33)</f>
        <v>0.54772255750516607</v>
      </c>
      <c r="M33" s="760"/>
      <c r="N33" s="761"/>
      <c r="AP33" s="2"/>
    </row>
    <row r="34" spans="1:42" ht="49.5" customHeight="1" x14ac:dyDescent="0.35">
      <c r="A34" s="592"/>
      <c r="B34" s="134">
        <v>3</v>
      </c>
      <c r="C34" s="631" t="s">
        <v>73</v>
      </c>
      <c r="D34" s="814"/>
      <c r="E34" s="676">
        <v>50</v>
      </c>
      <c r="F34" s="676">
        <v>50</v>
      </c>
      <c r="G34" s="676">
        <v>50</v>
      </c>
      <c r="H34" s="676">
        <v>50</v>
      </c>
      <c r="I34" s="676">
        <v>50</v>
      </c>
      <c r="J34" s="676">
        <v>51</v>
      </c>
      <c r="K34" s="677">
        <f>AVERAGE(E34:J34)</f>
        <v>50.166666666666664</v>
      </c>
      <c r="L34" s="763">
        <f>STDEV(E34:J34)</f>
        <v>0.40824829046386302</v>
      </c>
      <c r="M34" s="760"/>
      <c r="N34" s="761"/>
      <c r="T34" s="1" t="str">
        <f>IF(I25="-",Q27,Q26)</f>
        <v>Pengukuran keselamatan listrik menggunakan Point to Point</v>
      </c>
      <c r="AP34" s="2"/>
    </row>
    <row r="35" spans="1:42" ht="14.15" customHeight="1" x14ac:dyDescent="0.35">
      <c r="A35" s="592"/>
      <c r="B35" s="89"/>
      <c r="C35" s="89"/>
      <c r="D35" s="89"/>
      <c r="E35" s="89"/>
      <c r="F35" s="592"/>
      <c r="G35" s="592"/>
      <c r="H35" s="592"/>
      <c r="I35" s="89"/>
      <c r="J35" s="89"/>
      <c r="K35" s="89"/>
      <c r="L35" s="89"/>
    </row>
    <row r="36" spans="1:42" ht="20.149999999999999" customHeight="1" x14ac:dyDescent="0.35">
      <c r="A36" s="701" t="s">
        <v>126</v>
      </c>
      <c r="B36" s="702" t="s">
        <v>127</v>
      </c>
      <c r="C36" s="703"/>
      <c r="D36" s="703"/>
      <c r="E36" s="703"/>
      <c r="F36" s="701"/>
      <c r="G36" s="701"/>
      <c r="H36" s="701"/>
      <c r="I36" s="703"/>
      <c r="J36" s="703"/>
      <c r="K36" s="703"/>
      <c r="L36" s="703"/>
      <c r="M36" s="704"/>
    </row>
    <row r="37" spans="1:42" ht="20.149999999999999" customHeight="1" x14ac:dyDescent="0.35">
      <c r="A37" s="701"/>
      <c r="B37" s="705" t="s">
        <v>128</v>
      </c>
      <c r="C37" s="703"/>
      <c r="D37" s="703"/>
      <c r="E37" s="703"/>
      <c r="F37" s="701"/>
      <c r="G37" s="701"/>
      <c r="H37" s="701"/>
      <c r="I37" s="703"/>
      <c r="J37" s="703"/>
      <c r="K37" s="703"/>
      <c r="L37" s="703"/>
    </row>
    <row r="38" spans="1:42" ht="20.149999999999999" customHeight="1" x14ac:dyDescent="0.35">
      <c r="A38" s="701"/>
      <c r="B38" s="762" t="str">
        <f>'DB ESA 2023'!N311</f>
        <v>Hasil pengukuran keselamatan listrik tertelusur ke Satuan Internasional ( SI ) melalui PT. Kaliman (LK-032-IDN)</v>
      </c>
      <c r="C38" s="703"/>
      <c r="D38" s="703"/>
      <c r="E38" s="703"/>
      <c r="F38" s="701"/>
      <c r="G38" s="701"/>
      <c r="H38" s="701"/>
      <c r="I38" s="703"/>
      <c r="J38" s="703"/>
      <c r="K38" s="703"/>
      <c r="L38" s="703"/>
    </row>
    <row r="39" spans="1:42" ht="17.149999999999999" customHeight="1" x14ac:dyDescent="0.35">
      <c r="A39" s="701"/>
      <c r="B39" s="703" t="str">
        <f>VLOOKUP(B46,C92:D97,2,0)</f>
        <v>Hasil pengujian kinerja Color Temperatur tertelusur ke Satuan Internasional ( SI ) melalui KONICA MINOLTA</v>
      </c>
      <c r="C39" s="703"/>
      <c r="D39" s="703"/>
      <c r="E39" s="703"/>
      <c r="F39" s="701"/>
      <c r="G39" s="701"/>
      <c r="H39" s="701"/>
      <c r="I39" s="703"/>
      <c r="J39" s="703"/>
      <c r="K39" s="703"/>
      <c r="L39" s="703"/>
    </row>
    <row r="40" spans="1:42" ht="20.5" customHeight="1" x14ac:dyDescent="0.35">
      <c r="A40" s="701"/>
      <c r="B40" s="703" t="str">
        <f>VLOOKUP(B46,K92:L97,2,0)</f>
        <v>Hasil pengujian kinerja Color Rendering tertelusur ke Satuan Internasional ( SI ) melalui KONICA MINOLTA</v>
      </c>
      <c r="C40" s="703"/>
      <c r="D40" s="703"/>
      <c r="E40" s="703"/>
      <c r="F40" s="701"/>
      <c r="G40" s="701"/>
      <c r="H40" s="701"/>
      <c r="I40" s="703"/>
      <c r="J40" s="703"/>
      <c r="K40" s="703"/>
      <c r="L40" s="703"/>
    </row>
    <row r="41" spans="1:42" ht="20.5" customHeight="1" x14ac:dyDescent="0.35">
      <c r="A41" s="701"/>
      <c r="B41" s="703" t="str">
        <f>VLOOKUP(B46,R92:S97,2,0)</f>
        <v>Hasil pengujian kinerja Central Illuminance tertelusur ke Satuan Internasional ( SI ) melalui KONICA MINOLTA</v>
      </c>
      <c r="C41" s="703"/>
      <c r="D41" s="703"/>
      <c r="E41" s="703"/>
      <c r="F41" s="701"/>
      <c r="G41" s="701"/>
      <c r="H41" s="701"/>
      <c r="I41" s="703"/>
      <c r="J41" s="703"/>
      <c r="K41" s="703"/>
      <c r="L41" s="703"/>
    </row>
    <row r="42" spans="1:42" ht="19.5" customHeight="1" x14ac:dyDescent="0.35">
      <c r="A42" s="701"/>
      <c r="B42" s="683" t="str">
        <f>T32</f>
        <v>Pengukuran keselamatan listrik menggunakan Point to Point</v>
      </c>
      <c r="C42" s="703"/>
      <c r="D42" s="703"/>
      <c r="E42" s="703"/>
      <c r="F42" s="701"/>
      <c r="G42" s="701"/>
      <c r="H42" s="701"/>
      <c r="I42" s="703"/>
      <c r="J42" s="703"/>
      <c r="K42" s="703"/>
      <c r="L42" s="703"/>
    </row>
    <row r="43" spans="1:42" ht="20.5" hidden="1" customHeight="1" x14ac:dyDescent="0.35">
      <c r="A43" s="701"/>
      <c r="B43" s="703" t="str">
        <f>M70</f>
        <v>Alat tidak boleh digunakan pada instalasi yang tanpa dilengkapi grounding</v>
      </c>
      <c r="C43" s="703"/>
      <c r="D43" s="703"/>
      <c r="E43" s="703"/>
      <c r="F43" s="701"/>
      <c r="G43" s="701"/>
      <c r="H43" s="701"/>
      <c r="I43" s="703"/>
      <c r="J43" s="703"/>
      <c r="K43" s="703"/>
      <c r="L43" s="703"/>
    </row>
    <row r="44" spans="1:42" ht="9" customHeight="1" x14ac:dyDescent="0.35">
      <c r="A44" s="701"/>
      <c r="B44" s="703"/>
      <c r="C44" s="703"/>
      <c r="D44" s="703"/>
      <c r="E44" s="703"/>
      <c r="F44" s="701"/>
      <c r="G44" s="701"/>
      <c r="H44" s="701"/>
      <c r="I44" s="703"/>
      <c r="J44" s="703"/>
      <c r="K44" s="703"/>
      <c r="L44" s="703"/>
    </row>
    <row r="45" spans="1:42" ht="19.5" customHeight="1" x14ac:dyDescent="0.35">
      <c r="A45" s="701" t="s">
        <v>79</v>
      </c>
      <c r="B45" s="701" t="s">
        <v>129</v>
      </c>
      <c r="C45" s="703"/>
      <c r="D45" s="703"/>
      <c r="E45" s="703"/>
      <c r="F45" s="701"/>
      <c r="G45" s="701"/>
      <c r="H45" s="701"/>
      <c r="I45" s="703"/>
      <c r="J45" s="703"/>
      <c r="K45" s="703"/>
      <c r="L45" s="703"/>
    </row>
    <row r="46" spans="1:42" ht="19.5" customHeight="1" x14ac:dyDescent="0.35">
      <c r="A46" s="701"/>
      <c r="B46" s="783" t="s">
        <v>130</v>
      </c>
      <c r="C46" s="642"/>
      <c r="D46" s="642"/>
      <c r="E46" s="642"/>
      <c r="F46" s="642"/>
      <c r="G46" s="642"/>
      <c r="H46" s="642"/>
      <c r="I46" s="703"/>
      <c r="J46" s="703"/>
      <c r="K46" s="703"/>
      <c r="L46" s="703"/>
    </row>
    <row r="47" spans="1:42" ht="19.5" customHeight="1" x14ac:dyDescent="0.35">
      <c r="A47" s="701"/>
      <c r="B47" s="783" t="s">
        <v>131</v>
      </c>
      <c r="C47" s="642"/>
      <c r="D47" s="642"/>
      <c r="E47" s="642"/>
      <c r="F47" s="642"/>
      <c r="G47" s="642"/>
      <c r="H47" s="642"/>
      <c r="I47" s="703"/>
      <c r="J47" s="703"/>
      <c r="K47" s="703"/>
      <c r="L47" s="703"/>
    </row>
    <row r="48" spans="1:42" ht="18" customHeight="1" x14ac:dyDescent="0.35">
      <c r="A48" s="701"/>
      <c r="B48" s="783" t="s">
        <v>132</v>
      </c>
      <c r="C48" s="642"/>
      <c r="D48" s="642"/>
      <c r="E48" s="642"/>
      <c r="F48" s="642"/>
      <c r="G48" s="642"/>
      <c r="H48" s="642"/>
      <c r="I48" s="703"/>
      <c r="J48" s="703"/>
      <c r="K48" s="703"/>
      <c r="L48" s="705"/>
    </row>
    <row r="49" spans="1:32" ht="8.25" customHeight="1" x14ac:dyDescent="0.35">
      <c r="A49" s="701"/>
      <c r="B49" s="703"/>
      <c r="C49" s="703"/>
      <c r="D49" s="703"/>
      <c r="E49" s="703"/>
      <c r="F49" s="701"/>
      <c r="G49" s="701"/>
      <c r="H49" s="701"/>
      <c r="I49" s="703"/>
      <c r="J49" s="703"/>
      <c r="K49" s="703"/>
      <c r="L49" s="705"/>
    </row>
    <row r="50" spans="1:32" ht="19.5" customHeight="1" x14ac:dyDescent="0.35">
      <c r="A50" s="701" t="s">
        <v>91</v>
      </c>
      <c r="B50" s="706" t="s">
        <v>92</v>
      </c>
      <c r="C50" s="703"/>
      <c r="D50" s="703"/>
      <c r="E50" s="703"/>
      <c r="F50" s="701"/>
      <c r="G50" s="701"/>
      <c r="H50" s="701"/>
      <c r="I50" s="703"/>
      <c r="J50" s="703"/>
      <c r="K50" s="703"/>
      <c r="L50" s="703"/>
      <c r="M50" s="89"/>
      <c r="N50" s="707" t="s">
        <v>133</v>
      </c>
      <c r="O50" s="89"/>
      <c r="P50" s="89"/>
    </row>
    <row r="51" spans="1:32" ht="20.149999999999999" customHeight="1" x14ac:dyDescent="0.35">
      <c r="A51" s="701"/>
      <c r="B51" s="820" t="str">
        <f>IF(LP!I57&gt;=70,KESIMPULAN!H11,KESIMPULAN!H12)</f>
        <v>Alat yang diuji dalam batas toleransi dan dinyatakan LAIK PAKAI, dimana hasil atau skor akhir sama dengan atau melampaui 70 % berdasarkan Keputusan Direktur Jenderal Pelayanan Kesehatan No : HK.02.02/V/0412/2020</v>
      </c>
      <c r="C51" s="820"/>
      <c r="D51" s="820"/>
      <c r="E51" s="820"/>
      <c r="F51" s="820"/>
      <c r="G51" s="820"/>
      <c r="H51" s="820"/>
      <c r="I51" s="820"/>
      <c r="J51" s="703"/>
      <c r="K51" s="703"/>
      <c r="L51" s="703"/>
      <c r="M51" s="89"/>
      <c r="N51" s="708" t="s">
        <v>115</v>
      </c>
      <c r="O51" s="89"/>
      <c r="P51" s="89"/>
    </row>
    <row r="52" spans="1:32" ht="24.75" customHeight="1" x14ac:dyDescent="0.35">
      <c r="A52" s="701"/>
      <c r="B52" s="820"/>
      <c r="C52" s="820"/>
      <c r="D52" s="820"/>
      <c r="E52" s="820"/>
      <c r="F52" s="820"/>
      <c r="G52" s="820"/>
      <c r="H52" s="820"/>
      <c r="I52" s="820"/>
      <c r="J52" s="703"/>
      <c r="K52" s="703"/>
      <c r="L52" s="703"/>
      <c r="M52" s="89"/>
      <c r="N52" s="89"/>
      <c r="O52" s="89"/>
      <c r="P52" s="89"/>
    </row>
    <row r="53" spans="1:32" ht="9" customHeight="1" x14ac:dyDescent="0.35">
      <c r="A53" s="701"/>
      <c r="B53" s="703"/>
      <c r="C53" s="703"/>
      <c r="D53" s="703"/>
      <c r="E53" s="703"/>
      <c r="F53" s="701"/>
      <c r="G53" s="701"/>
      <c r="H53" s="701"/>
      <c r="I53" s="703"/>
      <c r="J53" s="703"/>
      <c r="K53" s="703"/>
      <c r="L53" s="703"/>
      <c r="M53" s="89"/>
      <c r="N53" s="89"/>
      <c r="O53" s="89"/>
      <c r="P53" s="89"/>
    </row>
    <row r="54" spans="1:32" ht="20.149999999999999" customHeight="1" x14ac:dyDescent="0.35">
      <c r="A54" s="701" t="s">
        <v>134</v>
      </c>
      <c r="B54" s="709" t="s">
        <v>135</v>
      </c>
      <c r="C54" s="703"/>
      <c r="D54" s="703"/>
      <c r="E54" s="703"/>
      <c r="F54" s="701"/>
      <c r="G54" s="701"/>
      <c r="H54" s="701"/>
      <c r="I54" s="703"/>
      <c r="J54" s="703"/>
      <c r="K54" s="703"/>
      <c r="L54" s="710"/>
      <c r="M54" s="711"/>
      <c r="N54" s="711"/>
      <c r="O54" s="711"/>
      <c r="P54" s="712" t="s">
        <v>136</v>
      </c>
    </row>
    <row r="55" spans="1:32" ht="20.149999999999999" customHeight="1" x14ac:dyDescent="0.35">
      <c r="A55" s="701"/>
      <c r="B55" s="703" t="s">
        <v>137</v>
      </c>
      <c r="C55" s="703"/>
      <c r="D55" s="703"/>
      <c r="E55" s="703"/>
      <c r="F55" s="701"/>
      <c r="G55" s="701"/>
      <c r="H55" s="701"/>
      <c r="I55" s="703"/>
      <c r="J55" s="703"/>
      <c r="K55" s="703"/>
      <c r="L55" s="713"/>
      <c r="M55" s="711"/>
      <c r="N55" s="89" t="s">
        <v>118</v>
      </c>
      <c r="O55" s="714">
        <f>IF(M58="-",20,IF(M58&lt;=M59,M62,IF(M58&gt;M59,0)))</f>
        <v>30</v>
      </c>
      <c r="P55" s="821">
        <f>VLOOKUP(B42,N55:O57,2,FALSE)</f>
        <v>20</v>
      </c>
    </row>
    <row r="56" spans="1:32" ht="14.25" customHeight="1" x14ac:dyDescent="0.35">
      <c r="A56" s="701"/>
      <c r="B56" s="641"/>
      <c r="C56" s="703"/>
      <c r="D56" s="703"/>
      <c r="E56" s="703"/>
      <c r="F56" s="701"/>
      <c r="G56" s="701"/>
      <c r="H56" s="701"/>
      <c r="I56" s="703"/>
      <c r="J56" s="703"/>
      <c r="K56" s="703"/>
      <c r="L56" s="703" t="s">
        <v>138</v>
      </c>
      <c r="M56" s="711"/>
      <c r="N56" s="708" t="s">
        <v>124</v>
      </c>
      <c r="O56" s="714">
        <f>M63</f>
        <v>30</v>
      </c>
      <c r="P56" s="822"/>
    </row>
    <row r="57" spans="1:32" ht="20.149999999999999" customHeight="1" x14ac:dyDescent="0.35">
      <c r="A57" s="701" t="s">
        <v>139</v>
      </c>
      <c r="B57" s="701" t="s">
        <v>140</v>
      </c>
      <c r="C57" s="703"/>
      <c r="D57" s="703"/>
      <c r="E57" s="715"/>
      <c r="F57" s="715"/>
      <c r="G57" s="715"/>
      <c r="H57" s="715"/>
      <c r="I57" s="715"/>
      <c r="J57" s="715"/>
      <c r="K57" s="715"/>
      <c r="L57" s="703"/>
      <c r="M57" s="711"/>
      <c r="N57" s="716" t="s">
        <v>119</v>
      </c>
      <c r="O57" s="707">
        <v>20</v>
      </c>
      <c r="P57" s="711"/>
    </row>
    <row r="58" spans="1:32" ht="20.149999999999999" customHeight="1" x14ac:dyDescent="0.35">
      <c r="A58" s="701"/>
      <c r="B58" s="717" t="s">
        <v>102</v>
      </c>
      <c r="C58" s="703"/>
      <c r="D58" s="703"/>
      <c r="E58" s="703"/>
      <c r="F58" s="703"/>
      <c r="G58" s="703"/>
      <c r="H58" s="703"/>
      <c r="I58" s="703"/>
      <c r="J58" s="703"/>
      <c r="K58" s="703"/>
      <c r="L58" s="703"/>
      <c r="M58" s="711">
        <f>'DB ESA 2023'!O271</f>
        <v>211.03574274331245</v>
      </c>
      <c r="N58" s="718">
        <f>IF(M58&gt;M59,M60,IF(M58&lt;=M59,M58))</f>
        <v>211.03574274331245</v>
      </c>
      <c r="O58" s="711"/>
      <c r="P58" s="711"/>
      <c r="Q58" s="817"/>
      <c r="R58" s="817"/>
    </row>
    <row r="59" spans="1:32" ht="20.25" customHeight="1" x14ac:dyDescent="0.35">
      <c r="L59" s="6"/>
      <c r="M59" s="719">
        <f>M27</f>
        <v>500</v>
      </c>
      <c r="N59" s="718">
        <f>'DB ESA 2023'!O272</f>
        <v>13.532498577120091</v>
      </c>
      <c r="O59" s="711"/>
      <c r="P59" s="711"/>
      <c r="Q59" s="817"/>
      <c r="R59" s="817"/>
    </row>
    <row r="60" spans="1:32" ht="20.25" customHeight="1" x14ac:dyDescent="0.35">
      <c r="M60" s="711">
        <f>N28</f>
        <v>0</v>
      </c>
      <c r="N60" s="718">
        <f>IF(M58&lt;=M59,M62,IF(N59&lt;=100,M62,0))</f>
        <v>30</v>
      </c>
      <c r="O60" s="711"/>
      <c r="P60" s="711"/>
    </row>
    <row r="61" spans="1:32" ht="20.25" customHeight="1" x14ac:dyDescent="0.35">
      <c r="M61" s="711"/>
      <c r="N61" s="711"/>
      <c r="O61" s="711"/>
      <c r="P61" s="711"/>
      <c r="Z61" s="6"/>
      <c r="AA61" s="6"/>
      <c r="AB61" s="720"/>
      <c r="AC61" s="720"/>
      <c r="AD61" s="720"/>
      <c r="AE61" s="6"/>
      <c r="AF61" s="6"/>
    </row>
    <row r="62" spans="1:32" ht="20.25" customHeight="1" x14ac:dyDescent="0.35">
      <c r="M62" s="169">
        <f>SUM(LP!K23:K25)</f>
        <v>30</v>
      </c>
      <c r="N62" s="721"/>
      <c r="O62" s="169"/>
      <c r="P62" s="169"/>
    </row>
    <row r="63" spans="1:32" ht="20.25" customHeight="1" x14ac:dyDescent="0.35">
      <c r="M63" s="722">
        <f>N60</f>
        <v>30</v>
      </c>
      <c r="N63" s="169"/>
      <c r="O63" s="169"/>
      <c r="P63" s="169"/>
    </row>
    <row r="64" spans="1:32" ht="20.25" customHeight="1" thickBot="1" x14ac:dyDescent="0.4">
      <c r="B64" s="723" t="s">
        <v>141</v>
      </c>
    </row>
    <row r="65" spans="2:39" ht="20.25" customHeight="1" x14ac:dyDescent="0.35">
      <c r="B65" s="723" t="s">
        <v>142</v>
      </c>
      <c r="M65" s="724"/>
      <c r="N65" s="725">
        <v>0</v>
      </c>
      <c r="O65" s="726" t="s">
        <v>124</v>
      </c>
      <c r="P65" s="727"/>
      <c r="Q65" s="728"/>
    </row>
    <row r="66" spans="2:39" ht="20.25" customHeight="1" thickBot="1" x14ac:dyDescent="0.4">
      <c r="B66" s="723" t="s">
        <v>143</v>
      </c>
      <c r="M66" s="729">
        <f>N60</f>
        <v>30</v>
      </c>
      <c r="N66" s="730">
        <v>10</v>
      </c>
      <c r="O66" s="169" t="s">
        <v>144</v>
      </c>
      <c r="P66" s="169"/>
      <c r="Q66" s="731"/>
    </row>
    <row r="67" spans="2:39" ht="20.25" customHeight="1" x14ac:dyDescent="0.35">
      <c r="B67" s="723" t="s">
        <v>137</v>
      </c>
      <c r="M67" s="729"/>
      <c r="N67" s="730">
        <v>20</v>
      </c>
      <c r="O67" s="726" t="s">
        <v>124</v>
      </c>
      <c r="P67" s="169"/>
      <c r="Q67" s="731"/>
    </row>
    <row r="68" spans="2:39" ht="20.25" customHeight="1" thickBot="1" x14ac:dyDescent="0.4">
      <c r="B68" s="723" t="s">
        <v>145</v>
      </c>
      <c r="M68" s="732"/>
      <c r="N68" s="73">
        <v>30</v>
      </c>
      <c r="O68" s="169" t="s">
        <v>144</v>
      </c>
      <c r="P68" s="733"/>
      <c r="Q68" s="734"/>
    </row>
    <row r="69" spans="2:39" ht="20.25" customHeight="1" thickBot="1" x14ac:dyDescent="0.4">
      <c r="B69" s="723"/>
      <c r="M69" s="169"/>
      <c r="N69" s="735">
        <v>40</v>
      </c>
      <c r="O69" s="736" t="s">
        <v>124</v>
      </c>
      <c r="P69" s="169"/>
      <c r="Q69" s="169"/>
    </row>
    <row r="70" spans="2:39" x14ac:dyDescent="0.35">
      <c r="B70" s="723" t="s">
        <v>146</v>
      </c>
      <c r="M70" s="825" t="str">
        <f>VLOOKUP(M66,N65:Q69,2,0)</f>
        <v>Alat tidak boleh digunakan pada instalasi yang tanpa dilengkapi grounding</v>
      </c>
      <c r="N70" s="825"/>
      <c r="O70" s="825"/>
      <c r="P70" s="825"/>
      <c r="Q70" s="825"/>
    </row>
    <row r="71" spans="2:39" x14ac:dyDescent="0.35">
      <c r="B71" s="723" t="s">
        <v>147</v>
      </c>
    </row>
    <row r="72" spans="2:39" x14ac:dyDescent="0.35">
      <c r="B72" s="723" t="s">
        <v>148</v>
      </c>
    </row>
    <row r="73" spans="2:39" x14ac:dyDescent="0.35">
      <c r="B73" s="723" t="s">
        <v>149</v>
      </c>
    </row>
    <row r="74" spans="2:39" x14ac:dyDescent="0.35">
      <c r="B74" s="723" t="s">
        <v>150</v>
      </c>
    </row>
    <row r="75" spans="2:39" x14ac:dyDescent="0.35">
      <c r="B75" s="723" t="s">
        <v>151</v>
      </c>
    </row>
    <row r="76" spans="2:39" x14ac:dyDescent="0.35">
      <c r="B76" s="723" t="s">
        <v>152</v>
      </c>
      <c r="AB76" s="823"/>
      <c r="AC76" s="823"/>
      <c r="AD76" s="823"/>
      <c r="AE76" s="823"/>
      <c r="AF76" s="823"/>
      <c r="AG76" s="823"/>
      <c r="AH76" s="823"/>
      <c r="AI76" s="823"/>
      <c r="AJ76" s="823"/>
      <c r="AK76" s="823"/>
      <c r="AL76" s="823"/>
      <c r="AM76" s="823"/>
    </row>
    <row r="77" spans="2:39" x14ac:dyDescent="0.35">
      <c r="B77" s="723" t="s">
        <v>153</v>
      </c>
      <c r="AB77" s="824"/>
      <c r="AC77" s="824"/>
      <c r="AD77" s="824"/>
      <c r="AE77" s="824"/>
      <c r="AF77" s="824"/>
      <c r="AG77" s="824"/>
      <c r="AH77" s="824"/>
      <c r="AI77" s="824"/>
      <c r="AJ77" s="737"/>
      <c r="AK77" s="737"/>
      <c r="AL77" s="738"/>
      <c r="AM77" s="738"/>
    </row>
    <row r="78" spans="2:39" x14ac:dyDescent="0.35">
      <c r="B78" s="723" t="s">
        <v>154</v>
      </c>
      <c r="AB78" s="824"/>
      <c r="AC78" s="824"/>
      <c r="AD78" s="824"/>
      <c r="AE78" s="824"/>
      <c r="AF78" s="824"/>
      <c r="AG78" s="824"/>
      <c r="AH78" s="824"/>
      <c r="AI78" s="824"/>
      <c r="AJ78" s="739"/>
      <c r="AK78" s="737"/>
      <c r="AL78" s="738"/>
      <c r="AM78" s="738"/>
    </row>
    <row r="79" spans="2:39" x14ac:dyDescent="0.35">
      <c r="B79" s="723" t="s">
        <v>155</v>
      </c>
      <c r="AB79" s="6"/>
      <c r="AC79" s="6"/>
      <c r="AD79" s="6"/>
      <c r="AE79" s="6"/>
      <c r="AF79" s="740"/>
      <c r="AG79" s="740"/>
      <c r="AH79" s="740"/>
      <c r="AI79" s="6"/>
      <c r="AJ79" s="6"/>
    </row>
    <row r="80" spans="2:39" ht="17.5" x14ac:dyDescent="0.35">
      <c r="B80" s="723" t="s">
        <v>156</v>
      </c>
      <c r="AB80" s="816"/>
      <c r="AC80" s="816"/>
      <c r="AD80" s="816"/>
      <c r="AE80" s="741"/>
      <c r="AF80" s="740"/>
      <c r="AG80" s="740"/>
      <c r="AH80" s="740"/>
      <c r="AI80" s="6"/>
      <c r="AJ80" s="6"/>
      <c r="AK80" s="742"/>
      <c r="AL80" s="817"/>
      <c r="AM80" s="817"/>
    </row>
    <row r="81" spans="2:39" ht="17.5" x14ac:dyDescent="0.35">
      <c r="B81" s="723" t="s">
        <v>157</v>
      </c>
      <c r="AB81" s="816"/>
      <c r="AC81" s="816"/>
      <c r="AD81" s="816"/>
      <c r="AE81" s="741"/>
      <c r="AF81" s="740"/>
      <c r="AG81" s="740"/>
      <c r="AH81" s="740"/>
      <c r="AI81" s="6"/>
      <c r="AJ81" s="6"/>
      <c r="AK81" s="743"/>
      <c r="AL81" s="817"/>
      <c r="AM81" s="817"/>
    </row>
    <row r="82" spans="2:39" ht="17.5" x14ac:dyDescent="0.35">
      <c r="B82" s="723" t="s">
        <v>158</v>
      </c>
      <c r="C82" s="744"/>
      <c r="AB82" s="816"/>
      <c r="AC82" s="816"/>
      <c r="AD82" s="816"/>
      <c r="AE82" s="745"/>
      <c r="AF82" s="6"/>
      <c r="AG82" s="6"/>
      <c r="AH82" s="6"/>
      <c r="AI82" s="6"/>
      <c r="AJ82" s="6"/>
      <c r="AK82" s="746"/>
      <c r="AL82" s="817"/>
      <c r="AM82" s="817"/>
    </row>
    <row r="83" spans="2:39" ht="17.5" x14ac:dyDescent="0.35">
      <c r="B83" s="723" t="s">
        <v>159</v>
      </c>
      <c r="C83" s="6"/>
      <c r="H83" s="1" t="s">
        <v>138</v>
      </c>
      <c r="AB83" s="816"/>
      <c r="AC83" s="816"/>
      <c r="AD83" s="816"/>
      <c r="AE83" s="747"/>
      <c r="AF83" s="6"/>
      <c r="AG83" s="6"/>
      <c r="AH83" s="744"/>
      <c r="AI83" s="748"/>
      <c r="AJ83" s="6"/>
      <c r="AK83" s="746"/>
      <c r="AL83" s="817"/>
      <c r="AM83" s="817"/>
    </row>
    <row r="84" spans="2:39" ht="17.5" x14ac:dyDescent="0.35">
      <c r="B84" s="723" t="s">
        <v>160</v>
      </c>
      <c r="C84" s="6"/>
      <c r="AB84" s="816"/>
      <c r="AC84" s="816"/>
      <c r="AD84" s="816"/>
      <c r="AE84" s="747"/>
      <c r="AF84" s="6"/>
      <c r="AG84" s="6"/>
      <c r="AH84" s="744"/>
      <c r="AI84" s="748"/>
      <c r="AJ84" s="6"/>
      <c r="AK84" s="752"/>
      <c r="AL84" s="817"/>
      <c r="AM84" s="817"/>
    </row>
    <row r="85" spans="2:39" x14ac:dyDescent="0.35">
      <c r="B85" s="723" t="s">
        <v>161</v>
      </c>
      <c r="C85" s="6"/>
      <c r="I85" s="749"/>
      <c r="AB85" s="816"/>
      <c r="AC85" s="816"/>
      <c r="AD85" s="816"/>
      <c r="AE85" s="741"/>
      <c r="AF85" s="6"/>
    </row>
    <row r="86" spans="2:39" x14ac:dyDescent="0.35">
      <c r="B86" s="723" t="s">
        <v>162</v>
      </c>
      <c r="C86" s="6"/>
      <c r="AB86" s="816"/>
      <c r="AC86" s="816"/>
      <c r="AD86" s="816"/>
      <c r="AE86" s="741"/>
      <c r="AF86" s="6"/>
    </row>
    <row r="87" spans="2:39" x14ac:dyDescent="0.35">
      <c r="B87" s="723" t="s">
        <v>163</v>
      </c>
      <c r="C87" s="6"/>
      <c r="D87" s="750"/>
      <c r="AB87" s="816"/>
      <c r="AC87" s="816"/>
      <c r="AD87" s="816"/>
      <c r="AE87" s="741"/>
      <c r="AF87" s="6"/>
    </row>
    <row r="88" spans="2:39" x14ac:dyDescent="0.35">
      <c r="B88" s="723" t="s">
        <v>164</v>
      </c>
      <c r="C88" s="2"/>
      <c r="D88" s="750"/>
    </row>
    <row r="89" spans="2:39" x14ac:dyDescent="0.35">
      <c r="C89" s="2"/>
      <c r="D89" s="750"/>
    </row>
    <row r="90" spans="2:39" x14ac:dyDescent="0.35">
      <c r="C90" s="2"/>
      <c r="D90" s="750"/>
    </row>
    <row r="91" spans="2:39" x14ac:dyDescent="0.35">
      <c r="C91" s="2"/>
      <c r="D91" s="750"/>
    </row>
    <row r="92" spans="2:39" ht="72.5" x14ac:dyDescent="0.35">
      <c r="C92" s="751" t="s">
        <v>165</v>
      </c>
      <c r="D92" s="15" t="s">
        <v>166</v>
      </c>
      <c r="K92" s="751" t="s">
        <v>165</v>
      </c>
      <c r="L92" s="15" t="s">
        <v>167</v>
      </c>
      <c r="R92" s="751" t="s">
        <v>165</v>
      </c>
      <c r="S92" s="15" t="s">
        <v>168</v>
      </c>
    </row>
    <row r="93" spans="2:39" ht="72.5" x14ac:dyDescent="0.35">
      <c r="C93" s="751" t="s">
        <v>169</v>
      </c>
      <c r="D93" s="15" t="s">
        <v>166</v>
      </c>
      <c r="K93" s="751" t="s">
        <v>169</v>
      </c>
      <c r="L93" s="15" t="s">
        <v>167</v>
      </c>
      <c r="R93" s="751" t="s">
        <v>169</v>
      </c>
      <c r="S93" s="15" t="s">
        <v>168</v>
      </c>
    </row>
    <row r="94" spans="2:39" ht="72.5" x14ac:dyDescent="0.35">
      <c r="C94" s="751" t="s">
        <v>170</v>
      </c>
      <c r="D94" s="15" t="s">
        <v>166</v>
      </c>
      <c r="K94" s="751" t="s">
        <v>170</v>
      </c>
      <c r="L94" s="15" t="s">
        <v>167</v>
      </c>
      <c r="R94" s="751" t="s">
        <v>170</v>
      </c>
      <c r="S94" s="15" t="s">
        <v>168</v>
      </c>
    </row>
    <row r="95" spans="2:39" ht="72.5" x14ac:dyDescent="0.35">
      <c r="C95" s="751" t="s">
        <v>171</v>
      </c>
      <c r="D95" s="15" t="s">
        <v>166</v>
      </c>
      <c r="K95" s="751" t="s">
        <v>171</v>
      </c>
      <c r="L95" s="15" t="s">
        <v>167</v>
      </c>
      <c r="R95" s="751" t="s">
        <v>171</v>
      </c>
      <c r="S95" s="15" t="s">
        <v>168</v>
      </c>
    </row>
    <row r="96" spans="2:39" ht="72.5" x14ac:dyDescent="0.35">
      <c r="C96" s="751" t="s">
        <v>130</v>
      </c>
      <c r="D96" s="15" t="s">
        <v>166</v>
      </c>
      <c r="K96" s="751" t="s">
        <v>130</v>
      </c>
      <c r="L96" s="15" t="s">
        <v>167</v>
      </c>
      <c r="R96" s="751" t="s">
        <v>130</v>
      </c>
      <c r="S96" s="15" t="s">
        <v>168</v>
      </c>
    </row>
    <row r="97" spans="3:24" ht="72.5" x14ac:dyDescent="0.35">
      <c r="C97" s="751" t="s">
        <v>172</v>
      </c>
      <c r="D97" s="15" t="s">
        <v>166</v>
      </c>
      <c r="K97" s="751" t="s">
        <v>172</v>
      </c>
      <c r="L97" s="15" t="s">
        <v>167</v>
      </c>
      <c r="R97" s="751" t="s">
        <v>172</v>
      </c>
      <c r="S97" s="15" t="s">
        <v>168</v>
      </c>
    </row>
    <row r="101" spans="3:24" ht="17.5" x14ac:dyDescent="0.35">
      <c r="M101" s="816"/>
      <c r="N101" s="816"/>
      <c r="O101" s="816"/>
      <c r="P101" s="741"/>
      <c r="Q101" s="740"/>
      <c r="R101" s="740"/>
      <c r="S101" s="740"/>
      <c r="T101" s="6"/>
      <c r="U101" s="6"/>
      <c r="V101" s="742"/>
      <c r="W101" s="817"/>
      <c r="X101" s="817"/>
    </row>
    <row r="102" spans="3:24" ht="17.5" x14ac:dyDescent="0.35">
      <c r="M102" s="816"/>
      <c r="N102" s="816"/>
      <c r="O102" s="816"/>
      <c r="P102" s="741"/>
      <c r="Q102" s="740"/>
      <c r="R102" s="740"/>
      <c r="S102" s="740"/>
      <c r="T102" s="6"/>
      <c r="U102" s="6"/>
      <c r="V102" s="743"/>
      <c r="W102" s="817"/>
      <c r="X102" s="817"/>
    </row>
    <row r="103" spans="3:24" ht="17.5" x14ac:dyDescent="0.35">
      <c r="M103" s="816"/>
      <c r="N103" s="816"/>
      <c r="O103" s="816"/>
      <c r="P103" s="745"/>
      <c r="Q103" s="6"/>
      <c r="R103" s="6"/>
      <c r="S103" s="6"/>
      <c r="T103" s="6"/>
      <c r="U103" s="6"/>
      <c r="V103" s="746"/>
      <c r="W103" s="817"/>
      <c r="X103" s="817"/>
    </row>
    <row r="104" spans="3:24" ht="17.5" x14ac:dyDescent="0.35">
      <c r="M104" s="816"/>
      <c r="N104" s="816"/>
      <c r="O104" s="816"/>
      <c r="P104" s="747"/>
      <c r="Q104" s="6"/>
      <c r="R104" s="6"/>
      <c r="S104" s="744"/>
      <c r="T104" s="748"/>
      <c r="U104" s="6"/>
      <c r="V104" s="746"/>
      <c r="W104" s="817"/>
      <c r="X104" s="817"/>
    </row>
    <row r="105" spans="3:24" ht="17.5" x14ac:dyDescent="0.35">
      <c r="M105" s="816"/>
      <c r="N105" s="816"/>
      <c r="O105" s="816"/>
      <c r="P105" s="747"/>
      <c r="Q105" s="6"/>
      <c r="R105" s="6"/>
      <c r="S105" s="744"/>
      <c r="T105" s="748"/>
      <c r="U105" s="6"/>
      <c r="V105" s="752"/>
      <c r="W105" s="817"/>
      <c r="X105" s="817"/>
    </row>
    <row r="106" spans="3:24" ht="17.5" x14ac:dyDescent="0.35">
      <c r="M106" s="816"/>
      <c r="N106" s="816"/>
      <c r="O106" s="816"/>
      <c r="P106" s="741"/>
      <c r="Q106" s="6"/>
      <c r="R106" s="6"/>
      <c r="S106" s="744"/>
      <c r="T106" s="748"/>
      <c r="U106" s="6"/>
      <c r="V106" s="752"/>
      <c r="W106" s="817"/>
      <c r="X106" s="817"/>
    </row>
    <row r="107" spans="3:24" ht="17.5" x14ac:dyDescent="0.35">
      <c r="M107" s="816"/>
      <c r="N107" s="816"/>
      <c r="O107" s="816"/>
      <c r="P107" s="741"/>
      <c r="Q107" s="6"/>
      <c r="R107" s="6"/>
      <c r="S107" s="744"/>
      <c r="T107" s="748"/>
      <c r="U107" s="6"/>
      <c r="V107" s="753"/>
      <c r="W107" s="817"/>
      <c r="X107" s="817"/>
    </row>
    <row r="108" spans="3:24" ht="17.5" x14ac:dyDescent="0.35">
      <c r="M108" s="816"/>
      <c r="N108" s="816"/>
      <c r="O108" s="816"/>
      <c r="P108" s="741"/>
      <c r="Q108" s="6"/>
      <c r="R108" s="6"/>
      <c r="S108" s="744"/>
      <c r="T108" s="748"/>
      <c r="U108" s="6"/>
      <c r="V108" s="753"/>
      <c r="W108" s="817"/>
      <c r="X108" s="817"/>
    </row>
  </sheetData>
  <mergeCells count="53">
    <mergeCell ref="C24:H24"/>
    <mergeCell ref="I24:J24"/>
    <mergeCell ref="B30:B31"/>
    <mergeCell ref="C30:C31"/>
    <mergeCell ref="D30:D31"/>
    <mergeCell ref="E30:J30"/>
    <mergeCell ref="C26:H26"/>
    <mergeCell ref="H15:J15"/>
    <mergeCell ref="H16:J16"/>
    <mergeCell ref="H17:J17"/>
    <mergeCell ref="H21:K22"/>
    <mergeCell ref="A1:L1"/>
    <mergeCell ref="AB76:AM76"/>
    <mergeCell ref="AB77:AI77"/>
    <mergeCell ref="AB78:AI78"/>
    <mergeCell ref="Q59:R59"/>
    <mergeCell ref="Q58:R58"/>
    <mergeCell ref="M70:Q70"/>
    <mergeCell ref="AB86:AD86"/>
    <mergeCell ref="AB80:AD80"/>
    <mergeCell ref="AL80:AM80"/>
    <mergeCell ref="AB81:AD81"/>
    <mergeCell ref="AL81:AM81"/>
    <mergeCell ref="AB82:AD82"/>
    <mergeCell ref="AL82:AM82"/>
    <mergeCell ref="AB83:AD83"/>
    <mergeCell ref="AL83:AM83"/>
    <mergeCell ref="AB84:AD84"/>
    <mergeCell ref="AL84:AM84"/>
    <mergeCell ref="AB85:AD85"/>
    <mergeCell ref="AB87:AD87"/>
    <mergeCell ref="M101:O101"/>
    <mergeCell ref="W101:X101"/>
    <mergeCell ref="M102:O102"/>
    <mergeCell ref="W102:X102"/>
    <mergeCell ref="M107:O107"/>
    <mergeCell ref="W107:X107"/>
    <mergeCell ref="M108:O108"/>
    <mergeCell ref="W108:X108"/>
    <mergeCell ref="M104:O104"/>
    <mergeCell ref="W104:X104"/>
    <mergeCell ref="M105:O105"/>
    <mergeCell ref="W105:X105"/>
    <mergeCell ref="M106:O106"/>
    <mergeCell ref="W106:X106"/>
    <mergeCell ref="D32:D34"/>
    <mergeCell ref="M30:N30"/>
    <mergeCell ref="M103:O103"/>
    <mergeCell ref="W103:X103"/>
    <mergeCell ref="L30:L31"/>
    <mergeCell ref="K30:K31"/>
    <mergeCell ref="B51:I52"/>
    <mergeCell ref="P55:P56"/>
  </mergeCells>
  <phoneticPr fontId="100" type="noConversion"/>
  <dataValidations count="10">
    <dataValidation type="list" allowBlank="1" showInputMessage="1" showErrorMessage="1" sqref="F88" xr:uid="{00000000-0002-0000-0200-000000000000}">
      <formula1>$M$82:$M$86</formula1>
    </dataValidation>
    <dataValidation type="list" allowBlank="1" showInputMessage="1" showErrorMessage="1" sqref="F89 L50:L54" xr:uid="{00000000-0002-0000-0200-000001000000}">
      <formula1>#REF!</formula1>
    </dataValidation>
    <dataValidation type="list" allowBlank="1" showInputMessage="1" showErrorMessage="1" sqref="L56" xr:uid="{00000000-0002-0000-0200-000002000000}">
      <formula1>$H$83:$H$84</formula1>
    </dataValidation>
    <dataValidation type="list" allowBlank="1" showInputMessage="1" showErrorMessage="1" sqref="L55" xr:uid="{00000000-0002-0000-0200-000003000000}">
      <formula1>$I$87</formula1>
    </dataValidation>
    <dataValidation type="list" allowBlank="1" showInputMessage="1" showErrorMessage="1" sqref="L48:L49" xr:uid="{00000000-0002-0000-0200-000004000000}">
      <formula1>$M$35:$M$37</formula1>
    </dataValidation>
    <dataValidation type="list" allowBlank="1" showInputMessage="1" sqref="L47" xr:uid="{00000000-0002-0000-0200-000005000000}">
      <formula1>$B$21:$B$23</formula1>
    </dataValidation>
    <dataValidation type="list" allowBlank="1" showInputMessage="1" showErrorMessage="1" sqref="D21:D22" xr:uid="{00000000-0002-0000-0200-000006000000}">
      <formula1>$N$23:$N$24</formula1>
    </dataValidation>
    <dataValidation allowBlank="1" showInputMessage="1" sqref="B42:B43 G3:L3 E2 A3:D3" xr:uid="{00000000-0002-0000-0200-000007000000}"/>
    <dataValidation type="list" allowBlank="1" showInputMessage="1" showErrorMessage="1" sqref="C26" xr:uid="{00000000-0002-0000-0200-000008000000}">
      <formula1>$N$20:$N$21</formula1>
    </dataValidation>
    <dataValidation type="list" allowBlank="1" showInputMessage="1" showErrorMessage="1" sqref="B55" xr:uid="{00000000-0002-0000-0200-00000A000000}">
      <formula1>$B$64:$B$88</formula1>
    </dataValidation>
  </dataValidations>
  <pageMargins left="0.51181102362204722" right="0.15748031496062992" top="0.62992125984251968" bottom="0.6692913385826772" header="0.39370078740157483" footer="0.62992125984251968"/>
  <pageSetup paperSize="9" scale="60" orientation="portrait" horizontalDpi="300" verticalDpi="300" r:id="rId1"/>
  <headerFooter>
    <oddHeader>&amp;R&amp;"-,Regular"&amp;8OA.ID - 029 - 18 / REV 0</oddHead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0B5986B-0F34-44BF-843B-EAA4024D4C90}">
          <x14:formula1>
            <xm:f>'Data LUX Meter'!$B$82:$B$87</xm:f>
          </x14:formula1>
          <xm:sqref>B46:H46</xm:sqref>
        </x14:dataValidation>
        <x14:dataValidation type="list" allowBlank="1" showInputMessage="1" showErrorMessage="1" xr:uid="{00000000-0002-0000-0200-00000D000000}">
          <x14:formula1>
            <xm:f>'Cetik - Cetik'!$M$3:$M$4</xm:f>
          </x14:formula1>
          <xm:sqref>C27</xm:sqref>
        </x14:dataValidation>
        <x14:dataValidation type="list" allowBlank="1" showInputMessage="1" showErrorMessage="1" xr:uid="{B2AC2E9E-8D71-416C-A2E3-28295B095E55}">
          <x14:formula1>
            <xm:f>'DB ESA 2023'!$A$299:$A$310</xm:f>
          </x14:formula1>
          <xm:sqref>B47:H47</xm:sqref>
        </x14:dataValidation>
        <x14:dataValidation type="list" allowBlank="1" showInputMessage="1" showErrorMessage="1" xr:uid="{70F05ADB-172D-4FFE-96A3-9E5B8C270FBD}">
          <x14:formula1>
            <xm:f>'DB Thermohygro'!$A$390:$A$408</xm:f>
          </x14:formula1>
          <xm:sqref>B48:H48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21A7-747B-4240-A3EC-77AADD24A3E6}">
  <sheetPr>
    <tabColor rgb="FFFF0000"/>
  </sheetPr>
  <dimension ref="A1:M61"/>
  <sheetViews>
    <sheetView view="pageBreakPreview" topLeftCell="A8" zoomScale="89" zoomScaleNormal="70" zoomScaleSheetLayoutView="89" workbookViewId="0">
      <selection activeCell="H25" sqref="H25"/>
    </sheetView>
  </sheetViews>
  <sheetFormatPr defaultColWidth="9.1796875" defaultRowHeight="15.5" x14ac:dyDescent="0.35"/>
  <cols>
    <col min="1" max="1" width="4.54296875" style="1" customWidth="1"/>
    <col min="2" max="2" width="4" style="1" customWidth="1"/>
    <col min="3" max="3" width="22.1796875" style="1" customWidth="1"/>
    <col min="4" max="4" width="12.7265625" style="1" customWidth="1"/>
    <col min="5" max="5" width="11.453125" style="1" customWidth="1"/>
    <col min="6" max="6" width="12.453125" style="1" customWidth="1"/>
    <col min="7" max="7" width="10.7265625" style="1" customWidth="1"/>
    <col min="8" max="8" width="11.54296875" style="1" customWidth="1"/>
    <col min="9" max="10" width="12.54296875" style="1" customWidth="1"/>
    <col min="11" max="11" width="15.453125" style="1" customWidth="1"/>
    <col min="12" max="12" width="11.7265625" style="1" customWidth="1"/>
    <col min="13" max="16384" width="9.1796875" style="1"/>
  </cols>
  <sheetData>
    <row r="1" spans="1:12" ht="19.5" customHeight="1" x14ac:dyDescent="0.35">
      <c r="A1" s="996" t="s">
        <v>17</v>
      </c>
      <c r="B1" s="996"/>
      <c r="C1" s="996"/>
      <c r="D1" s="996"/>
      <c r="E1" s="996"/>
      <c r="F1" s="996"/>
      <c r="G1" s="996"/>
      <c r="H1" s="996"/>
      <c r="I1" s="996"/>
      <c r="J1" s="996"/>
      <c r="K1" s="996"/>
      <c r="L1" s="996"/>
    </row>
    <row r="2" spans="1:12" ht="18.75" customHeight="1" x14ac:dyDescent="0.35">
      <c r="A2" s="997" t="s">
        <v>18</v>
      </c>
      <c r="B2" s="997"/>
      <c r="C2" s="997"/>
      <c r="D2" s="997"/>
      <c r="E2" s="997"/>
      <c r="F2" s="997"/>
      <c r="G2" s="997"/>
      <c r="H2" s="997"/>
      <c r="I2" s="997"/>
      <c r="J2" s="997"/>
      <c r="K2" s="997"/>
      <c r="L2" s="997"/>
    </row>
    <row r="3" spans="1:12" ht="10.5" customHeight="1" x14ac:dyDescent="0.35">
      <c r="A3" s="87"/>
      <c r="B3" s="86"/>
      <c r="C3" s="86"/>
      <c r="D3" s="86"/>
      <c r="E3" s="86"/>
      <c r="F3" s="86"/>
      <c r="G3" s="86"/>
      <c r="H3" s="86"/>
      <c r="I3" s="86"/>
      <c r="J3" s="86"/>
      <c r="K3" s="87"/>
      <c r="L3" s="87"/>
    </row>
    <row r="4" spans="1:12" ht="15.75" customHeight="1" x14ac:dyDescent="0.35">
      <c r="A4" s="88" t="s">
        <v>19</v>
      </c>
      <c r="B4" s="88"/>
      <c r="C4" s="88"/>
      <c r="D4" s="90" t="s">
        <v>20</v>
      </c>
      <c r="E4" s="88"/>
      <c r="F4" s="88"/>
      <c r="G4" s="88"/>
      <c r="H4" s="90"/>
      <c r="I4" s="88"/>
      <c r="J4" s="88"/>
      <c r="K4" s="88"/>
      <c r="L4" s="88"/>
    </row>
    <row r="5" spans="1:12" ht="15.75" customHeight="1" x14ac:dyDescent="0.35">
      <c r="A5" s="91" t="s">
        <v>21</v>
      </c>
      <c r="B5" s="88"/>
      <c r="C5" s="88"/>
      <c r="D5" s="92" t="s">
        <v>20</v>
      </c>
      <c r="E5" s="88"/>
      <c r="F5" s="88"/>
      <c r="G5" s="88"/>
      <c r="H5" s="90"/>
      <c r="I5" s="88"/>
      <c r="J5" s="88"/>
      <c r="K5" s="88"/>
      <c r="L5" s="88"/>
    </row>
    <row r="6" spans="1:12" ht="15.75" customHeight="1" x14ac:dyDescent="0.35">
      <c r="A6" s="91" t="s">
        <v>22</v>
      </c>
      <c r="B6" s="88"/>
      <c r="C6" s="88"/>
      <c r="D6" s="92" t="s">
        <v>20</v>
      </c>
      <c r="E6" s="88"/>
      <c r="F6" s="88"/>
      <c r="G6" s="91"/>
      <c r="H6" s="92"/>
      <c r="I6" s="88"/>
      <c r="J6" s="88"/>
      <c r="K6" s="88"/>
      <c r="L6" s="88"/>
    </row>
    <row r="7" spans="1:12" ht="15.75" customHeight="1" x14ac:dyDescent="0.35">
      <c r="A7" s="91" t="s">
        <v>23</v>
      </c>
      <c r="B7" s="88"/>
      <c r="C7" s="88"/>
      <c r="D7" s="92" t="s">
        <v>20</v>
      </c>
      <c r="E7" s="88"/>
      <c r="F7" s="88"/>
      <c r="G7" s="91"/>
      <c r="H7" s="92"/>
      <c r="I7" s="88"/>
      <c r="J7" s="88"/>
      <c r="K7" s="88"/>
      <c r="L7" s="88"/>
    </row>
    <row r="8" spans="1:12" ht="15.75" customHeight="1" x14ac:dyDescent="0.35">
      <c r="A8" s="88" t="s">
        <v>24</v>
      </c>
      <c r="B8" s="88"/>
      <c r="C8" s="88"/>
      <c r="D8" s="92" t="s">
        <v>20</v>
      </c>
      <c r="E8" s="88"/>
      <c r="F8" s="88"/>
      <c r="G8" s="88"/>
      <c r="H8" s="90"/>
      <c r="I8" s="88"/>
      <c r="J8" s="88"/>
      <c r="K8" s="88"/>
      <c r="L8" s="88"/>
    </row>
    <row r="9" spans="1:12" ht="15.75" customHeight="1" x14ac:dyDescent="0.35">
      <c r="A9" s="88" t="s">
        <v>25</v>
      </c>
      <c r="B9" s="88"/>
      <c r="C9" s="88"/>
      <c r="D9" s="92" t="s">
        <v>20</v>
      </c>
      <c r="E9" s="88"/>
      <c r="F9" s="88"/>
      <c r="G9" s="88"/>
      <c r="H9" s="90"/>
      <c r="I9" s="88"/>
      <c r="J9" s="88"/>
      <c r="K9" s="88"/>
      <c r="L9" s="88"/>
    </row>
    <row r="10" spans="1:12" ht="15.75" customHeight="1" x14ac:dyDescent="0.35">
      <c r="A10" s="91" t="s">
        <v>26</v>
      </c>
      <c r="B10" s="88"/>
      <c r="C10" s="88"/>
      <c r="D10" s="92" t="s">
        <v>20</v>
      </c>
      <c r="E10" s="88"/>
      <c r="F10" s="88"/>
      <c r="G10" s="88"/>
      <c r="H10" s="90"/>
      <c r="I10" s="88"/>
      <c r="J10" s="88"/>
      <c r="K10" s="88"/>
      <c r="L10" s="88"/>
    </row>
    <row r="11" spans="1:12" ht="14.25" customHeight="1" thickBot="1" x14ac:dyDescent="0.4">
      <c r="A11" s="88"/>
      <c r="B11" s="88"/>
      <c r="C11" s="88"/>
      <c r="D11" s="90"/>
      <c r="E11" s="88"/>
      <c r="F11" s="88"/>
      <c r="G11" s="88"/>
      <c r="H11" s="88"/>
      <c r="I11" s="88"/>
      <c r="J11" s="88"/>
      <c r="K11" s="88"/>
      <c r="L11" s="88"/>
    </row>
    <row r="12" spans="1:12" ht="15.75" customHeight="1" thickBot="1" x14ac:dyDescent="0.4">
      <c r="A12" s="93" t="s">
        <v>27</v>
      </c>
      <c r="B12" s="93" t="s">
        <v>28</v>
      </c>
      <c r="C12" s="93"/>
      <c r="D12" s="90"/>
      <c r="E12" s="103" t="s">
        <v>4</v>
      </c>
      <c r="F12" s="94" t="s">
        <v>5</v>
      </c>
      <c r="G12" s="88"/>
      <c r="H12" s="88"/>
      <c r="I12" s="88"/>
      <c r="J12" s="88"/>
      <c r="K12" s="88"/>
      <c r="L12" s="88"/>
    </row>
    <row r="13" spans="1:12" ht="18" customHeight="1" x14ac:dyDescent="0.35">
      <c r="A13" s="88"/>
      <c r="B13" s="88"/>
      <c r="C13" s="95" t="s">
        <v>29</v>
      </c>
      <c r="D13" s="90" t="s">
        <v>20</v>
      </c>
      <c r="E13" s="96"/>
      <c r="F13" s="104"/>
      <c r="G13" s="97" t="s">
        <v>30</v>
      </c>
      <c r="H13" s="88"/>
      <c r="I13" s="88"/>
      <c r="J13" s="88"/>
      <c r="K13" s="88"/>
      <c r="L13" s="88"/>
    </row>
    <row r="14" spans="1:12" ht="16.5" customHeight="1" thickBot="1" x14ac:dyDescent="0.4">
      <c r="A14" s="88"/>
      <c r="B14" s="98"/>
      <c r="C14" s="98" t="s">
        <v>31</v>
      </c>
      <c r="D14" s="90" t="s">
        <v>20</v>
      </c>
      <c r="E14" s="99"/>
      <c r="F14" s="105"/>
      <c r="G14" s="88" t="s">
        <v>32</v>
      </c>
      <c r="H14" s="88"/>
      <c r="I14" s="88"/>
      <c r="J14" s="88"/>
      <c r="K14" s="88"/>
      <c r="L14" s="88"/>
    </row>
    <row r="15" spans="1:12" ht="16.5" customHeight="1" thickBot="1" x14ac:dyDescent="0.4">
      <c r="A15" s="88"/>
      <c r="B15" s="98"/>
      <c r="C15" s="98" t="s">
        <v>33</v>
      </c>
      <c r="D15" s="90" t="s">
        <v>20</v>
      </c>
      <c r="E15" s="100"/>
      <c r="F15" s="88" t="s">
        <v>34</v>
      </c>
      <c r="G15" s="88"/>
      <c r="H15" s="88"/>
      <c r="I15" s="88"/>
      <c r="J15" s="88"/>
      <c r="K15" s="88"/>
      <c r="L15" s="88"/>
    </row>
    <row r="16" spans="1:12" ht="7.5" customHeight="1" x14ac:dyDescent="0.35">
      <c r="A16" s="88"/>
      <c r="B16" s="93"/>
      <c r="C16" s="93"/>
      <c r="D16" s="93"/>
      <c r="E16" s="88"/>
      <c r="F16" s="88"/>
      <c r="G16" s="88"/>
      <c r="H16" s="88"/>
      <c r="I16" s="88"/>
      <c r="J16" s="88"/>
      <c r="K16" s="88"/>
      <c r="L16" s="88"/>
    </row>
    <row r="17" spans="1:13" ht="19.5" customHeight="1" x14ac:dyDescent="0.35">
      <c r="A17" s="93" t="s">
        <v>35</v>
      </c>
      <c r="B17" s="93" t="s">
        <v>36</v>
      </c>
      <c r="C17" s="88"/>
      <c r="D17" s="88"/>
      <c r="E17" s="88"/>
      <c r="F17" s="88"/>
      <c r="G17" s="106"/>
      <c r="H17" s="88"/>
      <c r="I17" s="107"/>
      <c r="J17" s="107"/>
      <c r="K17" s="88"/>
      <c r="L17" s="88"/>
      <c r="M17" s="185" t="s">
        <v>37</v>
      </c>
    </row>
    <row r="18" spans="1:13" ht="21" customHeight="1" x14ac:dyDescent="0.35">
      <c r="A18" s="88"/>
      <c r="B18" s="88"/>
      <c r="C18" s="88" t="s">
        <v>38</v>
      </c>
      <c r="D18" s="88" t="s">
        <v>39</v>
      </c>
      <c r="E18" s="88"/>
      <c r="F18" s="998"/>
      <c r="G18" s="998"/>
      <c r="H18" s="998"/>
      <c r="I18" s="998"/>
      <c r="J18" s="283"/>
      <c r="K18" s="88"/>
      <c r="L18" s="88"/>
      <c r="M18" s="187">
        <v>5</v>
      </c>
    </row>
    <row r="19" spans="1:13" ht="15.75" customHeight="1" x14ac:dyDescent="0.35">
      <c r="A19" s="88"/>
      <c r="B19" s="88"/>
      <c r="C19" s="88" t="s">
        <v>40</v>
      </c>
      <c r="D19" s="88" t="s">
        <v>39</v>
      </c>
      <c r="E19" s="88"/>
      <c r="F19" s="998"/>
      <c r="G19" s="998"/>
      <c r="H19" s="998"/>
      <c r="I19" s="998"/>
      <c r="J19" s="283"/>
      <c r="K19" s="88"/>
      <c r="L19" s="88"/>
      <c r="M19" s="187">
        <v>5</v>
      </c>
    </row>
    <row r="20" spans="1:13" ht="15.75" customHeight="1" x14ac:dyDescent="0.35">
      <c r="A20" s="88"/>
      <c r="B20" s="88"/>
      <c r="C20" s="88"/>
      <c r="D20" s="88"/>
      <c r="E20" s="88"/>
      <c r="F20" s="283"/>
      <c r="G20" s="283"/>
      <c r="H20" s="283"/>
      <c r="I20" s="283"/>
      <c r="J20" s="283"/>
      <c r="K20" s="88"/>
      <c r="L20" s="88"/>
    </row>
    <row r="21" spans="1:13" ht="18.75" customHeight="1" x14ac:dyDescent="0.35">
      <c r="A21" s="93" t="s">
        <v>41</v>
      </c>
      <c r="B21" s="93" t="s">
        <v>42</v>
      </c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3" ht="48" customHeight="1" x14ac:dyDescent="0.35">
      <c r="A22" s="88"/>
      <c r="B22" s="102" t="s">
        <v>43</v>
      </c>
      <c r="C22" s="999" t="s">
        <v>44</v>
      </c>
      <c r="D22" s="999"/>
      <c r="E22" s="999"/>
      <c r="F22" s="999"/>
      <c r="G22" s="999"/>
      <c r="H22" s="102" t="s">
        <v>45</v>
      </c>
      <c r="I22" s="102" t="s">
        <v>46</v>
      </c>
      <c r="J22" s="141"/>
      <c r="K22" s="88"/>
      <c r="L22" s="88"/>
      <c r="M22" s="186" t="s">
        <v>37</v>
      </c>
    </row>
    <row r="23" spans="1:13" ht="15.75" customHeight="1" x14ac:dyDescent="0.35">
      <c r="A23" s="88"/>
      <c r="B23" s="108">
        <v>1</v>
      </c>
      <c r="C23" s="84" t="s">
        <v>47</v>
      </c>
      <c r="D23" s="109"/>
      <c r="E23" s="109"/>
      <c r="F23" s="109"/>
      <c r="G23" s="110"/>
      <c r="H23" s="111" t="s">
        <v>48</v>
      </c>
      <c r="I23" s="112" t="s">
        <v>49</v>
      </c>
      <c r="J23" s="593"/>
      <c r="K23" s="88"/>
      <c r="L23" s="88"/>
      <c r="M23" s="183">
        <v>10</v>
      </c>
    </row>
    <row r="24" spans="1:13" ht="15.75" customHeight="1" x14ac:dyDescent="0.35">
      <c r="A24" s="88"/>
      <c r="B24" s="108">
        <v>2</v>
      </c>
      <c r="C24" s="84" t="s">
        <v>50</v>
      </c>
      <c r="D24" s="109"/>
      <c r="E24" s="109"/>
      <c r="F24" s="109"/>
      <c r="G24" s="110"/>
      <c r="H24" s="111" t="s">
        <v>51</v>
      </c>
      <c r="I24" s="113" t="s">
        <v>52</v>
      </c>
      <c r="J24" s="594"/>
      <c r="K24" s="88"/>
      <c r="L24" s="88"/>
      <c r="M24" s="183">
        <v>10</v>
      </c>
    </row>
    <row r="25" spans="1:13" ht="27.75" customHeight="1" x14ac:dyDescent="0.35">
      <c r="A25" s="88"/>
      <c r="B25" s="101">
        <v>3</v>
      </c>
      <c r="C25" s="85" t="s">
        <v>53</v>
      </c>
      <c r="D25" s="114"/>
      <c r="E25" s="114"/>
      <c r="F25" s="114"/>
      <c r="G25" s="115"/>
      <c r="H25" s="111" t="s">
        <v>54</v>
      </c>
      <c r="I25" s="116" t="s">
        <v>55</v>
      </c>
      <c r="J25" s="595"/>
      <c r="K25" s="88"/>
      <c r="L25" s="88"/>
      <c r="M25" s="183">
        <v>20</v>
      </c>
    </row>
    <row r="26" spans="1:13" ht="20.149999999999999" customHeight="1" x14ac:dyDescent="0.35">
      <c r="A26" s="88"/>
      <c r="B26" s="117"/>
      <c r="C26" s="91"/>
      <c r="D26" s="88"/>
      <c r="E26" s="88"/>
      <c r="F26" s="88"/>
      <c r="G26" s="117"/>
      <c r="H26" s="92"/>
      <c r="I26" s="118"/>
      <c r="J26" s="118"/>
      <c r="K26" s="88"/>
      <c r="L26" s="88"/>
    </row>
    <row r="27" spans="1:13" ht="20.149999999999999" customHeight="1" x14ac:dyDescent="0.35">
      <c r="A27" s="93" t="s">
        <v>56</v>
      </c>
      <c r="B27" s="93" t="s">
        <v>57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</row>
    <row r="28" spans="1:13" ht="20.149999999999999" customHeight="1" x14ac:dyDescent="0.35">
      <c r="A28" s="88"/>
      <c r="B28" s="999" t="s">
        <v>43</v>
      </c>
      <c r="C28" s="999" t="s">
        <v>58</v>
      </c>
      <c r="D28" s="999" t="s">
        <v>59</v>
      </c>
      <c r="E28" s="1000" t="s">
        <v>60</v>
      </c>
      <c r="F28" s="1001"/>
      <c r="G28" s="1001"/>
      <c r="H28" s="1001"/>
      <c r="I28" s="1001"/>
      <c r="J28" s="1002"/>
      <c r="K28" s="992" t="s">
        <v>61</v>
      </c>
      <c r="L28" s="994" t="s">
        <v>37</v>
      </c>
      <c r="M28" s="284"/>
    </row>
    <row r="29" spans="1:13" ht="20.149999999999999" customHeight="1" x14ac:dyDescent="0.35">
      <c r="A29" s="88"/>
      <c r="B29" s="999"/>
      <c r="C29" s="999"/>
      <c r="D29" s="999"/>
      <c r="E29" s="108" t="s">
        <v>62</v>
      </c>
      <c r="F29" s="108" t="s">
        <v>63</v>
      </c>
      <c r="G29" s="108" t="s">
        <v>64</v>
      </c>
      <c r="H29" s="108" t="s">
        <v>65</v>
      </c>
      <c r="I29" s="108" t="s">
        <v>66</v>
      </c>
      <c r="J29" s="108" t="s">
        <v>67</v>
      </c>
      <c r="K29" s="993"/>
      <c r="L29" s="995"/>
    </row>
    <row r="30" spans="1:13" ht="25.5" customHeight="1" x14ac:dyDescent="0.35">
      <c r="A30" s="88"/>
      <c r="B30" s="102">
        <v>1</v>
      </c>
      <c r="C30" s="102" t="s">
        <v>68</v>
      </c>
      <c r="D30" s="989" t="s">
        <v>69</v>
      </c>
      <c r="E30" s="288"/>
      <c r="F30" s="108"/>
      <c r="G30" s="108"/>
      <c r="H30" s="108"/>
      <c r="I30" s="108"/>
      <c r="J30" s="500"/>
      <c r="K30" s="286" t="s">
        <v>70</v>
      </c>
      <c r="L30" s="184"/>
    </row>
    <row r="31" spans="1:13" ht="28.5" customHeight="1" x14ac:dyDescent="0.35">
      <c r="A31" s="88"/>
      <c r="B31" s="101">
        <v>2</v>
      </c>
      <c r="C31" s="102" t="s">
        <v>71</v>
      </c>
      <c r="D31" s="990"/>
      <c r="E31" s="290"/>
      <c r="F31" s="119"/>
      <c r="G31" s="120"/>
      <c r="H31" s="120"/>
      <c r="I31" s="120"/>
      <c r="J31" s="287"/>
      <c r="K31" s="287" t="s">
        <v>72</v>
      </c>
      <c r="L31" s="184"/>
    </row>
    <row r="32" spans="1:13" ht="28.5" customHeight="1" x14ac:dyDescent="0.35">
      <c r="A32" s="88"/>
      <c r="B32" s="101">
        <v>3</v>
      </c>
      <c r="C32" s="102" t="s">
        <v>73</v>
      </c>
      <c r="D32" s="991"/>
      <c r="E32" s="290"/>
      <c r="F32" s="119"/>
      <c r="G32" s="120"/>
      <c r="H32" s="120"/>
      <c r="I32" s="120"/>
      <c r="J32" s="287"/>
      <c r="K32" s="287" t="s">
        <v>74</v>
      </c>
      <c r="L32" s="184"/>
      <c r="M32" s="289"/>
    </row>
    <row r="33" spans="1:12" ht="17.25" customHeight="1" x14ac:dyDescent="0.35">
      <c r="A33" s="88"/>
      <c r="B33" s="91"/>
      <c r="C33" s="122"/>
      <c r="D33" s="117"/>
      <c r="E33" s="117"/>
      <c r="F33" s="88"/>
      <c r="G33" s="88"/>
      <c r="H33" s="88"/>
      <c r="I33" s="123"/>
      <c r="J33" s="123"/>
      <c r="K33" s="88"/>
      <c r="L33" s="88"/>
    </row>
    <row r="34" spans="1:12" ht="6" customHeight="1" x14ac:dyDescent="0.35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</row>
    <row r="35" spans="1:12" x14ac:dyDescent="0.35">
      <c r="A35" s="93" t="s">
        <v>75</v>
      </c>
      <c r="B35" s="93" t="s">
        <v>76</v>
      </c>
      <c r="C35" s="88"/>
      <c r="D35" s="88"/>
      <c r="E35" s="88"/>
      <c r="F35" s="88"/>
      <c r="G35" s="88"/>
      <c r="H35" s="88"/>
      <c r="I35" s="88"/>
      <c r="J35" s="88"/>
      <c r="K35" s="88"/>
      <c r="L35" s="88"/>
    </row>
    <row r="36" spans="1:12" x14ac:dyDescent="0.35">
      <c r="A36" s="88"/>
      <c r="B36" s="98" t="s">
        <v>77</v>
      </c>
      <c r="C36" s="88"/>
      <c r="D36" s="88"/>
      <c r="E36" s="88"/>
      <c r="F36" s="88"/>
      <c r="G36" s="88"/>
      <c r="H36" s="88"/>
      <c r="I36" s="88"/>
      <c r="J36" s="88"/>
      <c r="K36" s="88"/>
      <c r="L36" s="88"/>
    </row>
    <row r="37" spans="1:12" x14ac:dyDescent="0.35">
      <c r="A37" s="88"/>
      <c r="B37" s="98" t="s">
        <v>78</v>
      </c>
      <c r="C37" s="88"/>
      <c r="D37" s="88"/>
      <c r="E37" s="88"/>
      <c r="F37" s="88"/>
      <c r="G37" s="88"/>
      <c r="H37" s="88"/>
      <c r="I37" s="88"/>
      <c r="J37" s="88"/>
      <c r="K37" s="88"/>
      <c r="L37" s="88"/>
    </row>
    <row r="38" spans="1:12" x14ac:dyDescent="0.35">
      <c r="A38" s="88"/>
      <c r="B38" s="98"/>
      <c r="C38" s="88"/>
      <c r="D38" s="88"/>
      <c r="E38" s="88"/>
      <c r="F38" s="88"/>
      <c r="G38" s="88"/>
      <c r="H38" s="88"/>
      <c r="I38" s="88"/>
      <c r="J38" s="88"/>
      <c r="K38" s="88"/>
      <c r="L38" s="88"/>
    </row>
    <row r="39" spans="1:12" ht="16" thickBot="1" x14ac:dyDescent="0.4">
      <c r="A39" s="93" t="s">
        <v>79</v>
      </c>
      <c r="B39" s="93" t="s">
        <v>80</v>
      </c>
      <c r="C39" s="88"/>
      <c r="D39" s="88"/>
      <c r="E39" s="88"/>
      <c r="F39" s="88"/>
      <c r="G39" s="88"/>
      <c r="H39" s="88"/>
      <c r="I39" s="88"/>
      <c r="J39" s="88"/>
      <c r="K39" s="88"/>
      <c r="L39" s="88"/>
    </row>
    <row r="40" spans="1:12" ht="16" thickBot="1" x14ac:dyDescent="0.4">
      <c r="A40" s="88"/>
      <c r="B40" s="124"/>
      <c r="C40" s="87" t="s">
        <v>81</v>
      </c>
      <c r="D40" s="88"/>
      <c r="E40" s="88"/>
      <c r="F40" s="88"/>
      <c r="G40" s="88"/>
      <c r="H40" s="88"/>
      <c r="I40" s="88"/>
      <c r="J40" s="88"/>
      <c r="K40" s="88"/>
      <c r="L40" s="88"/>
    </row>
    <row r="41" spans="1:12" ht="16" thickBot="1" x14ac:dyDescent="0.4">
      <c r="A41" s="88"/>
      <c r="B41" s="124"/>
      <c r="C41" s="87" t="s">
        <v>82</v>
      </c>
      <c r="D41" s="88"/>
      <c r="E41" s="88"/>
      <c r="F41" s="88"/>
      <c r="G41" s="88"/>
      <c r="H41" s="88"/>
      <c r="I41" s="88"/>
      <c r="J41" s="88"/>
      <c r="K41" s="88"/>
      <c r="L41" s="88"/>
    </row>
    <row r="42" spans="1:12" ht="16" thickBot="1" x14ac:dyDescent="0.4">
      <c r="A42" s="88"/>
      <c r="B42" s="124"/>
      <c r="C42" s="191" t="s">
        <v>83</v>
      </c>
      <c r="D42" s="88"/>
      <c r="E42" s="88"/>
      <c r="F42" s="88"/>
      <c r="G42" s="88"/>
      <c r="H42" s="88"/>
      <c r="I42" s="88"/>
      <c r="J42" s="88"/>
      <c r="K42" s="88"/>
      <c r="L42" s="88"/>
    </row>
    <row r="43" spans="1:12" ht="16" thickBot="1" x14ac:dyDescent="0.4">
      <c r="A43" s="88"/>
      <c r="B43" s="124"/>
      <c r="C43" s="191" t="s">
        <v>84</v>
      </c>
      <c r="D43" s="88"/>
      <c r="E43" s="88"/>
      <c r="F43" s="88"/>
      <c r="G43" s="88"/>
      <c r="H43" s="88"/>
      <c r="I43" s="88"/>
      <c r="J43" s="88"/>
      <c r="K43" s="88"/>
      <c r="L43" s="88"/>
    </row>
    <row r="44" spans="1:12" ht="16" thickBot="1" x14ac:dyDescent="0.4">
      <c r="A44" s="88"/>
      <c r="B44" s="124"/>
      <c r="C44" s="192" t="s">
        <v>85</v>
      </c>
      <c r="D44" s="88"/>
      <c r="E44" s="88"/>
      <c r="F44" s="88"/>
      <c r="G44" s="88"/>
      <c r="H44" s="88"/>
      <c r="I44" s="88"/>
      <c r="J44" s="88"/>
      <c r="K44" s="88"/>
      <c r="L44" s="88"/>
    </row>
    <row r="45" spans="1:12" ht="16" thickBot="1" x14ac:dyDescent="0.4">
      <c r="A45" s="88"/>
      <c r="B45" s="124"/>
      <c r="C45" s="189" t="s">
        <v>86</v>
      </c>
      <c r="D45" s="88"/>
      <c r="E45" s="88"/>
      <c r="F45" s="88"/>
      <c r="G45" s="88"/>
      <c r="H45" s="88"/>
      <c r="I45" s="88"/>
      <c r="J45" s="88"/>
      <c r="K45" s="88"/>
      <c r="L45" s="88"/>
    </row>
    <row r="46" spans="1:12" ht="16" thickBot="1" x14ac:dyDescent="0.4">
      <c r="A46" s="88"/>
      <c r="B46" s="88"/>
      <c r="C46" s="190" t="s">
        <v>87</v>
      </c>
      <c r="D46" s="88"/>
      <c r="E46" s="88"/>
      <c r="F46" s="88"/>
      <c r="G46" s="88"/>
      <c r="H46" s="88"/>
      <c r="I46" s="88"/>
      <c r="J46" s="88"/>
      <c r="K46" s="88"/>
      <c r="L46" s="88"/>
    </row>
    <row r="47" spans="1:12" ht="16" thickBot="1" x14ac:dyDescent="0.4">
      <c r="A47" s="88"/>
      <c r="B47" s="124"/>
      <c r="C47" s="191" t="s">
        <v>88</v>
      </c>
      <c r="D47" s="88"/>
      <c r="E47" s="88"/>
      <c r="F47" s="88"/>
      <c r="G47" s="88"/>
      <c r="H47" s="88"/>
      <c r="I47" s="88"/>
      <c r="J47" s="88"/>
      <c r="K47" s="88"/>
      <c r="L47" s="88"/>
    </row>
    <row r="48" spans="1:12" ht="16" thickBot="1" x14ac:dyDescent="0.4">
      <c r="A48" s="88"/>
      <c r="B48" s="124"/>
      <c r="C48" s="191" t="s">
        <v>89</v>
      </c>
      <c r="D48" s="88"/>
      <c r="E48" s="88"/>
      <c r="F48" s="88"/>
      <c r="G48" s="88"/>
      <c r="H48" s="88"/>
      <c r="I48" s="88"/>
      <c r="J48" s="88"/>
      <c r="K48" s="88"/>
      <c r="L48" s="88"/>
    </row>
    <row r="49" spans="1:12" ht="16" thickBot="1" x14ac:dyDescent="0.4">
      <c r="A49" s="88"/>
      <c r="B49" s="124"/>
      <c r="C49" s="191" t="s">
        <v>90</v>
      </c>
      <c r="D49" s="88"/>
      <c r="E49" s="88"/>
      <c r="F49" s="88"/>
      <c r="G49" s="88"/>
      <c r="H49" s="88"/>
      <c r="I49" s="88"/>
      <c r="J49" s="88"/>
      <c r="K49" s="88"/>
      <c r="L49" s="88"/>
    </row>
    <row r="50" spans="1:12" x14ac:dyDescent="0.35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</row>
    <row r="51" spans="1:12" x14ac:dyDescent="0.35">
      <c r="A51" s="126" t="s">
        <v>91</v>
      </c>
      <c r="B51" s="127" t="s">
        <v>92</v>
      </c>
      <c r="C51" s="88"/>
      <c r="D51" s="88"/>
      <c r="E51" s="88"/>
      <c r="F51" s="88"/>
      <c r="G51" s="88"/>
      <c r="H51" s="88"/>
      <c r="I51" s="88"/>
      <c r="J51" s="88"/>
      <c r="K51" s="88"/>
      <c r="L51" s="88"/>
    </row>
    <row r="52" spans="1:12" x14ac:dyDescent="0.35">
      <c r="A52" s="88"/>
      <c r="B52" s="88" t="s">
        <v>93</v>
      </c>
      <c r="C52" s="117"/>
      <c r="D52" s="88"/>
      <c r="E52" s="88"/>
      <c r="F52" s="88"/>
      <c r="G52" s="88"/>
      <c r="H52" s="88"/>
      <c r="I52" s="88"/>
      <c r="J52" s="88"/>
      <c r="K52" s="88"/>
      <c r="L52" s="88"/>
    </row>
    <row r="53" spans="1:12" ht="12.75" customHeight="1" x14ac:dyDescent="0.35">
      <c r="A53" s="88"/>
      <c r="B53" s="125"/>
      <c r="C53" s="117"/>
      <c r="D53" s="88"/>
      <c r="E53" s="88"/>
      <c r="F53" s="88"/>
      <c r="G53" s="88"/>
      <c r="H53" s="88"/>
      <c r="I53" s="88"/>
      <c r="J53" s="88"/>
      <c r="K53" s="88"/>
      <c r="L53" s="88"/>
    </row>
    <row r="54" spans="1:12" x14ac:dyDescent="0.35">
      <c r="A54" s="128" t="s">
        <v>94</v>
      </c>
      <c r="B54" s="93" t="s">
        <v>95</v>
      </c>
      <c r="C54" s="129"/>
      <c r="D54" s="88"/>
      <c r="E54" s="88"/>
      <c r="F54" s="88"/>
      <c r="G54" s="88"/>
      <c r="H54" s="88"/>
      <c r="I54" s="88"/>
      <c r="J54" s="88"/>
      <c r="K54" s="88"/>
      <c r="L54" s="88"/>
    </row>
    <row r="55" spans="1:12" x14ac:dyDescent="0.35">
      <c r="A55" s="88"/>
      <c r="B55" s="88" t="s">
        <v>96</v>
      </c>
      <c r="C55" s="88"/>
      <c r="D55" s="88"/>
      <c r="E55" s="88"/>
      <c r="F55" s="88"/>
      <c r="G55" s="88"/>
      <c r="H55" s="88"/>
      <c r="I55" s="88"/>
      <c r="J55" s="88"/>
      <c r="K55" s="88"/>
      <c r="L55" s="88"/>
    </row>
    <row r="56" spans="1:12" x14ac:dyDescent="0.3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</row>
    <row r="57" spans="1:12" x14ac:dyDescent="0.35">
      <c r="A57" s="88"/>
      <c r="B57" s="117"/>
      <c r="C57" s="117"/>
      <c r="D57" s="88"/>
      <c r="E57" s="88"/>
      <c r="F57" s="88"/>
      <c r="G57" s="88"/>
      <c r="H57" s="88"/>
      <c r="I57" s="88"/>
      <c r="J57" s="88"/>
      <c r="K57" s="88"/>
      <c r="L57" s="88"/>
    </row>
    <row r="58" spans="1:12" x14ac:dyDescent="0.35">
      <c r="A58" s="88"/>
      <c r="B58" s="117"/>
      <c r="C58" s="117"/>
      <c r="D58" s="88"/>
      <c r="E58" s="88"/>
      <c r="F58" s="88"/>
      <c r="G58" s="88"/>
      <c r="H58" s="88"/>
      <c r="I58" s="88"/>
      <c r="J58" s="88"/>
      <c r="K58" s="88"/>
      <c r="L58" s="88"/>
    </row>
    <row r="59" spans="1:12" x14ac:dyDescent="0.35">
      <c r="A59" s="88"/>
      <c r="B59" s="125"/>
      <c r="C59" s="117"/>
      <c r="D59" s="88"/>
      <c r="E59" s="88"/>
      <c r="F59" s="88"/>
      <c r="G59" s="88"/>
      <c r="H59" s="88"/>
      <c r="I59" s="88"/>
      <c r="J59" s="88"/>
      <c r="K59" s="88"/>
      <c r="L59" s="88"/>
    </row>
    <row r="60" spans="1:12" x14ac:dyDescent="0.35">
      <c r="A60" s="88"/>
      <c r="B60" s="125"/>
      <c r="C60" s="117"/>
      <c r="D60" s="88"/>
      <c r="E60" s="88"/>
      <c r="F60" s="88"/>
      <c r="G60" s="88"/>
      <c r="H60" s="88"/>
      <c r="I60" s="88"/>
      <c r="J60" s="88"/>
      <c r="K60" s="88"/>
      <c r="L60" s="88"/>
    </row>
    <row r="61" spans="1:12" x14ac:dyDescent="0.35">
      <c r="A61" s="88"/>
      <c r="B61" s="125"/>
      <c r="C61" s="117"/>
      <c r="D61" s="88"/>
      <c r="E61" s="88"/>
      <c r="F61" s="88"/>
      <c r="G61" s="88"/>
      <c r="H61" s="88"/>
      <c r="I61" s="88"/>
      <c r="J61" s="88"/>
      <c r="K61" s="88"/>
      <c r="L61" s="88"/>
    </row>
  </sheetData>
  <mergeCells count="11">
    <mergeCell ref="D30:D32"/>
    <mergeCell ref="K28:K29"/>
    <mergeCell ref="L28:L29"/>
    <mergeCell ref="A1:L1"/>
    <mergeCell ref="A2:L2"/>
    <mergeCell ref="F18:I19"/>
    <mergeCell ref="C22:G22"/>
    <mergeCell ref="B28:B29"/>
    <mergeCell ref="C28:C29"/>
    <mergeCell ref="D28:D29"/>
    <mergeCell ref="E28:J28"/>
  </mergeCells>
  <phoneticPr fontId="29" type="noConversion"/>
  <printOptions horizontalCentered="1"/>
  <pageMargins left="0.39370078740157483" right="0.15748031496062992" top="0.53125" bottom="0.39370078740157483" header="0.11811023622047245" footer="0.62992125984251968"/>
  <pageSetup paperSize="9" scale="65" orientation="portrait" horizontalDpi="300" verticalDpi="300" r:id="rId1"/>
  <headerFooter>
    <oddHeader>&amp;R&amp;"-,Regular"&amp;8OA.LK - 029 - 18 / REV 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O60"/>
  <sheetViews>
    <sheetView view="pageBreakPreview" topLeftCell="A16" zoomScaleNormal="70" zoomScaleSheetLayoutView="100" workbookViewId="0">
      <selection activeCell="J19" sqref="J19"/>
    </sheetView>
  </sheetViews>
  <sheetFormatPr defaultColWidth="9.1796875" defaultRowHeight="15.5" x14ac:dyDescent="0.35"/>
  <cols>
    <col min="1" max="1" width="4.453125" style="1" customWidth="1"/>
    <col min="2" max="2" width="5.81640625" style="1" customWidth="1"/>
    <col min="3" max="3" width="15.26953125" style="1" customWidth="1"/>
    <col min="4" max="4" width="3.453125" style="1" customWidth="1"/>
    <col min="5" max="5" width="13.81640625" style="1" customWidth="1"/>
    <col min="6" max="7" width="14.453125" style="1" customWidth="1"/>
    <col min="8" max="8" width="14.54296875" style="1" customWidth="1"/>
    <col min="9" max="9" width="15.1796875" style="1" customWidth="1"/>
    <col min="10" max="10" width="12" style="1" customWidth="1"/>
    <col min="11" max="11" width="8" style="1" customWidth="1"/>
    <col min="12" max="12" width="10.54296875" style="1" customWidth="1"/>
    <col min="13" max="13" width="12.81640625" style="1" customWidth="1"/>
    <col min="14" max="14" width="9.26953125" style="1" bestFit="1" customWidth="1"/>
    <col min="15" max="16384" width="9.1796875" style="1"/>
  </cols>
  <sheetData>
    <row r="1" spans="1:11" ht="19.5" customHeight="1" x14ac:dyDescent="0.35">
      <c r="A1" s="996" t="s">
        <v>206</v>
      </c>
      <c r="B1" s="996"/>
      <c r="C1" s="996"/>
      <c r="D1" s="996"/>
      <c r="E1" s="996"/>
      <c r="F1" s="996"/>
      <c r="G1" s="996"/>
      <c r="H1" s="996"/>
      <c r="I1" s="996"/>
      <c r="J1" s="996"/>
      <c r="K1" s="996"/>
    </row>
    <row r="2" spans="1:11" ht="18.75" customHeight="1" x14ac:dyDescent="0.35">
      <c r="A2" s="1007" t="str">
        <f>ID!E2&amp;" "&amp;ID!I2</f>
        <v>Nomor Sertifikat : 33 / 2 / VII - 23 / E - 074.111 DL</v>
      </c>
      <c r="B2" s="1007"/>
      <c r="C2" s="1007"/>
      <c r="D2" s="1007"/>
      <c r="E2" s="1007"/>
      <c r="F2" s="1007"/>
      <c r="G2" s="1007"/>
      <c r="H2" s="1007"/>
      <c r="I2" s="1007"/>
      <c r="J2" s="1007"/>
      <c r="K2" s="1007"/>
    </row>
    <row r="3" spans="1:11" ht="15.75" customHeight="1" x14ac:dyDescent="0.35">
      <c r="A3" s="87"/>
      <c r="B3" s="117"/>
      <c r="C3" s="117"/>
      <c r="D3" s="117"/>
      <c r="E3" s="117"/>
      <c r="F3" s="117"/>
      <c r="G3" s="117"/>
      <c r="H3" s="117"/>
      <c r="I3" s="117"/>
      <c r="J3" s="117"/>
      <c r="K3" s="117"/>
    </row>
    <row r="4" spans="1:11" ht="15.75" customHeight="1" x14ac:dyDescent="0.35">
      <c r="A4" s="88" t="str">
        <f>ID!A6</f>
        <v>Merek</v>
      </c>
      <c r="B4" s="88"/>
      <c r="C4" s="88"/>
      <c r="D4" s="90" t="s">
        <v>20</v>
      </c>
      <c r="E4" s="95" t="str">
        <f>ID!D6</f>
        <v>Brandon</v>
      </c>
      <c r="F4" s="91"/>
      <c r="G4" s="88"/>
      <c r="H4" s="88"/>
      <c r="I4" s="88"/>
      <c r="J4" s="90"/>
      <c r="K4" s="88"/>
    </row>
    <row r="5" spans="1:11" ht="15.75" customHeight="1" x14ac:dyDescent="0.35">
      <c r="A5" s="88" t="str">
        <f>ID!A7</f>
        <v xml:space="preserve">Model/Tipe                    </v>
      </c>
      <c r="B5" s="88"/>
      <c r="C5" s="88"/>
      <c r="D5" s="92" t="s">
        <v>20</v>
      </c>
      <c r="E5" s="95" t="str">
        <f>ID!D7</f>
        <v>Quasar elite</v>
      </c>
      <c r="F5" s="91"/>
      <c r="G5" s="88"/>
      <c r="H5" s="88"/>
      <c r="I5" s="88"/>
      <c r="J5" s="90"/>
      <c r="K5" s="88"/>
    </row>
    <row r="6" spans="1:11" ht="15.75" customHeight="1" x14ac:dyDescent="0.35">
      <c r="A6" s="88" t="str">
        <f>ID!A8</f>
        <v xml:space="preserve">No. Seri                          </v>
      </c>
      <c r="B6" s="88"/>
      <c r="C6" s="88"/>
      <c r="D6" s="92" t="s">
        <v>20</v>
      </c>
      <c r="E6" s="95" t="str">
        <f>ID!D8</f>
        <v>1557214</v>
      </c>
      <c r="F6" s="91"/>
      <c r="G6" s="88"/>
      <c r="H6" s="88"/>
      <c r="I6" s="88"/>
      <c r="J6" s="92"/>
      <c r="K6" s="88"/>
    </row>
    <row r="7" spans="1:11" ht="15.75" customHeight="1" x14ac:dyDescent="0.35">
      <c r="A7" s="88" t="s">
        <v>23</v>
      </c>
      <c r="B7" s="88"/>
      <c r="C7" s="88"/>
      <c r="D7" s="92" t="s">
        <v>20</v>
      </c>
      <c r="E7" s="95" t="str">
        <f>ID!D9</f>
        <v>2 Juli 2023</v>
      </c>
      <c r="F7" s="91"/>
      <c r="G7" s="88"/>
      <c r="H7" s="88"/>
      <c r="I7" s="88"/>
      <c r="J7" s="92"/>
      <c r="K7" s="88"/>
    </row>
    <row r="8" spans="1:11" ht="15.75" customHeight="1" x14ac:dyDescent="0.35">
      <c r="A8" s="88" t="str">
        <f>ID!A10</f>
        <v xml:space="preserve">Tanggal Pengujian                            </v>
      </c>
      <c r="B8" s="88"/>
      <c r="C8" s="88"/>
      <c r="D8" s="92" t="s">
        <v>20</v>
      </c>
      <c r="E8" s="95" t="str">
        <f>ID!D10</f>
        <v>2 Juli 2023</v>
      </c>
      <c r="F8" s="91"/>
      <c r="G8" s="88"/>
      <c r="H8" s="88"/>
      <c r="I8" s="90"/>
      <c r="J8" s="88"/>
      <c r="K8" s="88"/>
    </row>
    <row r="9" spans="1:11" ht="15.75" customHeight="1" x14ac:dyDescent="0.35">
      <c r="A9" s="88" t="str">
        <f>ID!A11</f>
        <v xml:space="preserve">Tempat Pengujian                             </v>
      </c>
      <c r="B9" s="88"/>
      <c r="C9" s="88"/>
      <c r="D9" s="92" t="s">
        <v>20</v>
      </c>
      <c r="E9" s="95" t="str">
        <f>ID!D11</f>
        <v>OK 4</v>
      </c>
      <c r="F9" s="91"/>
      <c r="G9" s="88"/>
      <c r="H9" s="88"/>
      <c r="I9" s="90"/>
      <c r="J9" s="88"/>
      <c r="K9" s="88"/>
    </row>
    <row r="10" spans="1:11" ht="15.75" customHeight="1" x14ac:dyDescent="0.35">
      <c r="A10" s="88" t="str">
        <f>ID!A12</f>
        <v xml:space="preserve">Nama Ruang                                    </v>
      </c>
      <c r="B10" s="88"/>
      <c r="C10" s="88"/>
      <c r="D10" s="92" t="s">
        <v>20</v>
      </c>
      <c r="E10" s="95" t="str">
        <f>ID!D12</f>
        <v>OK 4</v>
      </c>
      <c r="F10" s="91"/>
      <c r="G10" s="88"/>
      <c r="H10" s="88"/>
      <c r="I10" s="90"/>
      <c r="J10" s="88"/>
      <c r="K10" s="88"/>
    </row>
    <row r="11" spans="1:11" ht="15.75" customHeight="1" x14ac:dyDescent="0.35">
      <c r="A11" s="88" t="str">
        <f>ID!A13</f>
        <v xml:space="preserve">Metode Kerja                    </v>
      </c>
      <c r="B11" s="88"/>
      <c r="C11" s="88"/>
      <c r="D11" s="92" t="s">
        <v>20</v>
      </c>
      <c r="E11" s="95" t="str">
        <f>ID!D13</f>
        <v>MK.029 - 18</v>
      </c>
      <c r="F11" s="88"/>
      <c r="G11" s="88"/>
      <c r="H11" s="88"/>
      <c r="I11" s="90"/>
      <c r="J11" s="88"/>
      <c r="K11" s="88"/>
    </row>
    <row r="12" spans="1:11" ht="13.5" customHeight="1" x14ac:dyDescent="0.35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98"/>
    </row>
    <row r="13" spans="1:11" ht="15.75" customHeight="1" x14ac:dyDescent="0.35">
      <c r="A13" s="93" t="s">
        <v>27</v>
      </c>
      <c r="B13" s="93" t="s">
        <v>28</v>
      </c>
      <c r="C13" s="93"/>
      <c r="D13" s="93"/>
      <c r="E13" s="88"/>
      <c r="F13" s="117"/>
      <c r="G13" s="117"/>
      <c r="H13" s="88"/>
      <c r="I13" s="88"/>
      <c r="J13" s="88"/>
      <c r="K13" s="88"/>
    </row>
    <row r="14" spans="1:11" ht="18" customHeight="1" x14ac:dyDescent="0.35">
      <c r="A14" s="88"/>
      <c r="B14" s="95" t="s">
        <v>207</v>
      </c>
      <c r="C14" s="95"/>
      <c r="D14" s="92" t="s">
        <v>20</v>
      </c>
      <c r="E14" s="98" t="str">
        <f>'DB Thermohygro'!T381</f>
        <v>( 27.0 ± 0.6 ) °C</v>
      </c>
      <c r="F14" s="137"/>
      <c r="G14" s="97"/>
      <c r="H14" s="88"/>
      <c r="I14" s="88"/>
      <c r="J14" s="88"/>
      <c r="K14" s="88"/>
    </row>
    <row r="15" spans="1:11" ht="16.5" customHeight="1" x14ac:dyDescent="0.35">
      <c r="A15" s="88"/>
      <c r="B15" s="95" t="s">
        <v>31</v>
      </c>
      <c r="C15" s="95"/>
      <c r="D15" s="92" t="s">
        <v>20</v>
      </c>
      <c r="E15" s="98" t="str">
        <f>'DB Thermohygro'!T382</f>
        <v>( 64.1 ± 2.3 ) %RH</v>
      </c>
      <c r="F15" s="137"/>
      <c r="G15" s="88"/>
      <c r="H15" s="88"/>
      <c r="I15" s="88"/>
      <c r="J15" s="88"/>
      <c r="K15" s="88"/>
    </row>
    <row r="16" spans="1:11" ht="16.5" customHeight="1" x14ac:dyDescent="0.35">
      <c r="A16" s="88"/>
      <c r="B16" s="95" t="s">
        <v>208</v>
      </c>
      <c r="C16" s="95"/>
      <c r="D16" s="92" t="s">
        <v>20</v>
      </c>
      <c r="E16" s="98" t="str">
        <f>'DB ESA 2023'!H274</f>
        <v>( 223.5 ± 1.8 ) Volt</v>
      </c>
      <c r="F16" s="137"/>
      <c r="G16" s="88"/>
      <c r="H16" s="88"/>
      <c r="I16" s="88"/>
      <c r="J16" s="88"/>
      <c r="K16" s="88"/>
    </row>
    <row r="17" spans="1:15" ht="7.5" customHeight="1" x14ac:dyDescent="0.35">
      <c r="A17" s="88"/>
      <c r="B17" s="93"/>
      <c r="C17" s="93"/>
      <c r="D17" s="93"/>
      <c r="E17" s="93"/>
      <c r="F17" s="88"/>
      <c r="G17" s="88"/>
      <c r="H17" s="88"/>
      <c r="I17" s="88"/>
      <c r="J17" s="88"/>
      <c r="K17" s="106"/>
    </row>
    <row r="18" spans="1:15" ht="16.5" customHeight="1" x14ac:dyDescent="0.35">
      <c r="A18" s="93" t="s">
        <v>35</v>
      </c>
      <c r="B18" s="93" t="s">
        <v>36</v>
      </c>
      <c r="C18" s="93"/>
      <c r="D18" s="88"/>
      <c r="E18" s="88"/>
      <c r="F18" s="88"/>
      <c r="G18" s="88"/>
      <c r="H18" s="106"/>
      <c r="I18" s="88"/>
      <c r="J18" s="107"/>
      <c r="K18" s="135" t="s">
        <v>37</v>
      </c>
    </row>
    <row r="19" spans="1:15" ht="15" customHeight="1" x14ac:dyDescent="0.35">
      <c r="A19" s="88"/>
      <c r="B19" s="98" t="s">
        <v>209</v>
      </c>
      <c r="C19" s="98"/>
      <c r="D19" s="92" t="s">
        <v>20</v>
      </c>
      <c r="E19" s="88" t="str">
        <f>ID!D21</f>
        <v>Baik</v>
      </c>
      <c r="F19" s="88"/>
      <c r="G19" s="174"/>
      <c r="H19" s="174"/>
      <c r="I19" s="174"/>
      <c r="J19" s="174"/>
      <c r="K19" s="162">
        <f>IF(E19="baik",5,IF(E19="Tidak Baik",0))</f>
        <v>5</v>
      </c>
    </row>
    <row r="20" spans="1:15" ht="13.5" customHeight="1" x14ac:dyDescent="0.35">
      <c r="A20" s="88"/>
      <c r="B20" s="98" t="s">
        <v>210</v>
      </c>
      <c r="C20" s="98"/>
      <c r="D20" s="92" t="s">
        <v>20</v>
      </c>
      <c r="E20" s="88" t="str">
        <f>ID!D22</f>
        <v>Baik</v>
      </c>
      <c r="F20" s="88"/>
      <c r="G20" s="174"/>
      <c r="H20" s="174"/>
      <c r="I20" s="174"/>
      <c r="J20" s="174"/>
      <c r="K20" s="162">
        <f>IF(E20="baik",5,IF(E20="Tidak Baik",0))</f>
        <v>5</v>
      </c>
    </row>
    <row r="21" spans="1:15" ht="18.75" customHeight="1" x14ac:dyDescent="0.35">
      <c r="A21" s="93" t="s">
        <v>41</v>
      </c>
      <c r="B21" s="93" t="s">
        <v>211</v>
      </c>
      <c r="C21" s="93"/>
      <c r="D21" s="88"/>
      <c r="E21" s="88"/>
      <c r="F21" s="88"/>
      <c r="G21" s="88"/>
      <c r="H21" s="88"/>
      <c r="I21" s="88"/>
      <c r="J21" s="88"/>
      <c r="K21" s="106"/>
    </row>
    <row r="22" spans="1:15" ht="38.25" customHeight="1" x14ac:dyDescent="0.35">
      <c r="A22" s="88"/>
      <c r="B22" s="138" t="s">
        <v>43</v>
      </c>
      <c r="C22" s="1011" t="s">
        <v>44</v>
      </c>
      <c r="D22" s="1012"/>
      <c r="E22" s="1012"/>
      <c r="F22" s="1012"/>
      <c r="G22" s="1013"/>
      <c r="H22" s="138" t="s">
        <v>45</v>
      </c>
      <c r="I22" s="138" t="s">
        <v>212</v>
      </c>
      <c r="J22" s="171"/>
      <c r="K22" s="164" t="s">
        <v>37</v>
      </c>
    </row>
    <row r="23" spans="1:15" ht="15.75" customHeight="1" x14ac:dyDescent="0.35">
      <c r="A23" s="88"/>
      <c r="B23" s="108">
        <v>1</v>
      </c>
      <c r="C23" s="1014" t="str">
        <f>ID!C25</f>
        <v>Resistansi isolasi</v>
      </c>
      <c r="D23" s="1015"/>
      <c r="E23" s="1015"/>
      <c r="F23" s="1015"/>
      <c r="G23" s="1016"/>
      <c r="H23" s="172" t="str">
        <f>'DB ESA 2023'!O269</f>
        <v>-</v>
      </c>
      <c r="I23" s="101" t="str">
        <f>ID!K25</f>
        <v>&gt; 2 MΩ</v>
      </c>
      <c r="J23" s="98"/>
      <c r="K23" s="165">
        <f>IF(H23="-",10,IF(H23="OL",10,IF(H23="NC",0,IF(H23&gt;=2,10,IF(H23&lt;2,0)))))</f>
        <v>10</v>
      </c>
    </row>
    <row r="24" spans="1:15" ht="15.75" customHeight="1" x14ac:dyDescent="0.35">
      <c r="A24" s="88"/>
      <c r="B24" s="108">
        <v>2</v>
      </c>
      <c r="C24" s="1017" t="str">
        <f>ID!C26</f>
        <v>Resistansi pembumian protektif ( kabel catu daya tidak dapat dilepas )</v>
      </c>
      <c r="D24" s="1018"/>
      <c r="E24" s="1018"/>
      <c r="F24" s="1018"/>
      <c r="G24" s="1019"/>
      <c r="H24" s="173" t="str">
        <f>'DB ESA 2023'!O270</f>
        <v>-</v>
      </c>
      <c r="I24" s="101" t="str">
        <f>ID!K26</f>
        <v>≤ 0.2 Ώ</v>
      </c>
      <c r="J24" s="98"/>
      <c r="K24" s="165">
        <f>IF(H24="-",0,IF(H24="OL",10,IF(H24="NC",10,IF(H24&lt;=0.2,10,IF(H24&gt;0.2,0)))))</f>
        <v>0</v>
      </c>
    </row>
    <row r="25" spans="1:15" ht="15.75" customHeight="1" x14ac:dyDescent="0.35">
      <c r="A25" s="88"/>
      <c r="B25" s="108">
        <v>3</v>
      </c>
      <c r="C25" s="1014" t="str">
        <f>ID!C27</f>
        <v xml:space="preserve">Arus bocor peralatan untuk perangkat elektromedik kelas I </v>
      </c>
      <c r="D25" s="1015"/>
      <c r="E25" s="1015"/>
      <c r="F25" s="1015"/>
      <c r="G25" s="1016"/>
      <c r="H25" s="202">
        <f>'DB ESA 2023'!O271</f>
        <v>211.03574274331245</v>
      </c>
      <c r="I25" s="101" t="str">
        <f>ID!K27</f>
        <v>≤ 500</v>
      </c>
      <c r="J25" s="98"/>
      <c r="K25" s="165">
        <f>IF(H25="-",0,IF(H25&lt;=ID!M27,20,0))</f>
        <v>20</v>
      </c>
    </row>
    <row r="26" spans="1:15" ht="20.149999999999999" customHeight="1" x14ac:dyDescent="0.35">
      <c r="A26" s="93" t="s">
        <v>56</v>
      </c>
      <c r="B26" s="93" t="s">
        <v>213</v>
      </c>
      <c r="C26" s="93"/>
      <c r="D26" s="88"/>
      <c r="E26" s="88"/>
      <c r="F26" s="88"/>
      <c r="G26" s="88"/>
      <c r="H26" s="88"/>
      <c r="I26" s="88"/>
      <c r="J26" s="88"/>
      <c r="K26" s="88"/>
      <c r="L26" s="136"/>
      <c r="N26" s="3"/>
      <c r="O26" s="3"/>
    </row>
    <row r="27" spans="1:15" ht="39.75" customHeight="1" x14ac:dyDescent="0.35">
      <c r="A27" s="88"/>
      <c r="B27" s="102" t="s">
        <v>43</v>
      </c>
      <c r="C27" s="1009" t="s">
        <v>58</v>
      </c>
      <c r="D27" s="1010"/>
      <c r="E27" s="102" t="s">
        <v>59</v>
      </c>
      <c r="F27" s="102" t="s">
        <v>60</v>
      </c>
      <c r="G27" s="101" t="s">
        <v>61</v>
      </c>
      <c r="H27" s="102" t="s">
        <v>214</v>
      </c>
      <c r="I27" s="88"/>
      <c r="J27" s="122"/>
      <c r="K27" s="163" t="s">
        <v>37</v>
      </c>
      <c r="N27" s="3"/>
      <c r="O27" s="3"/>
    </row>
    <row r="28" spans="1:15" ht="29.15" customHeight="1" x14ac:dyDescent="0.35">
      <c r="A28" s="88"/>
      <c r="B28" s="101">
        <v>1</v>
      </c>
      <c r="C28" s="999" t="str">
        <f>ID!C32</f>
        <v>Color Temperature (K)</v>
      </c>
      <c r="D28" s="999"/>
      <c r="E28" s="999" t="str">
        <f>ID!D32</f>
        <v>Maksimal</v>
      </c>
      <c r="F28" s="291">
        <f>'Data LUX Meter'!C49</f>
        <v>2000.1666766666667</v>
      </c>
      <c r="G28" s="121" t="str">
        <f>'Lembar Kerja'!K30</f>
        <v>3000 - 6700 (K)</v>
      </c>
      <c r="H28" s="373">
        <f>UB!J11</f>
        <v>0.42843030638923768</v>
      </c>
      <c r="I28" s="88"/>
      <c r="J28" s="139"/>
      <c r="K28" s="1020">
        <f>L35</f>
        <v>50</v>
      </c>
      <c r="M28" s="165">
        <f>IF(AND(F28&gt;=3000,F28&lt;=6700),10,0)</f>
        <v>0</v>
      </c>
      <c r="N28" s="73">
        <f>IF(M28=0,0,1)</f>
        <v>0</v>
      </c>
    </row>
    <row r="29" spans="1:15" ht="29.15" customHeight="1" x14ac:dyDescent="0.35">
      <c r="A29" s="88"/>
      <c r="B29" s="101">
        <v>2</v>
      </c>
      <c r="C29" s="999" t="str">
        <f>ID!C33</f>
        <v>Color Rendering Index (Ra)</v>
      </c>
      <c r="D29" s="999"/>
      <c r="E29" s="999"/>
      <c r="F29" s="291">
        <f>'Data LUX Meter'!C50</f>
        <v>70.500010000000003</v>
      </c>
      <c r="G29" s="121" t="str">
        <f>'Lembar Kerja'!K31</f>
        <v>85 - 100 (Ra)</v>
      </c>
      <c r="H29" s="373">
        <f>UB!J22</f>
        <v>0.57479959192458452</v>
      </c>
      <c r="I29" s="88"/>
      <c r="J29" s="139"/>
      <c r="K29" s="1021"/>
      <c r="L29" s="344">
        <f>SUM(M28:M30)</f>
        <v>80</v>
      </c>
      <c r="M29" s="165">
        <f>IF(AND(F29&gt;=85,F29&lt;=100),10,0)</f>
        <v>0</v>
      </c>
      <c r="N29" s="73">
        <f t="shared" ref="N29:N30" si="0">IF(M29=0,0,1)</f>
        <v>0</v>
      </c>
    </row>
    <row r="30" spans="1:15" ht="29.15" customHeight="1" x14ac:dyDescent="0.35">
      <c r="A30" s="88"/>
      <c r="B30" s="101">
        <v>3</v>
      </c>
      <c r="C30" s="999" t="s">
        <v>73</v>
      </c>
      <c r="D30" s="999"/>
      <c r="E30" s="999"/>
      <c r="F30" s="343">
        <f>'Data LUX Meter'!C51</f>
        <v>50.166676666666667</v>
      </c>
      <c r="G30" s="121" t="str">
        <f>'Lembar Kerja'!K32</f>
        <v>40 - 160 (KLux)</v>
      </c>
      <c r="H30" s="373">
        <f>UB!J33</f>
        <v>0.43374668037054992</v>
      </c>
      <c r="I30" s="88"/>
      <c r="J30" s="139"/>
      <c r="K30" s="1021"/>
      <c r="M30" s="165">
        <f>IF(AND(F30&gt;=40,F30&lt;=160),80,0)</f>
        <v>80</v>
      </c>
      <c r="N30" s="73">
        <f t="shared" si="0"/>
        <v>1</v>
      </c>
    </row>
    <row r="31" spans="1:15" ht="19" customHeight="1" x14ac:dyDescent="0.35">
      <c r="A31" s="88"/>
      <c r="B31" s="140"/>
      <c r="C31" s="140"/>
      <c r="D31" s="141"/>
      <c r="E31" s="117"/>
      <c r="F31" s="117"/>
      <c r="G31" s="88"/>
      <c r="H31" s="88"/>
      <c r="I31" s="88"/>
      <c r="J31" s="88"/>
      <c r="K31" s="142"/>
      <c r="L31" s="7"/>
      <c r="M31" s="6"/>
      <c r="N31" s="166">
        <f>SUM(N28:N30)</f>
        <v>1</v>
      </c>
      <c r="O31" s="167"/>
    </row>
    <row r="32" spans="1:15" x14ac:dyDescent="0.35">
      <c r="A32" s="93" t="s">
        <v>126</v>
      </c>
      <c r="B32" s="127" t="s">
        <v>127</v>
      </c>
      <c r="C32" s="127"/>
      <c r="D32" s="117"/>
      <c r="E32" s="133"/>
      <c r="F32" s="143"/>
      <c r="G32" s="88"/>
      <c r="H32" s="88"/>
      <c r="I32" s="88"/>
      <c r="J32" s="88"/>
      <c r="K32" s="88"/>
      <c r="L32" s="5"/>
      <c r="M32" s="2">
        <v>1</v>
      </c>
      <c r="N32" s="168">
        <v>0</v>
      </c>
      <c r="O32" s="168"/>
    </row>
    <row r="33" spans="1:15" x14ac:dyDescent="0.35">
      <c r="A33" s="88"/>
      <c r="B33" s="98" t="str">
        <f>ID!B37</f>
        <v>Ketidakpastian pengukuran diperoleh dari sumber kesalahan tipe A dan tipe B</v>
      </c>
      <c r="C33" s="98"/>
      <c r="D33" s="88"/>
      <c r="E33" s="117"/>
      <c r="F33" s="143"/>
      <c r="G33" s="88"/>
      <c r="H33" s="88"/>
      <c r="I33" s="88"/>
      <c r="J33" s="88"/>
      <c r="K33" s="88"/>
      <c r="L33" s="5"/>
      <c r="M33" s="2">
        <v>2</v>
      </c>
      <c r="N33" s="168">
        <v>50</v>
      </c>
      <c r="O33" s="168"/>
    </row>
    <row r="34" spans="1:15" x14ac:dyDescent="0.35">
      <c r="A34" s="88"/>
      <c r="B34" s="98" t="str">
        <f>ID!B38</f>
        <v>Hasil pengukuran keselamatan listrik tertelusur ke Satuan Internasional ( SI ) melalui PT. Kaliman (LK-032-IDN)</v>
      </c>
      <c r="C34" s="98"/>
      <c r="D34" s="88"/>
      <c r="E34" s="117"/>
      <c r="F34" s="143"/>
      <c r="G34" s="88"/>
      <c r="H34" s="88"/>
      <c r="I34" s="88"/>
      <c r="J34" s="88"/>
      <c r="K34" s="88"/>
      <c r="L34" s="5"/>
      <c r="M34" s="2">
        <v>3</v>
      </c>
      <c r="N34" s="168">
        <v>50</v>
      </c>
      <c r="O34" s="168"/>
    </row>
    <row r="35" spans="1:15" ht="13" customHeight="1" x14ac:dyDescent="0.35">
      <c r="A35" s="88"/>
      <c r="B35" s="144" t="str">
        <f>ID!B39</f>
        <v>Hasil pengujian kinerja Color Temperatur tertelusur ke Satuan Internasional ( SI ) melalui KONICA MINOLTA</v>
      </c>
      <c r="C35" s="144"/>
      <c r="D35" s="145"/>
      <c r="E35" s="146"/>
      <c r="F35" s="147"/>
      <c r="G35" s="145"/>
      <c r="H35" s="145"/>
      <c r="I35" s="145"/>
      <c r="J35" s="145"/>
      <c r="K35" s="145"/>
      <c r="L35" s="5">
        <f>IF(L29&lt;70,0,50)</f>
        <v>50</v>
      </c>
      <c r="M35" s="345">
        <f>VLOOKUP(N31,M32:N34,2,FALSE)</f>
        <v>0</v>
      </c>
      <c r="N35" s="168"/>
      <c r="O35" s="168"/>
    </row>
    <row r="36" spans="1:15" ht="14.5" customHeight="1" x14ac:dyDescent="0.35">
      <c r="A36" s="88"/>
      <c r="B36" s="144" t="str">
        <f>ID!B40</f>
        <v>Hasil pengujian kinerja Color Rendering tertelusur ke Satuan Internasional ( SI ) melalui KONICA MINOLTA</v>
      </c>
      <c r="C36" s="144"/>
      <c r="D36" s="145"/>
      <c r="E36" s="146"/>
      <c r="F36" s="147"/>
      <c r="G36" s="145"/>
      <c r="H36" s="145"/>
      <c r="I36" s="145"/>
      <c r="J36" s="145"/>
      <c r="K36" s="145"/>
      <c r="L36" s="5"/>
      <c r="M36" s="2"/>
      <c r="N36" s="168"/>
      <c r="O36" s="168"/>
    </row>
    <row r="37" spans="1:15" x14ac:dyDescent="0.35">
      <c r="A37" s="88"/>
      <c r="B37" s="144" t="str">
        <f>ID!B41</f>
        <v>Hasil pengujian kinerja Central Illuminance tertelusur ke Satuan Internasional ( SI ) melalui KONICA MINOLTA</v>
      </c>
      <c r="C37" s="144"/>
      <c r="D37" s="145"/>
      <c r="E37" s="146"/>
      <c r="F37" s="147"/>
      <c r="G37" s="145"/>
      <c r="H37" s="145"/>
      <c r="I37" s="145"/>
      <c r="J37" s="145"/>
      <c r="K37" s="145"/>
      <c r="L37" s="5"/>
      <c r="M37" s="2"/>
      <c r="N37" s="168"/>
      <c r="O37" s="168"/>
    </row>
    <row r="38" spans="1:15" x14ac:dyDescent="0.35">
      <c r="A38" s="88"/>
      <c r="B38" s="144" t="str">
        <f>ID!B42</f>
        <v>Pengukuran keselamatan listrik menggunakan Point to Point</v>
      </c>
      <c r="C38" s="144"/>
      <c r="D38" s="145"/>
      <c r="E38" s="146"/>
      <c r="F38" s="147"/>
      <c r="G38" s="145"/>
      <c r="H38" s="145"/>
      <c r="I38" s="145"/>
      <c r="J38" s="145"/>
      <c r="K38" s="145"/>
      <c r="L38" s="5"/>
      <c r="M38" s="2"/>
      <c r="N38" s="168"/>
      <c r="O38" s="168"/>
    </row>
    <row r="39" spans="1:15" x14ac:dyDescent="0.35">
      <c r="A39" s="88"/>
      <c r="B39" s="374" t="str">
        <f>ID!B43</f>
        <v>Alat tidak boleh digunakan pada instalasi yang tanpa dilengkapi grounding</v>
      </c>
      <c r="C39" s="144"/>
      <c r="D39" s="145"/>
      <c r="E39" s="146"/>
      <c r="F39" s="147"/>
      <c r="G39" s="145"/>
      <c r="H39" s="145"/>
      <c r="I39" s="145"/>
      <c r="J39" s="145"/>
      <c r="K39" s="145"/>
      <c r="L39" s="5"/>
      <c r="M39" s="2"/>
      <c r="N39" s="168"/>
      <c r="O39" s="168"/>
    </row>
    <row r="40" spans="1:15" x14ac:dyDescent="0.35">
      <c r="A40" s="88"/>
      <c r="B40" s="144"/>
      <c r="C40" s="144"/>
      <c r="D40" s="145"/>
      <c r="E40" s="146"/>
      <c r="F40" s="147"/>
      <c r="G40" s="145"/>
      <c r="H40" s="145"/>
      <c r="I40" s="145"/>
      <c r="J40" s="145"/>
      <c r="K40" s="145"/>
      <c r="L40" s="5"/>
      <c r="M40" s="2"/>
      <c r="N40" s="168"/>
      <c r="O40" s="168"/>
    </row>
    <row r="41" spans="1:15" x14ac:dyDescent="0.35">
      <c r="A41" s="93" t="s">
        <v>79</v>
      </c>
      <c r="B41" s="148" t="s">
        <v>80</v>
      </c>
      <c r="C41" s="148"/>
      <c r="D41" s="145"/>
      <c r="E41" s="145"/>
      <c r="F41" s="145"/>
      <c r="G41" s="145"/>
      <c r="H41" s="145"/>
      <c r="I41" s="145"/>
      <c r="J41" s="145"/>
      <c r="K41" s="145"/>
      <c r="L41" s="4"/>
      <c r="M41" s="4"/>
      <c r="N41" s="168"/>
      <c r="O41" s="168"/>
    </row>
    <row r="42" spans="1:15" x14ac:dyDescent="0.35">
      <c r="A42" s="88"/>
      <c r="B42" s="149" t="str">
        <f>ID!B46</f>
        <v>CRI Illuminance Meter, Merek : KONICA MINOLTA , Model : CL - 70F, SN: JT70 - 002458</v>
      </c>
      <c r="C42" s="149"/>
      <c r="D42" s="146"/>
      <c r="E42" s="147"/>
      <c r="F42" s="145"/>
      <c r="G42" s="145"/>
      <c r="H42" s="145"/>
      <c r="I42" s="145"/>
      <c r="J42" s="145"/>
      <c r="K42" s="150"/>
    </row>
    <row r="43" spans="1:15" x14ac:dyDescent="0.35">
      <c r="A43" s="88"/>
      <c r="B43" s="125" t="str">
        <f>ID!B47</f>
        <v>Electrical Safety Analyzer, Merek : Fluke, Model : ESA 615, SN : 3148908</v>
      </c>
      <c r="C43" s="125"/>
      <c r="D43" s="117"/>
      <c r="E43" s="143"/>
      <c r="F43" s="88"/>
      <c r="G43" s="88"/>
      <c r="H43" s="88"/>
      <c r="I43" s="88"/>
      <c r="J43" s="88"/>
      <c r="K43" s="151"/>
    </row>
    <row r="44" spans="1:15" x14ac:dyDescent="0.35">
      <c r="A44" s="88"/>
      <c r="B44" s="125"/>
      <c r="C44" s="125"/>
      <c r="D44" s="117"/>
      <c r="E44" s="143"/>
      <c r="F44" s="88"/>
      <c r="G44" s="88"/>
      <c r="H44" s="88"/>
      <c r="I44" s="88"/>
      <c r="J44" s="88"/>
      <c r="K44" s="151"/>
    </row>
    <row r="45" spans="1:15" x14ac:dyDescent="0.35">
      <c r="A45" s="93" t="s">
        <v>91</v>
      </c>
      <c r="B45" s="126" t="s">
        <v>92</v>
      </c>
      <c r="C45" s="126"/>
      <c r="D45" s="117"/>
      <c r="E45" s="143"/>
      <c r="F45" s="88"/>
      <c r="G45" s="88"/>
      <c r="H45" s="88"/>
      <c r="I45" s="88"/>
      <c r="J45" s="88"/>
      <c r="K45" s="151"/>
    </row>
    <row r="46" spans="1:15" x14ac:dyDescent="0.35">
      <c r="A46" s="88"/>
      <c r="B46" s="1008" t="str">
        <f>ID!B51</f>
        <v>Alat yang diuji dalam batas toleransi dan dinyatakan LAIK PAKAI, dimana hasil atau skor akhir sama dengan atau melampaui 70 % berdasarkan Keputusan Direktur Jenderal Pelayanan Kesehatan No : HK.02.02/V/0412/2020</v>
      </c>
      <c r="C46" s="1008"/>
      <c r="D46" s="1008"/>
      <c r="E46" s="1008"/>
      <c r="F46" s="1008"/>
      <c r="G46" s="1008"/>
      <c r="H46" s="1008"/>
      <c r="I46" s="1008"/>
      <c r="J46" s="1008"/>
      <c r="K46" s="151"/>
    </row>
    <row r="47" spans="1:15" ht="18.75" customHeight="1" x14ac:dyDescent="0.35">
      <c r="A47" s="88"/>
      <c r="B47" s="1008"/>
      <c r="C47" s="1008"/>
      <c r="D47" s="1008"/>
      <c r="E47" s="1008"/>
      <c r="F47" s="1008"/>
      <c r="G47" s="1008"/>
      <c r="H47" s="1008"/>
      <c r="I47" s="1008"/>
      <c r="J47" s="1008"/>
      <c r="K47" s="151"/>
    </row>
    <row r="48" spans="1:15" x14ac:dyDescent="0.35">
      <c r="A48" s="88"/>
      <c r="B48" s="126"/>
      <c r="C48" s="126"/>
      <c r="D48" s="117"/>
      <c r="E48" s="143"/>
      <c r="F48" s="88"/>
      <c r="G48" s="88"/>
      <c r="H48" s="88"/>
      <c r="I48" s="88"/>
      <c r="J48" s="88"/>
      <c r="K48" s="151"/>
    </row>
    <row r="49" spans="1:14" x14ac:dyDescent="0.35">
      <c r="A49" s="93" t="s">
        <v>94</v>
      </c>
      <c r="B49" s="128" t="s">
        <v>95</v>
      </c>
      <c r="C49" s="128"/>
      <c r="D49" s="129"/>
      <c r="E49" s="152"/>
      <c r="F49" s="88"/>
      <c r="G49" s="88"/>
      <c r="H49" s="88"/>
      <c r="I49" s="88"/>
      <c r="J49" s="88"/>
      <c r="K49" s="88"/>
    </row>
    <row r="50" spans="1:14" x14ac:dyDescent="0.35">
      <c r="A50" s="88"/>
      <c r="B50" s="153" t="str">
        <f>ID!B55</f>
        <v>Donny Martha</v>
      </c>
      <c r="C50" s="153"/>
      <c r="D50" s="117"/>
      <c r="E50" s="143"/>
      <c r="F50" s="143"/>
      <c r="G50" s="88"/>
      <c r="H50" s="88"/>
      <c r="I50" s="88"/>
      <c r="J50" s="88"/>
      <c r="K50" s="88"/>
      <c r="M50" s="178"/>
    </row>
    <row r="51" spans="1:14" x14ac:dyDescent="0.35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</row>
    <row r="52" spans="1:14" x14ac:dyDescent="0.35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</row>
    <row r="53" spans="1:14" x14ac:dyDescent="0.35">
      <c r="A53" s="88"/>
      <c r="B53" s="145"/>
      <c r="C53" s="145"/>
      <c r="D53" s="145"/>
      <c r="E53" s="145"/>
      <c r="F53" s="145"/>
      <c r="G53" s="145"/>
      <c r="H53" s="145"/>
      <c r="I53" s="145"/>
      <c r="J53" s="146"/>
      <c r="K53" s="145"/>
    </row>
    <row r="54" spans="1:14" x14ac:dyDescent="0.35">
      <c r="A54" s="88"/>
      <c r="B54" s="145"/>
      <c r="C54" s="145"/>
      <c r="D54" s="145"/>
      <c r="E54" s="145"/>
      <c r="F54" s="145"/>
      <c r="G54" s="145"/>
      <c r="H54" s="145"/>
      <c r="I54" s="145"/>
      <c r="J54" s="146"/>
      <c r="K54" s="145"/>
      <c r="M54" s="10"/>
    </row>
    <row r="55" spans="1:14" x14ac:dyDescent="0.35">
      <c r="A55" s="88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M55" s="179" t="s">
        <v>215</v>
      </c>
      <c r="N55" s="180">
        <f>SUM(K19:K20)</f>
        <v>10</v>
      </c>
    </row>
    <row r="56" spans="1:14" x14ac:dyDescent="0.35">
      <c r="A56" s="88"/>
      <c r="B56" s="145"/>
      <c r="C56" s="1022" t="s">
        <v>216</v>
      </c>
      <c r="D56" s="1022"/>
      <c r="E56" s="1022"/>
      <c r="F56" s="1022"/>
      <c r="G56" s="175" t="s">
        <v>1</v>
      </c>
      <c r="H56" s="154" t="s">
        <v>217</v>
      </c>
      <c r="I56" s="155" t="s">
        <v>218</v>
      </c>
      <c r="J56" s="156"/>
      <c r="K56" s="145"/>
      <c r="L56" s="11"/>
      <c r="M56" s="181" t="s">
        <v>219</v>
      </c>
      <c r="N56" s="346">
        <f>ID!M63</f>
        <v>30</v>
      </c>
    </row>
    <row r="57" spans="1:14" x14ac:dyDescent="0.35">
      <c r="A57" s="88"/>
      <c r="B57" s="157"/>
      <c r="C57" s="348" t="s">
        <v>220</v>
      </c>
      <c r="D57" s="349" t="s">
        <v>20</v>
      </c>
      <c r="E57" s="350" t="str">
        <f>B50</f>
        <v>Donny Martha</v>
      </c>
      <c r="F57" s="350"/>
      <c r="G57" s="351" t="str">
        <f>ID!B58</f>
        <v>2 Juli 2023</v>
      </c>
      <c r="H57" s="154"/>
      <c r="I57" s="1005">
        <f>SUM(N55:N57)</f>
        <v>90</v>
      </c>
      <c r="J57" s="145"/>
      <c r="K57" s="145"/>
      <c r="M57" s="181" t="s">
        <v>221</v>
      </c>
      <c r="N57" s="1">
        <f>K28</f>
        <v>50</v>
      </c>
    </row>
    <row r="58" spans="1:14" x14ac:dyDescent="0.35">
      <c r="A58" s="88"/>
      <c r="B58" s="157"/>
      <c r="C58" s="176" t="s">
        <v>222</v>
      </c>
      <c r="D58" s="177" t="s">
        <v>20</v>
      </c>
      <c r="E58" s="1003"/>
      <c r="F58" s="1004"/>
      <c r="G58" s="158"/>
      <c r="H58" s="159"/>
      <c r="I58" s="1006"/>
      <c r="J58" s="145"/>
      <c r="K58" s="145"/>
      <c r="M58" s="182"/>
    </row>
    <row r="59" spans="1:14" x14ac:dyDescent="0.35">
      <c r="A59" s="88"/>
      <c r="B59" s="160"/>
      <c r="C59" s="160"/>
      <c r="D59" s="160"/>
      <c r="E59" s="157"/>
      <c r="F59" s="157"/>
      <c r="G59" s="157"/>
      <c r="H59" s="145"/>
      <c r="I59" s="145"/>
      <c r="J59" s="145"/>
      <c r="K59" s="144"/>
      <c r="L59" s="12"/>
    </row>
    <row r="60" spans="1:14" x14ac:dyDescent="0.35">
      <c r="A60" s="88"/>
      <c r="B60" s="160"/>
      <c r="C60" s="160"/>
      <c r="D60" s="160"/>
      <c r="E60" s="160"/>
      <c r="F60" s="160"/>
      <c r="G60" s="160"/>
      <c r="H60" s="161"/>
      <c r="I60" s="161"/>
      <c r="J60" s="145"/>
      <c r="K60" s="145"/>
      <c r="L60" s="13"/>
    </row>
  </sheetData>
  <sheetProtection algorithmName="SHA-512" hashValue="zGJakQsmi489tlUXz38tcpXAZiX4glrBfzqtk/3qIw3ivcFzRumHfLPcmd3Cjj2a3hX4g0eJEap556eEuCfE6w==" saltValue="HGmoekpZTmeo/oj6dFkXCw==" spinCount="100000" sheet="1" formatCells="0" formatColumns="0" formatRows="0" insertColumns="0" insertRows="0" deleteColumns="0" deleteRows="0"/>
  <mergeCells count="16">
    <mergeCell ref="E58:F58"/>
    <mergeCell ref="I57:I58"/>
    <mergeCell ref="A1:K1"/>
    <mergeCell ref="A2:K2"/>
    <mergeCell ref="B46:J47"/>
    <mergeCell ref="C27:D27"/>
    <mergeCell ref="C28:D28"/>
    <mergeCell ref="C22:G22"/>
    <mergeCell ref="C23:G23"/>
    <mergeCell ref="C24:G24"/>
    <mergeCell ref="C25:G25"/>
    <mergeCell ref="C29:D29"/>
    <mergeCell ref="C30:D30"/>
    <mergeCell ref="E28:E30"/>
    <mergeCell ref="K28:K30"/>
    <mergeCell ref="C56:F56"/>
  </mergeCells>
  <pageMargins left="1.02362204724409" right="0.15748031496063" top="0.70866141732283505" bottom="0.196850393700787" header="0.511811023622047" footer="0.23622047244094499"/>
  <pageSetup paperSize="9" scale="70" orientation="portrait" horizontalDpi="300" verticalDpi="300" r:id="rId1"/>
  <headerFooter>
    <oddHeader>&amp;R&amp;"-,Regular"&amp;8OA.LP - 029 - 18 / REV 1</oddHeader>
    <oddFooter>&amp;R&amp;K00-029Lampu Ceiling 18.7.2023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2:K33"/>
  <sheetViews>
    <sheetView zoomScaleNormal="100" workbookViewId="0">
      <selection activeCell="A21" sqref="A21:G21"/>
    </sheetView>
  </sheetViews>
  <sheetFormatPr defaultColWidth="9.1796875" defaultRowHeight="12.5" x14ac:dyDescent="0.25"/>
  <cols>
    <col min="1" max="1" width="4.81640625" style="204" customWidth="1"/>
    <col min="2" max="2" width="19.453125" style="204" customWidth="1"/>
    <col min="3" max="3" width="1.453125" style="204" customWidth="1"/>
    <col min="4" max="4" width="12" style="204" customWidth="1"/>
    <col min="5" max="5" width="19" style="204" customWidth="1"/>
    <col min="6" max="7" width="18.7265625" style="204" customWidth="1"/>
    <col min="8" max="8" width="9.1796875" style="204"/>
    <col min="9" max="9" width="23" style="204" bestFit="1" customWidth="1"/>
    <col min="10" max="10" width="9.7265625" style="204" bestFit="1" customWidth="1"/>
    <col min="11" max="11" width="8.81640625" style="204" customWidth="1"/>
    <col min="12" max="16384" width="9.1796875" style="204"/>
  </cols>
  <sheetData>
    <row r="2" spans="1:11" x14ac:dyDescent="0.25">
      <c r="G2" s="231" t="e">
        <f>VLOOKUP(B18,'DB SERTIFIKAT'!$B$2:$C$73,2,FALSE)</f>
        <v>#REF!</v>
      </c>
      <c r="I2" s="232"/>
      <c r="J2" s="1025"/>
      <c r="K2" s="1025"/>
    </row>
    <row r="3" spans="1:11" ht="22.5" x14ac:dyDescent="0.25">
      <c r="A3" s="1026" t="s">
        <v>424</v>
      </c>
      <c r="B3" s="1026"/>
      <c r="C3" s="1026"/>
      <c r="D3" s="1026"/>
      <c r="E3" s="1026"/>
      <c r="F3" s="1026"/>
      <c r="G3" s="1026"/>
      <c r="I3" s="206"/>
      <c r="J3" s="1027"/>
      <c r="K3" s="1028"/>
    </row>
    <row r="4" spans="1:11" ht="15" x14ac:dyDescent="0.25">
      <c r="A4" s="1029" t="str">
        <f>"Nomor : 33 /"&amp;" M - "&amp;ID!I2</f>
        <v>Nomor : 33 / M - 2 / VII - 23 / E - 074.111 DL</v>
      </c>
      <c r="B4" s="1029"/>
      <c r="C4" s="1029"/>
      <c r="D4" s="1029"/>
      <c r="E4" s="1029"/>
      <c r="F4" s="1029"/>
      <c r="G4" s="1029"/>
      <c r="I4" s="233"/>
      <c r="J4" s="234"/>
      <c r="K4" s="235"/>
    </row>
    <row r="5" spans="1:11" x14ac:dyDescent="0.25">
      <c r="I5" s="236"/>
      <c r="J5" s="237"/>
      <c r="K5" s="235"/>
    </row>
    <row r="6" spans="1:11" x14ac:dyDescent="0.25">
      <c r="I6" s="238"/>
      <c r="J6" s="235"/>
      <c r="K6" s="235"/>
    </row>
    <row r="7" spans="1:11" ht="33.75" customHeight="1" x14ac:dyDescent="0.25">
      <c r="A7" s="1023" t="s">
        <v>425</v>
      </c>
      <c r="B7" s="1023"/>
      <c r="C7" s="1023"/>
      <c r="D7" s="1023"/>
      <c r="E7" s="1023"/>
      <c r="F7" s="1023"/>
      <c r="G7" s="1023"/>
      <c r="I7" s="238"/>
      <c r="J7" s="239"/>
      <c r="K7" s="235"/>
    </row>
    <row r="8" spans="1:11" ht="15.5" x14ac:dyDescent="0.25">
      <c r="A8" s="240"/>
      <c r="B8" s="240"/>
      <c r="C8" s="240"/>
      <c r="D8" s="240"/>
      <c r="E8" s="240"/>
      <c r="F8" s="240"/>
      <c r="G8" s="240"/>
      <c r="I8" s="238"/>
      <c r="J8" s="235"/>
      <c r="K8" s="235"/>
    </row>
    <row r="9" spans="1:11" x14ac:dyDescent="0.25">
      <c r="I9" s="238"/>
      <c r="J9" s="235"/>
      <c r="K9" s="235"/>
    </row>
    <row r="10" spans="1:11" ht="15.5" x14ac:dyDescent="0.35">
      <c r="A10" s="241" t="s">
        <v>426</v>
      </c>
      <c r="C10" s="241" t="s">
        <v>20</v>
      </c>
      <c r="D10" s="1023" t="e">
        <f>#REF!</f>
        <v>#REF!</v>
      </c>
      <c r="E10" s="1023"/>
      <c r="F10" s="1023"/>
      <c r="G10" s="1023"/>
      <c r="I10" s="238"/>
      <c r="J10" s="1024"/>
      <c r="K10" s="1024"/>
    </row>
    <row r="11" spans="1:11" ht="32.25" customHeight="1" x14ac:dyDescent="0.25">
      <c r="A11" s="242" t="s">
        <v>427</v>
      </c>
      <c r="C11" s="242" t="s">
        <v>20</v>
      </c>
      <c r="D11" s="1023" t="e">
        <f>#REF!</f>
        <v>#REF!</v>
      </c>
      <c r="E11" s="1023"/>
      <c r="F11" s="1023"/>
      <c r="G11" s="1023"/>
      <c r="I11" s="238"/>
      <c r="J11" s="1024"/>
      <c r="K11" s="1024"/>
    </row>
    <row r="12" spans="1:11" ht="15.5" x14ac:dyDescent="0.35">
      <c r="A12" s="241" t="s">
        <v>428</v>
      </c>
      <c r="C12" s="241" t="s">
        <v>20</v>
      </c>
      <c r="D12" s="241" t="e">
        <f>#REF!</f>
        <v>#REF!</v>
      </c>
      <c r="I12" s="238"/>
      <c r="J12" s="1030"/>
      <c r="K12" s="1031"/>
    </row>
    <row r="15" spans="1:11" ht="15.5" x14ac:dyDescent="0.25">
      <c r="A15" s="243" t="s">
        <v>429</v>
      </c>
    </row>
    <row r="17" spans="1:7" ht="22.5" customHeight="1" x14ac:dyDescent="0.25">
      <c r="A17" s="244" t="s">
        <v>0</v>
      </c>
      <c r="B17" s="244" t="s">
        <v>430</v>
      </c>
      <c r="C17" s="1032" t="s">
        <v>431</v>
      </c>
      <c r="D17" s="1033"/>
      <c r="E17" s="244" t="s">
        <v>432</v>
      </c>
      <c r="F17" s="244" t="s">
        <v>433</v>
      </c>
      <c r="G17" s="244" t="s">
        <v>434</v>
      </c>
    </row>
    <row r="18" spans="1:7" ht="30.75" customHeight="1" x14ac:dyDescent="0.25">
      <c r="A18" s="245" t="s">
        <v>435</v>
      </c>
      <c r="B18" s="246" t="e">
        <f>#REF!</f>
        <v>#REF!</v>
      </c>
      <c r="C18" s="1034" t="e">
        <f>#REF!</f>
        <v>#REF!</v>
      </c>
      <c r="D18" s="1035"/>
      <c r="E18" s="247" t="e">
        <f>#REF!</f>
        <v>#REF!</v>
      </c>
      <c r="F18" s="247" t="e">
        <f>#REF!</f>
        <v>#REF!</v>
      </c>
      <c r="G18" s="244" t="e">
        <f>#REF!</f>
        <v>#REF!</v>
      </c>
    </row>
    <row r="19" spans="1:7" ht="15.5" x14ac:dyDescent="0.25">
      <c r="A19" s="248"/>
      <c r="C19" s="249"/>
      <c r="D19" s="249"/>
    </row>
    <row r="21" spans="1:7" ht="30.75" customHeight="1" x14ac:dyDescent="0.25">
      <c r="A21" s="1023" t="s">
        <v>436</v>
      </c>
      <c r="B21" s="1023"/>
      <c r="C21" s="1023"/>
      <c r="D21" s="1023"/>
      <c r="E21" s="1023"/>
      <c r="F21" s="1023"/>
      <c r="G21" s="1023"/>
    </row>
    <row r="23" spans="1:7" ht="15.5" x14ac:dyDescent="0.25">
      <c r="A23" s="1036" t="s">
        <v>437</v>
      </c>
      <c r="B23" s="1036"/>
      <c r="C23" s="1036"/>
      <c r="D23" s="1036"/>
      <c r="E23" s="1036"/>
      <c r="F23" s="1036"/>
      <c r="G23" s="1036"/>
    </row>
    <row r="24" spans="1:7" ht="15.5" x14ac:dyDescent="0.25">
      <c r="A24" s="250"/>
      <c r="B24" s="250"/>
      <c r="C24" s="250"/>
      <c r="D24" s="250"/>
      <c r="E24" s="250"/>
      <c r="F24" s="250"/>
      <c r="G24" s="250"/>
    </row>
    <row r="26" spans="1:7" ht="15.5" x14ac:dyDescent="0.25">
      <c r="F26" s="251" t="s">
        <v>438</v>
      </c>
      <c r="G26" s="252">
        <f ca="1">TODAY()</f>
        <v>45190</v>
      </c>
    </row>
    <row r="27" spans="1:7" ht="15.5" x14ac:dyDescent="0.35">
      <c r="F27" s="1037" t="s">
        <v>439</v>
      </c>
      <c r="G27" s="1037"/>
    </row>
    <row r="32" spans="1:7" ht="15" x14ac:dyDescent="0.3">
      <c r="F32" s="1038" t="s">
        <v>422</v>
      </c>
      <c r="G32" s="1038"/>
    </row>
    <row r="33" spans="6:7" ht="15.5" x14ac:dyDescent="0.35">
      <c r="F33" s="1037" t="s">
        <v>423</v>
      </c>
      <c r="G33" s="1037"/>
    </row>
  </sheetData>
  <sheetProtection algorithmName="SHA-512" hashValue="aPW1YTG/0Gt0etcM4nIzU7i/hqlZIpVajB2lRHvnmZDBSRtDe8BsmF0rZ0fxnuXYWTb/8ipyv/M/tglxt/OHUw==" saltValue="xdBqupHbPOR+zHtHFflzUA==" spinCount="100000" sheet="1" objects="1" scenarios="1"/>
  <mergeCells count="17">
    <mergeCell ref="A23:G23"/>
    <mergeCell ref="F27:G27"/>
    <mergeCell ref="F32:G32"/>
    <mergeCell ref="F33:G33"/>
    <mergeCell ref="D11:G11"/>
    <mergeCell ref="J11:K11"/>
    <mergeCell ref="J12:K12"/>
    <mergeCell ref="C17:D17"/>
    <mergeCell ref="C18:D18"/>
    <mergeCell ref="A21:G21"/>
    <mergeCell ref="D10:G10"/>
    <mergeCell ref="J10:K10"/>
    <mergeCell ref="J2:K2"/>
    <mergeCell ref="A3:G3"/>
    <mergeCell ref="J3:K3"/>
    <mergeCell ref="A4:G4"/>
    <mergeCell ref="A7:G7"/>
  </mergeCells>
  <pageMargins left="0.6" right="0.3" top="1.5" bottom="0.75" header="0.3" footer="0.3"/>
  <pageSetup paperSize="9" scale="9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3"/>
  <sheetViews>
    <sheetView topLeftCell="A4" workbookViewId="0">
      <selection activeCell="D35" sqref="D35"/>
    </sheetView>
  </sheetViews>
  <sheetFormatPr defaultColWidth="9.1796875" defaultRowHeight="12.5" x14ac:dyDescent="0.25"/>
  <cols>
    <col min="1" max="1" width="9.1796875" style="204"/>
    <col min="2" max="2" width="30.26953125" style="204" bestFit="1" customWidth="1"/>
    <col min="3" max="3" width="24.54296875" style="204" bestFit="1" customWidth="1"/>
    <col min="4" max="4" width="32.54296875" style="204" bestFit="1" customWidth="1"/>
    <col min="5" max="5" width="9.81640625" style="204" customWidth="1"/>
    <col min="6" max="6" width="30.1796875" style="204" bestFit="1" customWidth="1"/>
    <col min="7" max="7" width="9.1796875" style="204"/>
    <col min="8" max="8" width="15.453125" style="204" bestFit="1" customWidth="1"/>
    <col min="9" max="9" width="9.1796875" style="204"/>
    <col min="10" max="10" width="11.7265625" style="204" bestFit="1" customWidth="1"/>
    <col min="11" max="16384" width="9.1796875" style="204"/>
  </cols>
  <sheetData>
    <row r="1" spans="1:15" ht="14" x14ac:dyDescent="0.3">
      <c r="A1" s="253" t="s">
        <v>43</v>
      </c>
      <c r="B1" s="253" t="s">
        <v>430</v>
      </c>
      <c r="C1" s="253" t="s">
        <v>440</v>
      </c>
      <c r="D1" s="254" t="s">
        <v>441</v>
      </c>
      <c r="E1" s="255"/>
      <c r="F1" s="256" t="s">
        <v>404</v>
      </c>
      <c r="H1" s="255"/>
      <c r="J1" s="255"/>
    </row>
    <row r="2" spans="1:15" ht="14" x14ac:dyDescent="0.3">
      <c r="A2" s="257">
        <v>1</v>
      </c>
      <c r="B2" s="257" t="s">
        <v>442</v>
      </c>
      <c r="C2" s="257" t="s">
        <v>443</v>
      </c>
      <c r="D2" s="258" t="s">
        <v>444</v>
      </c>
      <c r="F2" s="259" t="s">
        <v>445</v>
      </c>
    </row>
    <row r="3" spans="1:15" ht="14" x14ac:dyDescent="0.3">
      <c r="A3" s="257">
        <v>2</v>
      </c>
      <c r="B3" s="257" t="s">
        <v>446</v>
      </c>
      <c r="C3" s="257" t="s">
        <v>447</v>
      </c>
      <c r="D3" s="257" t="s">
        <v>448</v>
      </c>
      <c r="F3" s="259" t="s">
        <v>449</v>
      </c>
    </row>
    <row r="4" spans="1:15" ht="14" x14ac:dyDescent="0.3">
      <c r="A4" s="257">
        <v>3</v>
      </c>
      <c r="B4" s="257" t="s">
        <v>450</v>
      </c>
      <c r="C4" s="257" t="s">
        <v>451</v>
      </c>
      <c r="D4" s="257" t="s">
        <v>452</v>
      </c>
      <c r="F4" s="259" t="s">
        <v>453</v>
      </c>
    </row>
    <row r="5" spans="1:15" ht="14" x14ac:dyDescent="0.3">
      <c r="A5" s="257">
        <v>4</v>
      </c>
      <c r="B5" s="257" t="s">
        <v>454</v>
      </c>
      <c r="C5" s="257" t="s">
        <v>455</v>
      </c>
      <c r="D5" s="258" t="s">
        <v>456</v>
      </c>
      <c r="F5" s="259" t="s">
        <v>457</v>
      </c>
      <c r="H5" s="260"/>
    </row>
    <row r="6" spans="1:15" ht="14" x14ac:dyDescent="0.3">
      <c r="A6" s="257">
        <v>5</v>
      </c>
      <c r="B6" s="257" t="s">
        <v>458</v>
      </c>
      <c r="C6" s="257" t="s">
        <v>459</v>
      </c>
      <c r="D6" s="258" t="s">
        <v>460</v>
      </c>
      <c r="F6" s="259" t="s">
        <v>461</v>
      </c>
    </row>
    <row r="7" spans="1:15" ht="14" x14ac:dyDescent="0.3">
      <c r="A7" s="257">
        <v>6</v>
      </c>
      <c r="B7" s="257" t="s">
        <v>462</v>
      </c>
      <c r="C7" s="257" t="s">
        <v>463</v>
      </c>
      <c r="D7" s="258" t="s">
        <v>464</v>
      </c>
      <c r="F7" s="259" t="s">
        <v>406</v>
      </c>
    </row>
    <row r="8" spans="1:15" ht="14" x14ac:dyDescent="0.3">
      <c r="A8" s="257">
        <v>7</v>
      </c>
      <c r="B8" s="257" t="s">
        <v>465</v>
      </c>
      <c r="C8" s="257" t="s">
        <v>466</v>
      </c>
      <c r="D8" s="258" t="s">
        <v>467</v>
      </c>
      <c r="F8" s="259" t="s">
        <v>468</v>
      </c>
    </row>
    <row r="9" spans="1:15" ht="14" x14ac:dyDescent="0.3">
      <c r="A9" s="257">
        <v>8</v>
      </c>
      <c r="B9" s="257" t="s">
        <v>469</v>
      </c>
      <c r="C9" s="257" t="s">
        <v>470</v>
      </c>
      <c r="D9" s="257" t="s">
        <v>471</v>
      </c>
      <c r="F9" s="259" t="s">
        <v>472</v>
      </c>
    </row>
    <row r="10" spans="1:15" ht="14" x14ac:dyDescent="0.3">
      <c r="A10" s="257">
        <v>9</v>
      </c>
      <c r="B10" s="257" t="s">
        <v>473</v>
      </c>
      <c r="C10" s="257" t="s">
        <v>474</v>
      </c>
      <c r="D10" s="258" t="s">
        <v>475</v>
      </c>
      <c r="F10" s="259" t="s">
        <v>476</v>
      </c>
      <c r="H10" s="260"/>
    </row>
    <row r="11" spans="1:15" ht="14" x14ac:dyDescent="0.3">
      <c r="A11" s="257">
        <v>10</v>
      </c>
      <c r="B11" s="257" t="s">
        <v>477</v>
      </c>
      <c r="C11" s="257" t="s">
        <v>478</v>
      </c>
      <c r="D11" s="257" t="s">
        <v>479</v>
      </c>
      <c r="F11" s="259" t="s">
        <v>480</v>
      </c>
      <c r="L11" s="261"/>
      <c r="M11" s="262"/>
      <c r="N11" s="261"/>
      <c r="O11" s="262"/>
    </row>
    <row r="12" spans="1:15" ht="14" x14ac:dyDescent="0.3">
      <c r="A12" s="257">
        <v>11</v>
      </c>
      <c r="B12" s="257" t="s">
        <v>481</v>
      </c>
      <c r="C12" s="257" t="s">
        <v>478</v>
      </c>
      <c r="D12" s="257" t="s">
        <v>479</v>
      </c>
      <c r="F12" s="259" t="s">
        <v>482</v>
      </c>
      <c r="H12" s="263"/>
    </row>
    <row r="13" spans="1:15" ht="14" x14ac:dyDescent="0.3">
      <c r="A13" s="257">
        <v>12</v>
      </c>
      <c r="B13" s="257" t="s">
        <v>483</v>
      </c>
      <c r="C13" s="257" t="s">
        <v>484</v>
      </c>
      <c r="D13" s="258" t="s">
        <v>485</v>
      </c>
      <c r="F13" s="259" t="s">
        <v>486</v>
      </c>
    </row>
    <row r="14" spans="1:15" ht="14" x14ac:dyDescent="0.3">
      <c r="A14" s="257">
        <v>13</v>
      </c>
      <c r="B14" s="257" t="s">
        <v>487</v>
      </c>
      <c r="C14" s="257" t="s">
        <v>488</v>
      </c>
      <c r="D14" s="258" t="s">
        <v>489</v>
      </c>
    </row>
    <row r="15" spans="1:15" ht="14" x14ac:dyDescent="0.3">
      <c r="A15" s="257">
        <v>14</v>
      </c>
      <c r="B15" s="257" t="s">
        <v>490</v>
      </c>
      <c r="C15" s="257" t="s">
        <v>491</v>
      </c>
      <c r="D15" s="258" t="s">
        <v>492</v>
      </c>
      <c r="L15" s="261"/>
      <c r="M15" s="261"/>
      <c r="N15" s="261"/>
      <c r="O15" s="262"/>
    </row>
    <row r="16" spans="1:15" ht="14" x14ac:dyDescent="0.3">
      <c r="A16" s="257">
        <v>15</v>
      </c>
      <c r="B16" s="257" t="s">
        <v>493</v>
      </c>
      <c r="C16" s="257" t="s">
        <v>494</v>
      </c>
      <c r="D16" s="258" t="s">
        <v>495</v>
      </c>
      <c r="L16" s="261"/>
      <c r="M16" s="261"/>
    </row>
    <row r="17" spans="1:14" ht="14" x14ac:dyDescent="0.3">
      <c r="A17" s="257">
        <v>16</v>
      </c>
      <c r="B17" s="257" t="s">
        <v>496</v>
      </c>
      <c r="C17" s="257" t="s">
        <v>491</v>
      </c>
      <c r="D17" s="258" t="s">
        <v>492</v>
      </c>
    </row>
    <row r="18" spans="1:14" ht="14" x14ac:dyDescent="0.3">
      <c r="A18" s="257">
        <v>17</v>
      </c>
      <c r="B18" s="257" t="s">
        <v>497</v>
      </c>
      <c r="C18" s="257" t="s">
        <v>498</v>
      </c>
      <c r="D18" s="257" t="s">
        <v>499</v>
      </c>
    </row>
    <row r="19" spans="1:14" ht="14" x14ac:dyDescent="0.3">
      <c r="A19" s="257">
        <v>18</v>
      </c>
      <c r="B19" s="257" t="s">
        <v>500</v>
      </c>
      <c r="C19" s="257" t="s">
        <v>501</v>
      </c>
      <c r="D19" s="258" t="s">
        <v>502</v>
      </c>
    </row>
    <row r="20" spans="1:14" ht="14" x14ac:dyDescent="0.3">
      <c r="A20" s="257">
        <v>19</v>
      </c>
      <c r="B20" s="257" t="s">
        <v>503</v>
      </c>
      <c r="C20" s="257" t="s">
        <v>504</v>
      </c>
      <c r="D20" s="258" t="s">
        <v>505</v>
      </c>
    </row>
    <row r="21" spans="1:14" ht="14" x14ac:dyDescent="0.3">
      <c r="A21" s="257">
        <v>20</v>
      </c>
      <c r="B21" s="257" t="s">
        <v>506</v>
      </c>
      <c r="C21" s="257" t="s">
        <v>507</v>
      </c>
      <c r="D21" s="257" t="s">
        <v>508</v>
      </c>
    </row>
    <row r="22" spans="1:14" ht="14" x14ac:dyDescent="0.3">
      <c r="A22" s="257">
        <v>21</v>
      </c>
      <c r="B22" s="257" t="s">
        <v>509</v>
      </c>
      <c r="C22" s="257" t="s">
        <v>510</v>
      </c>
      <c r="D22" s="257" t="s">
        <v>511</v>
      </c>
    </row>
    <row r="23" spans="1:14" ht="14" x14ac:dyDescent="0.3">
      <c r="A23" s="257">
        <v>22</v>
      </c>
      <c r="B23" s="257" t="s">
        <v>512</v>
      </c>
      <c r="C23" s="257" t="s">
        <v>513</v>
      </c>
      <c r="D23" s="258" t="s">
        <v>514</v>
      </c>
    </row>
    <row r="24" spans="1:14" ht="14" x14ac:dyDescent="0.3">
      <c r="A24" s="257">
        <v>23</v>
      </c>
      <c r="B24" s="257" t="s">
        <v>515</v>
      </c>
      <c r="C24" s="257" t="s">
        <v>516</v>
      </c>
      <c r="D24" s="258" t="s">
        <v>517</v>
      </c>
    </row>
    <row r="25" spans="1:14" ht="14" x14ac:dyDescent="0.3">
      <c r="A25" s="257">
        <v>24</v>
      </c>
      <c r="B25" s="257" t="s">
        <v>518</v>
      </c>
      <c r="C25" s="257" t="s">
        <v>519</v>
      </c>
      <c r="D25" s="258" t="s">
        <v>520</v>
      </c>
      <c r="G25" s="262"/>
      <c r="K25" s="261"/>
      <c r="L25" s="262"/>
      <c r="M25" s="261"/>
      <c r="N25" s="262"/>
    </row>
    <row r="26" spans="1:14" ht="14" x14ac:dyDescent="0.3">
      <c r="A26" s="257">
        <v>25</v>
      </c>
      <c r="B26" s="257" t="s">
        <v>521</v>
      </c>
      <c r="C26" s="257" t="s">
        <v>522</v>
      </c>
      <c r="D26" s="257" t="s">
        <v>523</v>
      </c>
    </row>
    <row r="27" spans="1:14" ht="14" x14ac:dyDescent="0.3">
      <c r="A27" s="257">
        <v>26</v>
      </c>
      <c r="B27" s="257" t="s">
        <v>524</v>
      </c>
      <c r="C27" s="257" t="s">
        <v>525</v>
      </c>
      <c r="D27" s="257" t="s">
        <v>526</v>
      </c>
      <c r="F27" s="261"/>
      <c r="G27" s="262"/>
    </row>
    <row r="28" spans="1:14" ht="14" x14ac:dyDescent="0.3">
      <c r="A28" s="257">
        <v>27</v>
      </c>
      <c r="B28" s="257" t="s">
        <v>527</v>
      </c>
      <c r="C28" s="257"/>
      <c r="D28" s="257"/>
    </row>
    <row r="29" spans="1:14" ht="14" x14ac:dyDescent="0.3">
      <c r="A29" s="257">
        <v>28</v>
      </c>
      <c r="B29" s="257" t="s">
        <v>528</v>
      </c>
      <c r="C29" s="257" t="s">
        <v>529</v>
      </c>
      <c r="D29" s="258" t="s">
        <v>530</v>
      </c>
    </row>
    <row r="30" spans="1:14" ht="14" x14ac:dyDescent="0.3">
      <c r="A30" s="257">
        <v>29</v>
      </c>
      <c r="B30" s="257" t="s">
        <v>531</v>
      </c>
      <c r="C30" s="257" t="s">
        <v>532</v>
      </c>
      <c r="D30" s="258" t="s">
        <v>533</v>
      </c>
      <c r="F30" s="261"/>
      <c r="G30" s="262"/>
    </row>
    <row r="31" spans="1:14" ht="14" x14ac:dyDescent="0.3">
      <c r="A31" s="257">
        <v>30</v>
      </c>
      <c r="B31" s="257" t="s">
        <v>534</v>
      </c>
      <c r="C31" s="257" t="s">
        <v>535</v>
      </c>
      <c r="D31" s="257" t="s">
        <v>536</v>
      </c>
      <c r="G31" s="261"/>
    </row>
    <row r="32" spans="1:14" ht="14" x14ac:dyDescent="0.3">
      <c r="A32" s="257">
        <v>31</v>
      </c>
      <c r="B32" s="257" t="s">
        <v>537</v>
      </c>
      <c r="C32" s="257" t="s">
        <v>538</v>
      </c>
      <c r="D32" s="257" t="s">
        <v>539</v>
      </c>
      <c r="G32" s="261"/>
    </row>
    <row r="33" spans="1:7" ht="14" x14ac:dyDescent="0.3">
      <c r="A33" s="257">
        <v>32</v>
      </c>
      <c r="B33" s="257" t="s">
        <v>540</v>
      </c>
      <c r="C33" s="257" t="s">
        <v>541</v>
      </c>
      <c r="D33" s="257" t="s">
        <v>542</v>
      </c>
      <c r="F33" s="261"/>
      <c r="G33" s="261"/>
    </row>
    <row r="34" spans="1:7" ht="14" x14ac:dyDescent="0.3">
      <c r="A34" s="257">
        <v>33</v>
      </c>
      <c r="B34" s="257" t="s">
        <v>408</v>
      </c>
      <c r="C34" s="257" t="s">
        <v>543</v>
      </c>
      <c r="D34" s="258" t="s">
        <v>544</v>
      </c>
      <c r="F34" s="261"/>
      <c r="G34" s="261"/>
    </row>
    <row r="35" spans="1:7" ht="14" x14ac:dyDescent="0.3">
      <c r="A35" s="257">
        <v>34</v>
      </c>
      <c r="B35" s="257" t="s">
        <v>545</v>
      </c>
      <c r="C35" s="257" t="s">
        <v>543</v>
      </c>
      <c r="D35" s="258" t="s">
        <v>544</v>
      </c>
      <c r="G35" s="261"/>
    </row>
    <row r="36" spans="1:7" ht="14" x14ac:dyDescent="0.3">
      <c r="A36" s="257">
        <v>35</v>
      </c>
      <c r="B36" s="257" t="s">
        <v>546</v>
      </c>
      <c r="C36" s="257" t="s">
        <v>547</v>
      </c>
      <c r="D36" s="258" t="s">
        <v>548</v>
      </c>
      <c r="G36" s="261"/>
    </row>
    <row r="37" spans="1:7" ht="14" x14ac:dyDescent="0.3">
      <c r="A37" s="257">
        <v>36</v>
      </c>
      <c r="B37" s="257" t="s">
        <v>549</v>
      </c>
      <c r="C37" s="257" t="s">
        <v>550</v>
      </c>
      <c r="D37" s="257" t="s">
        <v>551</v>
      </c>
      <c r="G37" s="261"/>
    </row>
    <row r="38" spans="1:7" ht="14" x14ac:dyDescent="0.3">
      <c r="A38" s="257">
        <v>37</v>
      </c>
      <c r="B38" s="257" t="s">
        <v>552</v>
      </c>
      <c r="C38" s="257" t="s">
        <v>553</v>
      </c>
      <c r="D38" s="257" t="s">
        <v>554</v>
      </c>
      <c r="G38" s="261"/>
    </row>
    <row r="39" spans="1:7" ht="14" x14ac:dyDescent="0.3">
      <c r="A39" s="257">
        <v>38</v>
      </c>
      <c r="B39" s="257" t="s">
        <v>555</v>
      </c>
      <c r="C39" s="257" t="s">
        <v>556</v>
      </c>
      <c r="D39" s="258" t="s">
        <v>557</v>
      </c>
      <c r="F39" s="261"/>
      <c r="G39" s="262"/>
    </row>
    <row r="40" spans="1:7" ht="14" x14ac:dyDescent="0.3">
      <c r="A40" s="257">
        <v>39</v>
      </c>
      <c r="B40" s="257" t="s">
        <v>558</v>
      </c>
      <c r="C40" s="257" t="s">
        <v>559</v>
      </c>
      <c r="D40" s="257" t="s">
        <v>560</v>
      </c>
    </row>
    <row r="41" spans="1:7" ht="14" x14ac:dyDescent="0.3">
      <c r="A41" s="257">
        <v>40</v>
      </c>
      <c r="B41" s="257" t="s">
        <v>561</v>
      </c>
      <c r="C41" s="257" t="s">
        <v>562</v>
      </c>
      <c r="D41" s="257" t="s">
        <v>563</v>
      </c>
    </row>
    <row r="42" spans="1:7" ht="14" x14ac:dyDescent="0.3">
      <c r="A42" s="257">
        <v>41</v>
      </c>
      <c r="B42" s="257" t="s">
        <v>564</v>
      </c>
      <c r="C42" s="257" t="s">
        <v>565</v>
      </c>
      <c r="D42" s="257" t="s">
        <v>566</v>
      </c>
    </row>
    <row r="43" spans="1:7" ht="14" x14ac:dyDescent="0.3">
      <c r="A43" s="257">
        <v>42</v>
      </c>
      <c r="B43" s="257" t="s">
        <v>567</v>
      </c>
      <c r="C43" s="257" t="s">
        <v>568</v>
      </c>
      <c r="D43" s="257" t="s">
        <v>569</v>
      </c>
    </row>
    <row r="44" spans="1:7" ht="14" x14ac:dyDescent="0.3">
      <c r="A44" s="257">
        <v>43</v>
      </c>
      <c r="B44" s="257" t="s">
        <v>570</v>
      </c>
      <c r="C44" s="257"/>
      <c r="D44" s="257"/>
    </row>
    <row r="45" spans="1:7" ht="14" x14ac:dyDescent="0.3">
      <c r="A45" s="257">
        <v>44</v>
      </c>
      <c r="B45" s="257" t="s">
        <v>571</v>
      </c>
      <c r="C45" s="257" t="s">
        <v>572</v>
      </c>
      <c r="D45" s="258" t="s">
        <v>573</v>
      </c>
    </row>
    <row r="46" spans="1:7" ht="14" x14ac:dyDescent="0.3">
      <c r="A46" s="257">
        <v>45</v>
      </c>
      <c r="B46" s="257" t="s">
        <v>574</v>
      </c>
      <c r="C46" s="257" t="s">
        <v>575</v>
      </c>
      <c r="D46" s="258" t="s">
        <v>576</v>
      </c>
    </row>
    <row r="47" spans="1:7" ht="14" x14ac:dyDescent="0.3">
      <c r="A47" s="257">
        <v>46</v>
      </c>
      <c r="B47" s="257" t="s">
        <v>577</v>
      </c>
      <c r="C47" s="257" t="s">
        <v>578</v>
      </c>
      <c r="D47" s="257" t="s">
        <v>579</v>
      </c>
    </row>
    <row r="48" spans="1:7" ht="14" x14ac:dyDescent="0.3">
      <c r="A48" s="257">
        <v>47</v>
      </c>
      <c r="B48" s="257" t="s">
        <v>580</v>
      </c>
      <c r="C48" s="257" t="s">
        <v>581</v>
      </c>
      <c r="D48" s="258" t="s">
        <v>582</v>
      </c>
    </row>
    <row r="49" spans="1:7" ht="14" x14ac:dyDescent="0.3">
      <c r="A49" s="257">
        <v>48</v>
      </c>
      <c r="B49" s="257" t="s">
        <v>583</v>
      </c>
      <c r="C49" s="257"/>
      <c r="D49" s="257"/>
    </row>
    <row r="50" spans="1:7" ht="14" x14ac:dyDescent="0.3">
      <c r="A50" s="257">
        <v>49</v>
      </c>
      <c r="B50" s="257" t="s">
        <v>584</v>
      </c>
      <c r="C50" s="257" t="s">
        <v>585</v>
      </c>
      <c r="D50" s="258" t="s">
        <v>586</v>
      </c>
      <c r="F50" s="261"/>
      <c r="G50" s="262"/>
    </row>
    <row r="51" spans="1:7" ht="14" x14ac:dyDescent="0.3">
      <c r="A51" s="257">
        <v>50</v>
      </c>
      <c r="B51" s="257" t="s">
        <v>587</v>
      </c>
      <c r="C51" s="257" t="s">
        <v>588</v>
      </c>
      <c r="D51" s="257" t="s">
        <v>589</v>
      </c>
    </row>
    <row r="52" spans="1:7" ht="14" x14ac:dyDescent="0.3">
      <c r="A52" s="257">
        <v>51</v>
      </c>
      <c r="B52" s="257" t="s">
        <v>590</v>
      </c>
      <c r="C52" s="257" t="s">
        <v>591</v>
      </c>
      <c r="D52" s="258" t="s">
        <v>592</v>
      </c>
      <c r="F52" s="261"/>
      <c r="G52" s="262"/>
    </row>
    <row r="53" spans="1:7" ht="14" x14ac:dyDescent="0.3">
      <c r="A53" s="257">
        <v>52</v>
      </c>
      <c r="B53" s="257" t="s">
        <v>593</v>
      </c>
      <c r="C53" s="257" t="s">
        <v>594</v>
      </c>
      <c r="D53" s="258" t="s">
        <v>595</v>
      </c>
    </row>
    <row r="54" spans="1:7" ht="14" x14ac:dyDescent="0.3">
      <c r="A54" s="257">
        <v>53</v>
      </c>
      <c r="B54" s="257" t="s">
        <v>596</v>
      </c>
      <c r="C54" s="257" t="s">
        <v>597</v>
      </c>
      <c r="D54" s="257" t="s">
        <v>598</v>
      </c>
    </row>
    <row r="55" spans="1:7" ht="14" x14ac:dyDescent="0.3">
      <c r="A55" s="257">
        <v>54</v>
      </c>
      <c r="B55" s="257" t="s">
        <v>599</v>
      </c>
      <c r="C55" s="257" t="s">
        <v>597</v>
      </c>
      <c r="D55" s="257" t="s">
        <v>598</v>
      </c>
    </row>
    <row r="56" spans="1:7" ht="14" x14ac:dyDescent="0.3">
      <c r="A56" s="257">
        <v>55</v>
      </c>
      <c r="B56" s="257" t="s">
        <v>600</v>
      </c>
      <c r="C56" s="257" t="s">
        <v>510</v>
      </c>
      <c r="D56" s="257" t="s">
        <v>601</v>
      </c>
    </row>
    <row r="57" spans="1:7" ht="14" x14ac:dyDescent="0.3">
      <c r="A57" s="257">
        <v>56</v>
      </c>
      <c r="B57" s="257" t="s">
        <v>602</v>
      </c>
      <c r="C57" s="257" t="s">
        <v>603</v>
      </c>
      <c r="D57" s="258" t="s">
        <v>604</v>
      </c>
      <c r="F57" s="261"/>
      <c r="G57" s="262"/>
    </row>
    <row r="58" spans="1:7" ht="14" x14ac:dyDescent="0.3">
      <c r="A58" s="257">
        <v>57</v>
      </c>
      <c r="B58" s="257" t="s">
        <v>605</v>
      </c>
      <c r="C58" s="257"/>
      <c r="D58" s="257"/>
    </row>
    <row r="59" spans="1:7" ht="14" x14ac:dyDescent="0.3">
      <c r="A59" s="257">
        <v>58</v>
      </c>
      <c r="B59" s="257" t="s">
        <v>606</v>
      </c>
      <c r="C59" s="257" t="s">
        <v>607</v>
      </c>
      <c r="D59" s="257" t="s">
        <v>608</v>
      </c>
    </row>
    <row r="60" spans="1:7" ht="14" x14ac:dyDescent="0.3">
      <c r="A60" s="257">
        <v>59</v>
      </c>
      <c r="B60" s="257" t="s">
        <v>609</v>
      </c>
      <c r="C60" s="257"/>
      <c r="D60" s="257"/>
    </row>
    <row r="61" spans="1:7" ht="14" x14ac:dyDescent="0.3">
      <c r="A61" s="257">
        <v>60</v>
      </c>
      <c r="B61" s="257" t="s">
        <v>610</v>
      </c>
      <c r="C61" s="257" t="s">
        <v>611</v>
      </c>
      <c r="D61" s="258" t="s">
        <v>612</v>
      </c>
    </row>
    <row r="62" spans="1:7" ht="14" x14ac:dyDescent="0.3">
      <c r="A62" s="257">
        <v>61</v>
      </c>
      <c r="B62" s="257" t="s">
        <v>613</v>
      </c>
      <c r="C62" s="257" t="s">
        <v>614</v>
      </c>
      <c r="D62" s="257" t="s">
        <v>615</v>
      </c>
    </row>
    <row r="63" spans="1:7" ht="14" x14ac:dyDescent="0.3">
      <c r="A63" s="257">
        <v>62</v>
      </c>
      <c r="B63" s="257" t="s">
        <v>616</v>
      </c>
      <c r="C63" s="257" t="s">
        <v>617</v>
      </c>
      <c r="D63" s="258" t="s">
        <v>618</v>
      </c>
    </row>
    <row r="64" spans="1:7" ht="14" x14ac:dyDescent="0.3">
      <c r="A64" s="257">
        <v>63</v>
      </c>
      <c r="B64" s="257" t="s">
        <v>619</v>
      </c>
      <c r="C64" s="257" t="s">
        <v>620</v>
      </c>
      <c r="D64" s="257" t="s">
        <v>621</v>
      </c>
    </row>
    <row r="65" spans="1:4" ht="14" x14ac:dyDescent="0.3">
      <c r="A65" s="257">
        <v>64</v>
      </c>
      <c r="B65" s="257" t="s">
        <v>622</v>
      </c>
      <c r="C65" s="257"/>
      <c r="D65" s="257"/>
    </row>
    <row r="66" spans="1:4" ht="14" x14ac:dyDescent="0.3">
      <c r="A66" s="257">
        <v>65</v>
      </c>
      <c r="B66" s="257" t="s">
        <v>623</v>
      </c>
      <c r="C66" s="257"/>
      <c r="D66" s="257"/>
    </row>
    <row r="67" spans="1:4" ht="14" x14ac:dyDescent="0.3">
      <c r="A67" s="257">
        <v>66</v>
      </c>
      <c r="B67" s="257" t="s">
        <v>624</v>
      </c>
      <c r="C67" s="257"/>
      <c r="D67" s="257"/>
    </row>
    <row r="68" spans="1:4" ht="14" x14ac:dyDescent="0.3">
      <c r="A68" s="257">
        <v>67</v>
      </c>
      <c r="B68" s="257" t="s">
        <v>625</v>
      </c>
      <c r="C68" s="257"/>
      <c r="D68" s="257"/>
    </row>
    <row r="69" spans="1:4" ht="14" x14ac:dyDescent="0.3">
      <c r="A69" s="257">
        <v>68</v>
      </c>
      <c r="B69" s="257" t="s">
        <v>626</v>
      </c>
      <c r="C69" s="257" t="s">
        <v>627</v>
      </c>
      <c r="D69" s="257" t="s">
        <v>628</v>
      </c>
    </row>
    <row r="70" spans="1:4" ht="14.5" x14ac:dyDescent="0.35">
      <c r="A70" s="257">
        <v>71</v>
      </c>
      <c r="B70" s="257" t="s">
        <v>629</v>
      </c>
      <c r="C70" s="257" t="s">
        <v>494</v>
      </c>
      <c r="D70" s="258" t="s">
        <v>495</v>
      </c>
    </row>
    <row r="71" spans="1:4" ht="14" x14ac:dyDescent="0.3">
      <c r="A71" s="257">
        <v>70</v>
      </c>
      <c r="B71" s="257" t="s">
        <v>630</v>
      </c>
      <c r="C71" s="257" t="s">
        <v>631</v>
      </c>
      <c r="D71" s="257" t="s">
        <v>495</v>
      </c>
    </row>
    <row r="72" spans="1:4" ht="14" x14ac:dyDescent="0.3">
      <c r="A72" s="257">
        <v>76</v>
      </c>
      <c r="B72" s="257" t="s">
        <v>632</v>
      </c>
      <c r="C72" s="257" t="s">
        <v>633</v>
      </c>
      <c r="D72" s="258" t="s">
        <v>634</v>
      </c>
    </row>
    <row r="73" spans="1:4" ht="14" x14ac:dyDescent="0.3">
      <c r="A73" s="257">
        <v>78</v>
      </c>
      <c r="B73" s="257" t="s">
        <v>635</v>
      </c>
      <c r="C73" s="257" t="s">
        <v>636</v>
      </c>
      <c r="D73" s="257" t="s">
        <v>637</v>
      </c>
    </row>
  </sheetData>
  <sheetProtection algorithmName="SHA-512" hashValue="iqYSV62ZAckcJQBrgLSAEsZP+lvGw2gTYMKV6Ha5kqcuaznK/Fp2E0PZn04g66qoPgxPLvnzdeb3owaQUOPz8A==" saltValue="ypVI7X4cCadUyk5uC5S8JQ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2"/>
  <sheetViews>
    <sheetView workbookViewId="0">
      <selection activeCell="E11" sqref="E11"/>
    </sheetView>
  </sheetViews>
  <sheetFormatPr defaultRowHeight="12.5" x14ac:dyDescent="0.25"/>
  <cols>
    <col min="7" max="7" width="33.7265625" customWidth="1"/>
    <col min="8" max="8" width="43.54296875" customWidth="1"/>
    <col min="9" max="9" width="15.08984375" customWidth="1"/>
  </cols>
  <sheetData>
    <row r="1" spans="1:9" x14ac:dyDescent="0.25">
      <c r="A1" t="s">
        <v>638</v>
      </c>
    </row>
    <row r="10" spans="1:9" ht="13" x14ac:dyDescent="0.3">
      <c r="G10" s="19" t="s">
        <v>639</v>
      </c>
      <c r="H10" s="19" t="s">
        <v>640</v>
      </c>
      <c r="I10" s="14" t="s">
        <v>661</v>
      </c>
    </row>
    <row r="11" spans="1:9" ht="94.5" customHeight="1" x14ac:dyDescent="0.25">
      <c r="G11" s="20" t="s">
        <v>641</v>
      </c>
      <c r="H11" s="21" t="s">
        <v>642</v>
      </c>
      <c r="I11" s="14" t="s">
        <v>660</v>
      </c>
    </row>
    <row r="12" spans="1:9" ht="35.25" customHeight="1" x14ac:dyDescent="0.25">
      <c r="G12" s="22" t="s">
        <v>643</v>
      </c>
      <c r="H12" s="21" t="s">
        <v>644</v>
      </c>
      <c r="I12" s="14" t="s">
        <v>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O76"/>
  <sheetViews>
    <sheetView showGridLines="0" view="pageBreakPreview" topLeftCell="A23" zoomScale="95" zoomScaleNormal="95" zoomScaleSheetLayoutView="95" workbookViewId="0">
      <selection activeCell="H31" sqref="H31"/>
    </sheetView>
  </sheetViews>
  <sheetFormatPr defaultColWidth="9.1796875" defaultRowHeight="15.5" x14ac:dyDescent="0.25"/>
  <cols>
    <col min="1" max="1" width="3.81640625" style="660" customWidth="1"/>
    <col min="2" max="2" width="7.7265625" style="616" customWidth="1"/>
    <col min="3" max="3" width="17.54296875" style="616" customWidth="1"/>
    <col min="4" max="4" width="14.453125" style="616" customWidth="1"/>
    <col min="5" max="5" width="12.7265625" style="616" customWidth="1"/>
    <col min="6" max="6" width="13" style="616" customWidth="1"/>
    <col min="7" max="7" width="9.08984375" style="616" customWidth="1"/>
    <col min="8" max="8" width="10" style="616" customWidth="1"/>
    <col min="9" max="9" width="8.6328125" style="616" customWidth="1"/>
    <col min="10" max="10" width="6.453125" style="616" customWidth="1"/>
    <col min="11" max="11" width="7.81640625" style="616" customWidth="1"/>
    <col min="12" max="13" width="9.26953125" style="616" bestFit="1" customWidth="1"/>
    <col min="14" max="16384" width="9.1796875" style="616"/>
  </cols>
  <sheetData>
    <row r="1" spans="1:12" ht="19.5" customHeight="1" x14ac:dyDescent="0.25">
      <c r="A1" s="829" t="str">
        <f>LP!$A$1:$K$1</f>
        <v>HASIL PENGUJIAN LAMPU OPERASI (CEILING TYPE)</v>
      </c>
      <c r="B1" s="829"/>
      <c r="C1" s="829"/>
      <c r="D1" s="829"/>
      <c r="E1" s="829"/>
      <c r="F1" s="829"/>
      <c r="G1" s="829"/>
      <c r="H1" s="829"/>
      <c r="I1" s="829"/>
      <c r="J1" s="829"/>
    </row>
    <row r="2" spans="1:12" ht="18.75" customHeight="1" x14ac:dyDescent="0.25">
      <c r="A2" s="843" t="str">
        <f>LP!$A$2:$K$2</f>
        <v>Nomor Sertifikat : 33 / 2 / VII - 23 / E - 074.111 DL</v>
      </c>
      <c r="B2" s="843"/>
      <c r="C2" s="843"/>
      <c r="D2" s="843"/>
      <c r="E2" s="843"/>
      <c r="F2" s="843"/>
      <c r="G2" s="843"/>
      <c r="H2" s="843"/>
      <c r="I2" s="843"/>
      <c r="J2" s="843"/>
      <c r="K2" s="843"/>
      <c r="L2" s="843"/>
    </row>
    <row r="3" spans="1:12" ht="15.75" customHeight="1" x14ac:dyDescent="0.25">
      <c r="A3" s="596"/>
      <c r="B3" s="135"/>
      <c r="C3" s="135"/>
      <c r="D3" s="135"/>
      <c r="E3" s="135"/>
      <c r="F3" s="135"/>
      <c r="G3" s="135"/>
      <c r="H3" s="135"/>
      <c r="I3" s="135"/>
      <c r="J3" s="135"/>
    </row>
    <row r="4" spans="1:12" ht="15.75" customHeight="1" x14ac:dyDescent="0.25">
      <c r="A4" s="617" t="str">
        <f>LP!A4</f>
        <v>Merek</v>
      </c>
      <c r="B4" s="617"/>
      <c r="C4" s="617"/>
      <c r="D4" s="135" t="s">
        <v>20</v>
      </c>
      <c r="E4" s="842" t="str">
        <f>LP!E4</f>
        <v>Brandon</v>
      </c>
      <c r="F4" s="842"/>
      <c r="G4" s="617"/>
      <c r="H4" s="617"/>
      <c r="I4" s="617"/>
      <c r="J4" s="617"/>
    </row>
    <row r="5" spans="1:12" ht="15.75" customHeight="1" x14ac:dyDescent="0.25">
      <c r="A5" s="617" t="str">
        <f>LP!A5</f>
        <v xml:space="preserve">Model/Tipe                    </v>
      </c>
      <c r="B5" s="617"/>
      <c r="C5" s="617"/>
      <c r="D5" s="135" t="s">
        <v>20</v>
      </c>
      <c r="E5" s="842" t="str">
        <f>LP!E5</f>
        <v>Quasar elite</v>
      </c>
      <c r="F5" s="842"/>
      <c r="G5" s="617"/>
      <c r="H5" s="617"/>
      <c r="I5" s="617"/>
      <c r="J5" s="617"/>
    </row>
    <row r="6" spans="1:12" ht="15.75" customHeight="1" x14ac:dyDescent="0.25">
      <c r="A6" s="617" t="str">
        <f>LP!A6</f>
        <v xml:space="preserve">No. Seri                          </v>
      </c>
      <c r="B6" s="617"/>
      <c r="C6" s="617"/>
      <c r="D6" s="135" t="s">
        <v>20</v>
      </c>
      <c r="E6" s="842" t="str">
        <f>LP!E6</f>
        <v>1557214</v>
      </c>
      <c r="F6" s="842"/>
      <c r="G6" s="617"/>
      <c r="H6" s="617"/>
      <c r="I6" s="617"/>
      <c r="J6" s="617"/>
    </row>
    <row r="7" spans="1:12" ht="15.75" customHeight="1" x14ac:dyDescent="0.25">
      <c r="A7" s="617" t="s">
        <v>23</v>
      </c>
      <c r="B7" s="617"/>
      <c r="C7" s="617"/>
      <c r="D7" s="135" t="s">
        <v>20</v>
      </c>
      <c r="E7" s="618" t="str">
        <f>E8</f>
        <v>2 Juli 2023</v>
      </c>
      <c r="F7" s="618"/>
      <c r="G7" s="617"/>
      <c r="H7" s="617"/>
      <c r="I7" s="617"/>
      <c r="J7" s="617"/>
    </row>
    <row r="8" spans="1:12" ht="15.75" customHeight="1" x14ac:dyDescent="0.25">
      <c r="A8" s="617" t="str">
        <f>LP!A8</f>
        <v xml:space="preserve">Tanggal Pengujian                            </v>
      </c>
      <c r="B8" s="617"/>
      <c r="C8" s="617"/>
      <c r="D8" s="135" t="s">
        <v>20</v>
      </c>
      <c r="E8" s="842" t="str">
        <f>LP!E8</f>
        <v>2 Juli 2023</v>
      </c>
      <c r="F8" s="842"/>
      <c r="G8" s="617"/>
      <c r="H8" s="617"/>
      <c r="I8" s="619"/>
      <c r="J8" s="617"/>
    </row>
    <row r="9" spans="1:12" ht="15.75" customHeight="1" x14ac:dyDescent="0.25">
      <c r="A9" s="617" t="str">
        <f>LP!A9</f>
        <v xml:space="preserve">Tempat Pengujian                             </v>
      </c>
      <c r="B9" s="617"/>
      <c r="C9" s="617"/>
      <c r="D9" s="135" t="s">
        <v>20</v>
      </c>
      <c r="E9" s="842" t="str">
        <f>LP!E9</f>
        <v>OK 4</v>
      </c>
      <c r="F9" s="842"/>
      <c r="G9" s="617"/>
      <c r="H9" s="617"/>
      <c r="I9" s="619"/>
      <c r="J9" s="617"/>
    </row>
    <row r="10" spans="1:12" ht="15.75" customHeight="1" x14ac:dyDescent="0.25">
      <c r="A10" s="617" t="str">
        <f>LP!A10</f>
        <v xml:space="preserve">Nama Ruang                                    </v>
      </c>
      <c r="B10" s="617"/>
      <c r="C10" s="617"/>
      <c r="D10" s="135" t="s">
        <v>20</v>
      </c>
      <c r="E10" s="842" t="str">
        <f>LP!E10</f>
        <v>OK 4</v>
      </c>
      <c r="F10" s="842"/>
      <c r="G10" s="617"/>
      <c r="H10" s="617"/>
      <c r="I10" s="619"/>
      <c r="J10" s="617"/>
    </row>
    <row r="11" spans="1:12" ht="15.75" customHeight="1" x14ac:dyDescent="0.25">
      <c r="A11" s="617" t="str">
        <f>LP!A11</f>
        <v xml:space="preserve">Metode Kerja                    </v>
      </c>
      <c r="B11" s="617"/>
      <c r="C11" s="617"/>
      <c r="D11" s="135" t="s">
        <v>20</v>
      </c>
      <c r="E11" s="618" t="str">
        <f>LP!E11</f>
        <v>MK.029 - 18</v>
      </c>
      <c r="F11" s="617"/>
      <c r="G11" s="617"/>
      <c r="H11" s="617"/>
      <c r="I11" s="619"/>
      <c r="J11" s="617"/>
    </row>
    <row r="12" spans="1:12" ht="15" customHeight="1" x14ac:dyDescent="0.25">
      <c r="A12" s="620"/>
      <c r="B12" s="617"/>
      <c r="C12" s="617"/>
      <c r="D12" s="617"/>
      <c r="E12" s="617"/>
      <c r="F12" s="617"/>
      <c r="G12" s="617"/>
      <c r="H12" s="617"/>
      <c r="I12" s="617"/>
      <c r="J12" s="618"/>
    </row>
    <row r="13" spans="1:12" ht="15.75" customHeight="1" x14ac:dyDescent="0.25">
      <c r="A13" s="620" t="s">
        <v>27</v>
      </c>
      <c r="B13" s="620" t="s">
        <v>28</v>
      </c>
      <c r="C13" s="620"/>
      <c r="D13" s="617"/>
      <c r="E13" s="135"/>
      <c r="F13" s="135"/>
      <c r="G13" s="617"/>
      <c r="H13" s="617"/>
      <c r="I13" s="617"/>
      <c r="J13" s="617"/>
    </row>
    <row r="14" spans="1:12" ht="18" customHeight="1" x14ac:dyDescent="0.25">
      <c r="A14" s="620"/>
      <c r="B14" s="618" t="s">
        <v>207</v>
      </c>
      <c r="C14" s="617"/>
      <c r="D14" s="135" t="s">
        <v>20</v>
      </c>
      <c r="E14" s="764" t="str">
        <f>'DB Thermohygro'!V381</f>
        <v xml:space="preserve">( </v>
      </c>
      <c r="F14" s="770">
        <f>'DB Thermohygro'!W381</f>
        <v>26.957443118756935</v>
      </c>
      <c r="G14" s="764" t="str">
        <f>'DB Thermohygro'!X381</f>
        <v xml:space="preserve"> ± </v>
      </c>
      <c r="H14" s="770">
        <f>'DB Thermohygro'!Y381</f>
        <v>0.6</v>
      </c>
      <c r="I14" s="764" t="str">
        <f>'DB Thermohygro'!Z381</f>
        <v xml:space="preserve"> )</v>
      </c>
      <c r="J14" s="764" t="str">
        <f>'DB Thermohygro'!AA381</f>
        <v xml:space="preserve"> °C</v>
      </c>
    </row>
    <row r="15" spans="1:12" ht="16.5" customHeight="1" x14ac:dyDescent="0.25">
      <c r="A15" s="620"/>
      <c r="B15" s="618" t="s">
        <v>31</v>
      </c>
      <c r="C15" s="617"/>
      <c r="D15" s="135" t="s">
        <v>20</v>
      </c>
      <c r="E15" s="764" t="str">
        <f>'DB Thermohygro'!V382</f>
        <v xml:space="preserve">( </v>
      </c>
      <c r="F15" s="770">
        <f>'DB Thermohygro'!W382</f>
        <v>64.085311614730884</v>
      </c>
      <c r="G15" s="764" t="str">
        <f>'DB Thermohygro'!X382</f>
        <v xml:space="preserve"> ± </v>
      </c>
      <c r="H15" s="770">
        <f>'DB Thermohygro'!Y382</f>
        <v>2.2999999999999998</v>
      </c>
      <c r="I15" s="764" t="str">
        <f>'DB Thermohygro'!Z382</f>
        <v xml:space="preserve"> )</v>
      </c>
      <c r="J15" s="764" t="str">
        <f>'DB Thermohygro'!AA382</f>
        <v xml:space="preserve"> %RH</v>
      </c>
    </row>
    <row r="16" spans="1:12" ht="16.5" customHeight="1" x14ac:dyDescent="0.25">
      <c r="A16" s="620"/>
      <c r="B16" s="618" t="s">
        <v>223</v>
      </c>
      <c r="C16" s="617"/>
      <c r="D16" s="135" t="s">
        <v>20</v>
      </c>
      <c r="E16" s="765" t="str">
        <f>'DB ESA 2023'!P276</f>
        <v xml:space="preserve">( </v>
      </c>
      <c r="F16" s="770">
        <f>'DB ESA 2023'!Q276</f>
        <v>223.45231094147584</v>
      </c>
      <c r="G16" s="765" t="str">
        <f>'DB ESA 2023'!R276</f>
        <v xml:space="preserve"> ± </v>
      </c>
      <c r="H16" s="770">
        <f>'DB ESA 2023'!S276</f>
        <v>1.8011129256337042</v>
      </c>
      <c r="I16" s="765" t="str">
        <f>'DB ESA 2023'!T276</f>
        <v xml:space="preserve"> )</v>
      </c>
      <c r="J16" s="765" t="str">
        <f>'DB ESA 2023'!U276</f>
        <v xml:space="preserve"> Volt</v>
      </c>
    </row>
    <row r="17" spans="1:15" ht="15" customHeight="1" x14ac:dyDescent="0.25">
      <c r="A17" s="620"/>
      <c r="B17" s="620"/>
      <c r="C17" s="620"/>
      <c r="D17" s="620"/>
      <c r="E17" s="617"/>
      <c r="F17" s="617"/>
      <c r="G17" s="617"/>
      <c r="H17" s="617"/>
      <c r="I17" s="617"/>
      <c r="J17" s="621"/>
    </row>
    <row r="18" spans="1:15" ht="16.5" customHeight="1" x14ac:dyDescent="0.25">
      <c r="A18" s="620" t="s">
        <v>35</v>
      </c>
      <c r="B18" s="620" t="s">
        <v>36</v>
      </c>
      <c r="C18" s="617"/>
      <c r="D18" s="617"/>
      <c r="E18" s="617"/>
      <c r="F18" s="617"/>
      <c r="G18" s="621"/>
      <c r="H18" s="621"/>
      <c r="I18" s="617"/>
      <c r="J18" s="617"/>
    </row>
    <row r="19" spans="1:15" ht="15" customHeight="1" x14ac:dyDescent="0.25">
      <c r="A19" s="620"/>
      <c r="B19" s="618" t="s">
        <v>209</v>
      </c>
      <c r="C19" s="617"/>
      <c r="D19" s="135" t="s">
        <v>20</v>
      </c>
      <c r="E19" s="617" t="str">
        <f>LP!E19</f>
        <v>Baik</v>
      </c>
      <c r="F19" s="828"/>
      <c r="G19" s="828"/>
      <c r="H19" s="828"/>
      <c r="I19" s="828"/>
      <c r="J19" s="828"/>
    </row>
    <row r="20" spans="1:15" ht="13.5" customHeight="1" x14ac:dyDescent="0.25">
      <c r="A20" s="620"/>
      <c r="B20" s="618" t="s">
        <v>210</v>
      </c>
      <c r="C20" s="617"/>
      <c r="D20" s="135" t="s">
        <v>20</v>
      </c>
      <c r="E20" s="617" t="str">
        <f>LP!E20</f>
        <v>Baik</v>
      </c>
      <c r="F20" s="828"/>
      <c r="G20" s="828"/>
      <c r="H20" s="828"/>
      <c r="I20" s="828"/>
      <c r="J20" s="828"/>
    </row>
    <row r="21" spans="1:15" ht="15" customHeight="1" x14ac:dyDescent="0.25">
      <c r="A21" s="620"/>
      <c r="B21" s="618"/>
      <c r="C21" s="619"/>
      <c r="D21" s="617"/>
      <c r="E21" s="617"/>
      <c r="F21" s="622"/>
      <c r="G21" s="622"/>
      <c r="H21" s="622"/>
      <c r="I21" s="622"/>
      <c r="J21" s="622"/>
    </row>
    <row r="22" spans="1:15" ht="18.75" customHeight="1" x14ac:dyDescent="0.25">
      <c r="A22" s="620" t="s">
        <v>41</v>
      </c>
      <c r="B22" s="620" t="s">
        <v>42</v>
      </c>
      <c r="C22" s="617"/>
      <c r="D22" s="617"/>
      <c r="E22" s="617"/>
      <c r="F22" s="617"/>
      <c r="G22" s="617"/>
      <c r="H22" s="617"/>
      <c r="I22" s="617"/>
      <c r="J22" s="621"/>
    </row>
    <row r="23" spans="1:15" ht="38.25" customHeight="1" x14ac:dyDescent="0.25">
      <c r="A23" s="620"/>
      <c r="B23" s="623" t="s">
        <v>43</v>
      </c>
      <c r="C23" s="841" t="s">
        <v>44</v>
      </c>
      <c r="D23" s="841"/>
      <c r="E23" s="841"/>
      <c r="F23" s="841"/>
      <c r="G23" s="841"/>
      <c r="H23" s="841" t="s">
        <v>45</v>
      </c>
      <c r="I23" s="841"/>
      <c r="J23" s="830" t="s">
        <v>212</v>
      </c>
      <c r="K23" s="832"/>
    </row>
    <row r="24" spans="1:15" ht="15.75" customHeight="1" x14ac:dyDescent="0.25">
      <c r="A24" s="620"/>
      <c r="B24" s="134">
        <v>1</v>
      </c>
      <c r="C24" s="839" t="str">
        <f>LP!C23:H23</f>
        <v>Resistansi isolasi</v>
      </c>
      <c r="D24" s="839"/>
      <c r="E24" s="839"/>
      <c r="F24" s="839"/>
      <c r="G24" s="840"/>
      <c r="H24" s="662" t="str">
        <f>LP!H23</f>
        <v>-</v>
      </c>
      <c r="I24" s="769" t="str">
        <f>IF(H24="OL"," ",IF(H24="-"," ",ID!J25))</f>
        <v xml:space="preserve"> </v>
      </c>
      <c r="J24" s="624" t="s">
        <v>666</v>
      </c>
      <c r="K24" s="625" t="s">
        <v>663</v>
      </c>
    </row>
    <row r="25" spans="1:15" ht="15.75" customHeight="1" x14ac:dyDescent="0.25">
      <c r="A25" s="620"/>
      <c r="B25" s="134">
        <v>2</v>
      </c>
      <c r="C25" s="839" t="str">
        <f>LP!C24:H24</f>
        <v>Resistansi pembumian protektif ( kabel catu daya tidak dapat dilepas )</v>
      </c>
      <c r="D25" s="839"/>
      <c r="E25" s="839"/>
      <c r="F25" s="839"/>
      <c r="G25" s="840"/>
      <c r="H25" s="662" t="str">
        <f>LP!H24</f>
        <v>-</v>
      </c>
      <c r="I25" s="769" t="str">
        <f>IF(H25="OL"," ",IF(H25="-"," ",ID!J26))</f>
        <v xml:space="preserve"> </v>
      </c>
      <c r="J25" s="624" t="s">
        <v>667</v>
      </c>
      <c r="K25" s="625" t="s">
        <v>664</v>
      </c>
    </row>
    <row r="26" spans="1:15" ht="15.75" customHeight="1" x14ac:dyDescent="0.25">
      <c r="A26" s="620"/>
      <c r="B26" s="134">
        <v>3</v>
      </c>
      <c r="C26" s="839" t="str">
        <f>LP!C25:H25</f>
        <v xml:space="preserve">Arus bocor peralatan untuk perangkat elektromedik kelas I </v>
      </c>
      <c r="D26" s="839"/>
      <c r="E26" s="839"/>
      <c r="F26" s="839"/>
      <c r="G26" s="840"/>
      <c r="H26" s="663">
        <f>'DB ESA 2023'!O271</f>
        <v>211.03574274331245</v>
      </c>
      <c r="I26" s="769" t="str">
        <f>IF(H26="OL"," ",IF(H26="-"," ",ID!J27))</f>
        <v xml:space="preserve"> µA</v>
      </c>
      <c r="J26" s="624" t="str">
        <f>ID!K27</f>
        <v>≤ 500</v>
      </c>
      <c r="K26" s="625" t="s">
        <v>665</v>
      </c>
    </row>
    <row r="27" spans="1:15" ht="15" customHeight="1" x14ac:dyDescent="0.25">
      <c r="A27" s="620"/>
      <c r="B27" s="135"/>
      <c r="C27" s="617"/>
      <c r="D27" s="617"/>
      <c r="E27" s="617"/>
      <c r="F27" s="617"/>
      <c r="G27" s="135"/>
      <c r="H27" s="135"/>
      <c r="I27" s="626"/>
      <c r="J27" s="627"/>
      <c r="K27" s="628"/>
    </row>
    <row r="28" spans="1:15" ht="20.149999999999999" customHeight="1" x14ac:dyDescent="0.25">
      <c r="A28" s="620" t="s">
        <v>56</v>
      </c>
      <c r="B28" s="620" t="s">
        <v>121</v>
      </c>
      <c r="C28" s="617"/>
      <c r="D28" s="617"/>
      <c r="E28" s="617"/>
      <c r="F28" s="617"/>
      <c r="G28" s="617"/>
      <c r="H28" s="617"/>
      <c r="I28" s="617"/>
      <c r="J28" s="617"/>
      <c r="K28" s="628"/>
      <c r="M28" s="629"/>
      <c r="N28" s="629"/>
      <c r="O28" s="630"/>
    </row>
    <row r="29" spans="1:15" ht="36" customHeight="1" x14ac:dyDescent="0.25">
      <c r="A29" s="620"/>
      <c r="B29" s="631" t="s">
        <v>43</v>
      </c>
      <c r="C29" s="631" t="s">
        <v>58</v>
      </c>
      <c r="D29" s="631" t="s">
        <v>59</v>
      </c>
      <c r="E29" s="631" t="s">
        <v>60</v>
      </c>
      <c r="F29" s="134" t="s">
        <v>61</v>
      </c>
      <c r="G29" s="833" t="s">
        <v>214</v>
      </c>
      <c r="H29" s="833"/>
      <c r="J29" s="617"/>
      <c r="K29" s="628"/>
      <c r="M29" s="629"/>
      <c r="N29" s="629"/>
      <c r="O29" s="630"/>
    </row>
    <row r="30" spans="1:15" ht="28.5" customHeight="1" x14ac:dyDescent="0.25">
      <c r="A30" s="620"/>
      <c r="B30" s="134">
        <v>1</v>
      </c>
      <c r="C30" s="631" t="str">
        <f>LP!C28:D28</f>
        <v>Color Temperature (K)</v>
      </c>
      <c r="D30" s="833" t="str">
        <f>LP!E28</f>
        <v>Maksimal</v>
      </c>
      <c r="E30" s="664">
        <f>'Data LUX Meter'!C49</f>
        <v>2000.1666766666667</v>
      </c>
      <c r="F30" s="632" t="str">
        <f>LP!G28</f>
        <v>3000 - 6700 (K)</v>
      </c>
      <c r="G30" s="767" t="str">
        <f>IF(H30="-"," ","±")</f>
        <v>±</v>
      </c>
      <c r="H30" s="665">
        <f>UB!J11</f>
        <v>0.42843030638923768</v>
      </c>
      <c r="J30" s="617"/>
      <c r="K30" s="633"/>
    </row>
    <row r="31" spans="1:15" ht="29.15" customHeight="1" x14ac:dyDescent="0.25">
      <c r="A31" s="620"/>
      <c r="B31" s="134">
        <v>2</v>
      </c>
      <c r="C31" s="631" t="str">
        <f>LP!C29:D29</f>
        <v>Color Rendering Index (Ra)</v>
      </c>
      <c r="D31" s="833"/>
      <c r="E31" s="664">
        <f>'Data LUX Meter'!C50</f>
        <v>70.500010000000003</v>
      </c>
      <c r="F31" s="632" t="str">
        <f>LP!G29</f>
        <v>85 - 100 (Ra)</v>
      </c>
      <c r="G31" s="767" t="str">
        <f t="shared" ref="G31:G32" si="0">IF(H31="-"," ","±")</f>
        <v>±</v>
      </c>
      <c r="H31" s="665">
        <f>UB!J22</f>
        <v>0.57479959192458452</v>
      </c>
      <c r="J31" s="617"/>
      <c r="K31" s="633"/>
    </row>
    <row r="32" spans="1:15" ht="29.15" customHeight="1" x14ac:dyDescent="0.25">
      <c r="A32" s="620"/>
      <c r="B32" s="134">
        <v>3</v>
      </c>
      <c r="C32" s="631" t="str">
        <f>LP!C30:D30</f>
        <v>Central Iluminance (KLux)</v>
      </c>
      <c r="D32" s="833"/>
      <c r="E32" s="664">
        <f>'Data LUX Meter'!C51</f>
        <v>50.166676666666667</v>
      </c>
      <c r="F32" s="632" t="str">
        <f>LP!G30</f>
        <v>40 - 160 (KLux)</v>
      </c>
      <c r="G32" s="767" t="str">
        <f t="shared" si="0"/>
        <v>±</v>
      </c>
      <c r="H32" s="665">
        <f>UB!J33</f>
        <v>0.43374668037054992</v>
      </c>
      <c r="J32" s="617"/>
      <c r="K32" s="633"/>
    </row>
    <row r="33" spans="1:14" ht="15" customHeight="1" x14ac:dyDescent="0.25">
      <c r="A33" s="620"/>
      <c r="B33" s="135"/>
      <c r="C33" s="634"/>
      <c r="D33" s="135"/>
      <c r="E33" s="135"/>
      <c r="F33" s="617"/>
      <c r="G33" s="617"/>
      <c r="H33" s="617"/>
      <c r="I33" s="617"/>
      <c r="J33" s="635"/>
      <c r="K33" s="636"/>
      <c r="L33" s="636"/>
      <c r="M33" s="636"/>
      <c r="N33" s="637"/>
    </row>
    <row r="34" spans="1:14" x14ac:dyDescent="0.25">
      <c r="A34" s="620" t="s">
        <v>126</v>
      </c>
      <c r="B34" s="638" t="s">
        <v>127</v>
      </c>
      <c r="C34" s="135"/>
      <c r="D34" s="620"/>
      <c r="E34" s="639"/>
      <c r="F34" s="617"/>
      <c r="G34" s="617"/>
      <c r="H34" s="617"/>
      <c r="I34" s="617"/>
      <c r="J34" s="617"/>
      <c r="K34" s="5"/>
      <c r="L34" s="73"/>
      <c r="M34" s="640"/>
      <c r="N34" s="640"/>
    </row>
    <row r="35" spans="1:14" x14ac:dyDescent="0.25">
      <c r="A35" s="620"/>
      <c r="B35" s="618" t="str">
        <f>LP!B33</f>
        <v>Ketidakpastian pengukuran diperoleh dari sumber kesalahan tipe A dan tipe B</v>
      </c>
      <c r="C35" s="617"/>
      <c r="D35" s="135"/>
      <c r="E35" s="639"/>
      <c r="F35" s="617"/>
      <c r="G35" s="617"/>
      <c r="H35" s="617"/>
      <c r="I35" s="617"/>
      <c r="J35" s="617"/>
      <c r="K35" s="5"/>
      <c r="L35" s="73"/>
      <c r="M35" s="640"/>
      <c r="N35" s="640"/>
    </row>
    <row r="36" spans="1:14" x14ac:dyDescent="0.25">
      <c r="A36" s="620"/>
      <c r="B36" s="641" t="str">
        <f>LP!B34</f>
        <v>Hasil pengukuran keselamatan listrik tertelusur ke Satuan Internasional ( SI ) melalui PT. Kaliman (LK-032-IDN)</v>
      </c>
      <c r="C36" s="642"/>
      <c r="D36" s="643"/>
      <c r="E36" s="644"/>
      <c r="F36" s="642"/>
      <c r="G36" s="642"/>
      <c r="H36" s="642"/>
      <c r="I36" s="642"/>
      <c r="J36" s="642"/>
      <c r="K36" s="5"/>
      <c r="L36" s="73"/>
      <c r="M36" s="640"/>
      <c r="N36" s="640"/>
    </row>
    <row r="37" spans="1:14" ht="18.649999999999999" customHeight="1" x14ac:dyDescent="0.25">
      <c r="A37" s="620"/>
      <c r="B37" s="641" t="str">
        <f>LP!B35</f>
        <v>Hasil pengujian kinerja Color Temperatur tertelusur ke Satuan Internasional ( SI ) melalui KONICA MINOLTA</v>
      </c>
      <c r="C37" s="642"/>
      <c r="D37" s="643"/>
      <c r="E37" s="644"/>
      <c r="F37" s="642"/>
      <c r="G37" s="642"/>
      <c r="H37" s="642"/>
      <c r="I37" s="642"/>
      <c r="J37" s="642"/>
      <c r="K37" s="5"/>
      <c r="L37" s="73"/>
      <c r="M37" s="640"/>
      <c r="N37" s="640"/>
    </row>
    <row r="38" spans="1:14" ht="20.5" customHeight="1" x14ac:dyDescent="0.25">
      <c r="A38" s="620"/>
      <c r="B38" s="641" t="str">
        <f>LP!B36</f>
        <v>Hasil pengujian kinerja Color Rendering tertelusur ke Satuan Internasional ( SI ) melalui KONICA MINOLTA</v>
      </c>
      <c r="C38" s="642"/>
      <c r="D38" s="643"/>
      <c r="E38" s="644"/>
      <c r="F38" s="642"/>
      <c r="G38" s="642"/>
      <c r="H38" s="642"/>
      <c r="I38" s="642"/>
      <c r="J38" s="642"/>
      <c r="K38" s="5"/>
      <c r="L38" s="73"/>
      <c r="M38" s="640"/>
      <c r="N38" s="640"/>
    </row>
    <row r="39" spans="1:14" x14ac:dyDescent="0.25">
      <c r="A39" s="620"/>
      <c r="B39" s="641" t="str">
        <f>LP!B37</f>
        <v>Hasil pengujian kinerja Central Illuminance tertelusur ke Satuan Internasional ( SI ) melalui KONICA MINOLTA</v>
      </c>
      <c r="C39" s="642"/>
      <c r="D39" s="643"/>
      <c r="E39" s="644"/>
      <c r="F39" s="642"/>
      <c r="G39" s="642"/>
      <c r="H39" s="642"/>
      <c r="I39" s="642"/>
      <c r="J39" s="642"/>
      <c r="K39" s="5"/>
      <c r="L39" s="73"/>
      <c r="M39" s="640"/>
      <c r="N39" s="640"/>
    </row>
    <row r="40" spans="1:14" x14ac:dyDescent="0.25">
      <c r="A40" s="620"/>
      <c r="B40" s="784" t="str">
        <f>LP!B38</f>
        <v>Pengukuran keselamatan listrik menggunakan Point to Point</v>
      </c>
      <c r="C40" s="642"/>
      <c r="D40" s="643"/>
      <c r="E40" s="644"/>
      <c r="F40" s="642"/>
      <c r="G40" s="642"/>
      <c r="H40" s="642"/>
      <c r="I40" s="642"/>
      <c r="J40" s="642"/>
      <c r="K40" s="5"/>
      <c r="L40" s="73"/>
      <c r="M40" s="640"/>
      <c r="N40" s="640"/>
    </row>
    <row r="41" spans="1:14" x14ac:dyDescent="0.25">
      <c r="A41" s="620"/>
      <c r="B41" s="641"/>
      <c r="C41" s="642"/>
      <c r="D41" s="643"/>
      <c r="E41" s="644"/>
      <c r="F41" s="642"/>
      <c r="G41" s="642"/>
      <c r="H41" s="642"/>
      <c r="I41" s="642"/>
      <c r="J41" s="642"/>
      <c r="K41" s="5"/>
      <c r="L41" s="73"/>
      <c r="M41" s="640"/>
      <c r="N41" s="640"/>
    </row>
    <row r="42" spans="1:14" x14ac:dyDescent="0.25">
      <c r="A42" s="620"/>
      <c r="B42" s="641"/>
      <c r="C42" s="642"/>
      <c r="D42" s="643"/>
      <c r="E42" s="644"/>
      <c r="F42" s="642"/>
      <c r="G42" s="642"/>
      <c r="H42" s="642"/>
      <c r="I42" s="642"/>
      <c r="J42" s="642"/>
      <c r="K42" s="5"/>
      <c r="L42" s="73"/>
      <c r="M42" s="640"/>
      <c r="N42" s="640"/>
    </row>
    <row r="43" spans="1:14" x14ac:dyDescent="0.25">
      <c r="A43" s="620" t="s">
        <v>79</v>
      </c>
      <c r="B43" s="645" t="s">
        <v>80</v>
      </c>
      <c r="C43" s="642"/>
      <c r="D43" s="642"/>
      <c r="E43" s="642"/>
      <c r="F43" s="642"/>
      <c r="G43" s="642"/>
      <c r="H43" s="642"/>
      <c r="I43" s="642"/>
      <c r="J43" s="642"/>
      <c r="K43" s="646"/>
      <c r="L43" s="646"/>
      <c r="M43" s="5"/>
      <c r="N43" s="647"/>
    </row>
    <row r="44" spans="1:14" x14ac:dyDescent="0.25">
      <c r="A44" s="620"/>
      <c r="B44" s="785" t="str">
        <f>ID!B46</f>
        <v>CRI Illuminance Meter, Merek : KONICA MINOLTA , Model : CL - 70F, SN: JT70 - 002458</v>
      </c>
      <c r="C44" s="135"/>
      <c r="D44" s="639"/>
      <c r="E44" s="617"/>
      <c r="F44" s="617"/>
      <c r="G44" s="617"/>
      <c r="H44" s="617"/>
      <c r="I44" s="617"/>
      <c r="J44" s="627"/>
    </row>
    <row r="45" spans="1:14" x14ac:dyDescent="0.25">
      <c r="A45" s="620"/>
      <c r="B45" s="785" t="str">
        <f>ID!B47</f>
        <v>Electrical Safety Analyzer, Merek : Fluke, Model : ESA 615, SN : 3148908</v>
      </c>
      <c r="C45" s="135"/>
      <c r="D45" s="639"/>
      <c r="E45" s="617"/>
      <c r="F45" s="617"/>
      <c r="G45" s="617"/>
      <c r="H45" s="617"/>
      <c r="I45" s="617"/>
      <c r="J45" s="627"/>
    </row>
    <row r="46" spans="1:14" x14ac:dyDescent="0.25">
      <c r="A46" s="620"/>
      <c r="B46" s="648"/>
      <c r="C46" s="135"/>
      <c r="D46" s="639"/>
      <c r="E46" s="617"/>
      <c r="F46" s="617"/>
      <c r="G46" s="617"/>
      <c r="H46" s="617"/>
      <c r="I46" s="617"/>
      <c r="J46" s="627"/>
    </row>
    <row r="47" spans="1:14" x14ac:dyDescent="0.25">
      <c r="A47" s="620" t="s">
        <v>91</v>
      </c>
      <c r="B47" s="649" t="s">
        <v>92</v>
      </c>
      <c r="C47" s="135"/>
      <c r="D47" s="639"/>
      <c r="E47" s="617"/>
      <c r="F47" s="617"/>
      <c r="G47" s="617"/>
      <c r="H47" s="617"/>
      <c r="I47" s="617"/>
      <c r="J47" s="627"/>
    </row>
    <row r="48" spans="1:14" ht="15.75" customHeight="1" x14ac:dyDescent="0.25">
      <c r="A48" s="620"/>
      <c r="B48" s="838" t="str">
        <f>LP!B46</f>
        <v>Alat yang diuji dalam batas toleransi dan dinyatakan LAIK PAKAI, dimana hasil atau skor akhir sama dengan atau melampaui 70 % berdasarkan Keputusan Direktur Jenderal Pelayanan Kesehatan No : HK.02.02/V/0412/2020</v>
      </c>
      <c r="C48" s="838"/>
      <c r="D48" s="838"/>
      <c r="E48" s="838"/>
      <c r="F48" s="838"/>
      <c r="G48" s="838"/>
      <c r="H48" s="838"/>
      <c r="I48" s="838"/>
      <c r="J48" s="838"/>
    </row>
    <row r="49" spans="1:10" x14ac:dyDescent="0.25">
      <c r="A49" s="620"/>
      <c r="B49" s="838"/>
      <c r="C49" s="838"/>
      <c r="D49" s="838"/>
      <c r="E49" s="838"/>
      <c r="F49" s="838"/>
      <c r="G49" s="838"/>
      <c r="H49" s="838"/>
      <c r="I49" s="838"/>
      <c r="J49" s="838"/>
    </row>
    <row r="50" spans="1:10" x14ac:dyDescent="0.25">
      <c r="A50" s="620"/>
      <c r="B50" s="649"/>
      <c r="C50" s="135"/>
      <c r="D50" s="639"/>
      <c r="E50" s="617"/>
      <c r="F50" s="617"/>
      <c r="G50" s="617"/>
      <c r="H50" s="617"/>
      <c r="I50" s="617"/>
      <c r="J50" s="627"/>
    </row>
    <row r="51" spans="1:10" x14ac:dyDescent="0.25">
      <c r="A51" s="620" t="s">
        <v>94</v>
      </c>
      <c r="B51" s="650" t="s">
        <v>95</v>
      </c>
      <c r="C51" s="651"/>
      <c r="D51" s="626"/>
      <c r="E51" s="617"/>
      <c r="F51" s="617"/>
      <c r="G51" s="617"/>
      <c r="H51" s="617"/>
      <c r="I51" s="617"/>
      <c r="J51" s="617"/>
    </row>
    <row r="52" spans="1:10" x14ac:dyDescent="0.25">
      <c r="A52" s="620"/>
      <c r="B52" s="651" t="str">
        <f>LP!B50</f>
        <v>Donny Martha</v>
      </c>
      <c r="C52" s="135"/>
      <c r="D52" s="639"/>
      <c r="E52" s="639"/>
      <c r="F52" s="617"/>
      <c r="G52" s="617"/>
      <c r="H52" s="617"/>
      <c r="I52" s="617"/>
      <c r="J52" s="617"/>
    </row>
    <row r="53" spans="1:10" x14ac:dyDescent="0.25">
      <c r="A53" s="620"/>
      <c r="B53" s="617"/>
      <c r="C53" s="617"/>
      <c r="D53" s="617"/>
      <c r="E53" s="617"/>
      <c r="F53" s="617"/>
      <c r="G53" s="617"/>
      <c r="H53" s="617"/>
      <c r="I53" s="617"/>
      <c r="J53" s="617"/>
    </row>
    <row r="54" spans="1:10" x14ac:dyDescent="0.25">
      <c r="A54" s="620"/>
      <c r="B54" s="617"/>
      <c r="C54" s="617"/>
      <c r="D54" s="617"/>
      <c r="E54" s="617"/>
      <c r="F54" s="617"/>
      <c r="G54" s="617"/>
      <c r="H54" s="617"/>
      <c r="J54" s="617"/>
    </row>
    <row r="55" spans="1:10" x14ac:dyDescent="0.25">
      <c r="A55" s="620"/>
      <c r="B55" s="617"/>
      <c r="C55" s="617"/>
      <c r="D55" s="617"/>
      <c r="E55" s="617"/>
      <c r="F55" s="617"/>
      <c r="G55" s="617"/>
      <c r="H55" s="617"/>
      <c r="J55" s="617"/>
    </row>
    <row r="56" spans="1:10" x14ac:dyDescent="0.25">
      <c r="A56" s="620"/>
      <c r="B56" s="617"/>
      <c r="C56" s="617"/>
      <c r="D56" s="617"/>
      <c r="E56" s="617"/>
      <c r="F56" s="617"/>
      <c r="G56" s="617"/>
      <c r="H56" s="617"/>
      <c r="I56" s="642" t="s">
        <v>224</v>
      </c>
      <c r="J56" s="617"/>
    </row>
    <row r="57" spans="1:10" x14ac:dyDescent="0.25">
      <c r="A57" s="620"/>
      <c r="B57" s="617"/>
      <c r="C57" s="617"/>
      <c r="D57" s="617"/>
      <c r="E57" s="617"/>
      <c r="F57" s="617"/>
      <c r="G57" s="619" t="str">
        <f>IF(B52="Choirul Huda",B76,B75)</f>
        <v/>
      </c>
      <c r="H57" s="619"/>
      <c r="I57" s="652" t="s">
        <v>225</v>
      </c>
      <c r="J57" s="617"/>
    </row>
    <row r="58" spans="1:10" x14ac:dyDescent="0.25">
      <c r="A58" s="620"/>
      <c r="B58" s="617"/>
      <c r="C58" s="617"/>
      <c r="D58" s="617"/>
      <c r="E58" s="617"/>
      <c r="F58" s="617"/>
      <c r="G58" s="617"/>
      <c r="H58" s="617"/>
      <c r="I58" s="652" t="s">
        <v>226</v>
      </c>
      <c r="J58" s="617"/>
    </row>
    <row r="59" spans="1:10" x14ac:dyDescent="0.25">
      <c r="A59" s="620"/>
      <c r="B59" s="617"/>
      <c r="C59" s="617"/>
      <c r="D59" s="617"/>
      <c r="E59" s="617"/>
      <c r="F59" s="617"/>
      <c r="G59" s="617"/>
      <c r="H59" s="617"/>
      <c r="I59" s="642"/>
      <c r="J59" s="617"/>
    </row>
    <row r="60" spans="1:10" x14ac:dyDescent="0.25">
      <c r="A60" s="620"/>
      <c r="B60" s="642"/>
      <c r="C60" s="642"/>
      <c r="D60" s="642"/>
      <c r="E60" s="642"/>
      <c r="F60" s="642"/>
      <c r="G60" s="642"/>
      <c r="H60" s="642"/>
      <c r="I60" s="642"/>
      <c r="J60" s="642"/>
    </row>
    <row r="61" spans="1:10" x14ac:dyDescent="0.25">
      <c r="A61" s="620"/>
      <c r="B61" s="642"/>
      <c r="C61" s="642"/>
      <c r="D61" s="642"/>
      <c r="E61" s="642"/>
      <c r="F61" s="642"/>
      <c r="G61" s="642"/>
      <c r="H61" s="642"/>
      <c r="I61" s="642"/>
      <c r="J61" s="642"/>
    </row>
    <row r="62" spans="1:10" x14ac:dyDescent="0.25">
      <c r="A62" s="620"/>
      <c r="B62" s="642"/>
      <c r="C62" s="642"/>
      <c r="D62" s="642"/>
      <c r="E62" s="642"/>
      <c r="F62" s="642"/>
      <c r="G62" s="642"/>
      <c r="H62" s="642"/>
      <c r="I62" s="643"/>
      <c r="J62" s="642"/>
    </row>
    <row r="63" spans="1:10" x14ac:dyDescent="0.3">
      <c r="A63" s="620"/>
      <c r="B63" s="642"/>
      <c r="C63" s="642"/>
      <c r="D63" s="642"/>
      <c r="E63" s="642"/>
      <c r="F63" s="642"/>
      <c r="G63" s="642"/>
      <c r="H63" s="642"/>
      <c r="I63" s="592" t="str">
        <f>IF(B52="Choirul Huda",A72,A68)</f>
        <v>Choirul Huda, S.Tr.Kes</v>
      </c>
      <c r="J63" s="642"/>
    </row>
    <row r="64" spans="1:10" x14ac:dyDescent="0.3">
      <c r="A64" s="620"/>
      <c r="B64" s="642"/>
      <c r="C64" s="642"/>
      <c r="D64" s="642"/>
      <c r="E64" s="642"/>
      <c r="F64" s="642"/>
      <c r="G64" s="642"/>
      <c r="H64" s="642"/>
      <c r="I64" s="89" t="str">
        <f>IF(B52="Choirul Huda",A73,A69)</f>
        <v>NIP 198008062010121001</v>
      </c>
      <c r="J64" s="642"/>
    </row>
    <row r="65" spans="1:12" x14ac:dyDescent="0.25">
      <c r="A65" s="596"/>
      <c r="B65" s="169"/>
      <c r="C65" s="169"/>
      <c r="D65" s="169"/>
      <c r="E65" s="169"/>
      <c r="F65" s="169"/>
      <c r="G65" s="169"/>
      <c r="H65" s="169"/>
      <c r="J65" s="169"/>
    </row>
    <row r="66" spans="1:12" x14ac:dyDescent="0.25">
      <c r="A66" s="596"/>
      <c r="B66" s="653"/>
      <c r="C66" s="653"/>
      <c r="D66" s="653"/>
      <c r="E66" s="653"/>
      <c r="F66" s="653"/>
      <c r="G66" s="653"/>
      <c r="H66" s="653"/>
      <c r="I66" s="653"/>
      <c r="J66" s="654"/>
      <c r="K66" s="655" t="s">
        <v>227</v>
      </c>
      <c r="L66" s="656"/>
    </row>
    <row r="68" spans="1:12" x14ac:dyDescent="0.3">
      <c r="A68" s="657" t="s">
        <v>228</v>
      </c>
    </row>
    <row r="69" spans="1:12" x14ac:dyDescent="0.25">
      <c r="A69" s="658" t="s">
        <v>229</v>
      </c>
      <c r="B69" s="659"/>
    </row>
    <row r="70" spans="1:12" x14ac:dyDescent="0.25">
      <c r="A70" s="14"/>
      <c r="B70" s="659"/>
    </row>
    <row r="71" spans="1:12" x14ac:dyDescent="0.25">
      <c r="A71" s="14"/>
    </row>
    <row r="72" spans="1:12" x14ac:dyDescent="0.35">
      <c r="A72" s="669" t="s">
        <v>230</v>
      </c>
    </row>
    <row r="73" spans="1:12" x14ac:dyDescent="0.35">
      <c r="A73" s="671" t="s">
        <v>231</v>
      </c>
    </row>
    <row r="75" spans="1:12" x14ac:dyDescent="0.25">
      <c r="B75" s="661" t="s">
        <v>124</v>
      </c>
    </row>
    <row r="76" spans="1:12" x14ac:dyDescent="0.25">
      <c r="B76" s="642" t="s">
        <v>232</v>
      </c>
    </row>
  </sheetData>
  <sheetProtection formatCells="0" formatColumns="0" formatRows="0" insertColumns="0" insertRows="0" deleteColumns="0" deleteRows="0"/>
  <mergeCells count="18">
    <mergeCell ref="A1:J1"/>
    <mergeCell ref="C23:G23"/>
    <mergeCell ref="F19:J20"/>
    <mergeCell ref="E4:F4"/>
    <mergeCell ref="E5:F5"/>
    <mergeCell ref="E6:F6"/>
    <mergeCell ref="E8:F8"/>
    <mergeCell ref="E9:F9"/>
    <mergeCell ref="E10:F10"/>
    <mergeCell ref="H23:I23"/>
    <mergeCell ref="J23:K23"/>
    <mergeCell ref="A2:L2"/>
    <mergeCell ref="B48:J49"/>
    <mergeCell ref="C26:G26"/>
    <mergeCell ref="C25:G25"/>
    <mergeCell ref="C24:G24"/>
    <mergeCell ref="D30:D32"/>
    <mergeCell ref="G29:H29"/>
  </mergeCells>
  <printOptions horizontalCentered="1"/>
  <pageMargins left="0.5" right="0.25" top="0.5" bottom="0.4" header="0.25" footer="0.25"/>
  <pageSetup paperSize="9" scale="67" orientation="portrait" horizontalDpi="300" verticalDpi="300" r:id="rId1"/>
  <headerFooter>
    <oddHeader>&amp;R&amp;"-,Regular"&amp;8OA.LHU - 029 - 18 / REV 1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V33"/>
  <sheetViews>
    <sheetView showGridLines="0" tabSelected="1" view="pageBreakPreview" topLeftCell="A4" zoomScale="80" zoomScaleNormal="85" zoomScaleSheetLayoutView="80" workbookViewId="0">
      <selection activeCell="M19" sqref="M19"/>
    </sheetView>
  </sheetViews>
  <sheetFormatPr defaultColWidth="9.1796875" defaultRowHeight="13" x14ac:dyDescent="0.3"/>
  <cols>
    <col min="1" max="1" width="37.7265625" style="11" customWidth="1"/>
    <col min="2" max="2" width="41.7265625" style="11" customWidth="1"/>
    <col min="3" max="3" width="10.54296875" style="11" customWidth="1"/>
    <col min="4" max="4" width="6.7265625" style="11" customWidth="1"/>
    <col min="5" max="5" width="10.54296875" style="11" customWidth="1"/>
    <col min="6" max="6" width="8.26953125" style="11" customWidth="1"/>
    <col min="7" max="7" width="9.26953125" style="11" customWidth="1"/>
    <col min="8" max="8" width="12.1796875" style="11" customWidth="1"/>
    <col min="9" max="9" width="8.1796875" style="11" customWidth="1"/>
    <col min="10" max="10" width="13.54296875" style="11" customWidth="1"/>
    <col min="11" max="11" width="12.54296875" style="11" customWidth="1"/>
    <col min="12" max="12" width="28.453125" style="11" customWidth="1"/>
    <col min="13" max="13" width="9.1796875" style="11" customWidth="1"/>
    <col min="14" max="20" width="9.1796875" style="11"/>
    <col min="21" max="21" width="10.7265625" style="11" customWidth="1"/>
    <col min="22" max="22" width="13.26953125" style="11" customWidth="1"/>
    <col min="23" max="16384" width="9.1796875" style="11"/>
  </cols>
  <sheetData>
    <row r="1" spans="1:22" ht="18.5" thickBot="1" x14ac:dyDescent="0.45">
      <c r="A1" s="844" t="s">
        <v>173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</row>
    <row r="2" spans="1:22" x14ac:dyDescent="0.3">
      <c r="A2" s="371" t="s">
        <v>174</v>
      </c>
      <c r="B2" s="50"/>
      <c r="C2" s="51"/>
      <c r="D2" s="51"/>
      <c r="E2" s="51"/>
      <c r="F2" s="51"/>
      <c r="G2" s="51"/>
      <c r="H2" s="51"/>
      <c r="I2" s="51"/>
      <c r="J2" s="51"/>
      <c r="K2" s="352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</row>
    <row r="3" spans="1:22" x14ac:dyDescent="0.3">
      <c r="A3" s="53" t="s">
        <v>175</v>
      </c>
      <c r="B3" s="33" t="s">
        <v>176</v>
      </c>
      <c r="C3" s="33" t="s">
        <v>177</v>
      </c>
      <c r="D3" s="33" t="s">
        <v>178</v>
      </c>
      <c r="E3" s="33" t="s">
        <v>179</v>
      </c>
      <c r="F3" s="33" t="s">
        <v>180</v>
      </c>
      <c r="G3" s="33" t="s">
        <v>181</v>
      </c>
      <c r="H3" s="33" t="s">
        <v>182</v>
      </c>
      <c r="I3" s="33" t="s">
        <v>183</v>
      </c>
      <c r="J3" s="33" t="s">
        <v>184</v>
      </c>
      <c r="K3" s="353" t="s">
        <v>185</v>
      </c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</row>
    <row r="4" spans="1:22" x14ac:dyDescent="0.3">
      <c r="A4" s="55" t="s">
        <v>186</v>
      </c>
      <c r="B4" s="34">
        <f>ID!L32</f>
        <v>0.40824829046386302</v>
      </c>
      <c r="C4" s="35" t="s">
        <v>187</v>
      </c>
      <c r="D4" s="36" t="s">
        <v>188</v>
      </c>
      <c r="E4" s="37">
        <f>SQRT(6)</f>
        <v>2.4494897427831779</v>
      </c>
      <c r="F4" s="37">
        <f>B4/E4</f>
        <v>0.16666666666666669</v>
      </c>
      <c r="G4" s="37">
        <v>5</v>
      </c>
      <c r="H4" s="37">
        <v>1</v>
      </c>
      <c r="I4" s="37">
        <f t="shared" ref="I4:I6" si="0">F4*H4</f>
        <v>0.16666666666666669</v>
      </c>
      <c r="J4" s="37">
        <f t="shared" ref="J4:J6" si="1">I4^2</f>
        <v>2.7777777777777783E-2</v>
      </c>
      <c r="K4" s="354">
        <f t="shared" ref="K4:K6" si="2">(J4^2)/G4</f>
        <v>1.5432098765432104E-4</v>
      </c>
      <c r="L4" s="357"/>
      <c r="M4" s="359"/>
      <c r="N4" s="360"/>
      <c r="O4" s="361"/>
      <c r="P4" s="361"/>
      <c r="Q4" s="361"/>
      <c r="R4" s="361"/>
      <c r="S4" s="361"/>
      <c r="T4" s="361"/>
      <c r="U4" s="362"/>
      <c r="V4" s="363"/>
    </row>
    <row r="5" spans="1:22" ht="16" customHeight="1" x14ac:dyDescent="0.3">
      <c r="A5" s="55" t="s">
        <v>189</v>
      </c>
      <c r="B5" s="36">
        <f>'Data LUX Meter'!AB27</f>
        <v>1.0000000000000001E-5</v>
      </c>
      <c r="C5" s="35" t="s">
        <v>187</v>
      </c>
      <c r="D5" s="36" t="s">
        <v>188</v>
      </c>
      <c r="E5" s="37">
        <v>2</v>
      </c>
      <c r="F5" s="37">
        <f>B5/E5</f>
        <v>5.0000000000000004E-6</v>
      </c>
      <c r="G5" s="37">
        <v>50</v>
      </c>
      <c r="H5" s="37">
        <v>1</v>
      </c>
      <c r="I5" s="37">
        <f t="shared" si="0"/>
        <v>5.0000000000000004E-6</v>
      </c>
      <c r="J5" s="37">
        <f t="shared" si="1"/>
        <v>2.5000000000000004E-11</v>
      </c>
      <c r="K5" s="354">
        <f t="shared" si="2"/>
        <v>1.2500000000000005E-23</v>
      </c>
      <c r="L5" s="357"/>
      <c r="M5" s="361"/>
      <c r="N5" s="360"/>
      <c r="O5" s="361"/>
      <c r="P5" s="361"/>
      <c r="Q5" s="361"/>
      <c r="R5" s="361"/>
      <c r="S5" s="361"/>
      <c r="T5" s="361"/>
      <c r="U5" s="362"/>
      <c r="V5" s="362"/>
    </row>
    <row r="6" spans="1:22" ht="16" customHeight="1" x14ac:dyDescent="0.3">
      <c r="A6" s="55" t="s">
        <v>190</v>
      </c>
      <c r="B6" s="802">
        <f>'Data LUX Meter'!D51</f>
        <v>1.0000000000000001E-5</v>
      </c>
      <c r="C6" s="35" t="s">
        <v>187</v>
      </c>
      <c r="D6" s="36" t="s">
        <v>191</v>
      </c>
      <c r="E6" s="37">
        <f>SQRT(3)</f>
        <v>1.7320508075688772</v>
      </c>
      <c r="F6" s="36">
        <f>B6/E6</f>
        <v>5.7735026918962587E-6</v>
      </c>
      <c r="G6" s="37">
        <v>50</v>
      </c>
      <c r="H6" s="37">
        <v>1</v>
      </c>
      <c r="I6" s="37">
        <f t="shared" si="0"/>
        <v>5.7735026918962587E-6</v>
      </c>
      <c r="J6" s="37">
        <f t="shared" si="1"/>
        <v>3.3333333333333347E-11</v>
      </c>
      <c r="K6" s="354">
        <f t="shared" si="2"/>
        <v>2.2222222222222241E-23</v>
      </c>
      <c r="L6" s="357"/>
      <c r="M6" s="359"/>
      <c r="N6" s="360"/>
      <c r="O6" s="361"/>
      <c r="P6" s="361"/>
      <c r="Q6" s="361"/>
      <c r="R6" s="361"/>
      <c r="S6" s="361"/>
      <c r="T6" s="361"/>
      <c r="U6" s="362"/>
      <c r="V6" s="362"/>
    </row>
    <row r="7" spans="1:22" ht="16" customHeight="1" x14ac:dyDescent="0.3">
      <c r="A7" s="57" t="s">
        <v>192</v>
      </c>
      <c r="B7" s="39"/>
      <c r="C7" s="39"/>
      <c r="D7" s="39"/>
      <c r="E7" s="39"/>
      <c r="F7" s="39"/>
      <c r="G7" s="39"/>
      <c r="H7" s="39"/>
      <c r="I7" s="40"/>
      <c r="J7" s="31">
        <f>SUM(J4:J6)</f>
        <v>2.7777777836111114E-2</v>
      </c>
      <c r="K7" s="355">
        <f>SUM(K4:K6)</f>
        <v>1.5432098765432104E-4</v>
      </c>
      <c r="L7" s="364"/>
      <c r="M7" s="364"/>
      <c r="N7" s="364"/>
      <c r="O7" s="364"/>
      <c r="P7" s="364"/>
      <c r="Q7" s="364"/>
      <c r="R7" s="364"/>
      <c r="S7" s="364"/>
      <c r="T7" s="364"/>
      <c r="U7" s="362"/>
      <c r="V7" s="365"/>
    </row>
    <row r="8" spans="1:22" ht="16" customHeight="1" x14ac:dyDescent="0.45">
      <c r="A8" s="57" t="s">
        <v>193</v>
      </c>
      <c r="B8" s="39"/>
      <c r="C8" s="39"/>
      <c r="D8" s="39"/>
      <c r="E8" s="39"/>
      <c r="F8" s="40"/>
      <c r="G8" s="41" t="s">
        <v>194</v>
      </c>
      <c r="H8" s="42"/>
      <c r="I8" s="43"/>
      <c r="J8" s="31">
        <f>SQRT(J7)</f>
        <v>0.16666666684166667</v>
      </c>
      <c r="K8" s="355"/>
      <c r="L8" s="364"/>
      <c r="M8" s="364"/>
      <c r="N8" s="364"/>
      <c r="O8" s="364"/>
      <c r="P8" s="364"/>
      <c r="Q8" s="364"/>
      <c r="R8" s="366"/>
      <c r="S8" s="366"/>
      <c r="T8" s="366"/>
      <c r="U8" s="362"/>
      <c r="V8" s="357"/>
    </row>
    <row r="9" spans="1:22" ht="16" customHeight="1" x14ac:dyDescent="0.45">
      <c r="A9" s="57" t="s">
        <v>195</v>
      </c>
      <c r="B9" s="39"/>
      <c r="C9" s="39"/>
      <c r="D9" s="39"/>
      <c r="E9" s="39"/>
      <c r="F9" s="40"/>
      <c r="G9" s="44" t="s">
        <v>196</v>
      </c>
      <c r="H9" s="45"/>
      <c r="I9" s="46"/>
      <c r="J9" s="31">
        <f>J8^4/(K7)</f>
        <v>5.000000021</v>
      </c>
      <c r="K9" s="355"/>
      <c r="L9" s="364"/>
      <c r="M9" s="364"/>
      <c r="N9" s="364"/>
      <c r="O9" s="364"/>
      <c r="P9" s="364"/>
      <c r="Q9" s="364"/>
      <c r="R9" s="367"/>
      <c r="S9" s="367"/>
      <c r="T9" s="367"/>
      <c r="U9" s="357"/>
      <c r="V9" s="357"/>
    </row>
    <row r="10" spans="1:22" ht="16" customHeight="1" x14ac:dyDescent="0.3">
      <c r="A10" s="57" t="s">
        <v>197</v>
      </c>
      <c r="B10" s="39"/>
      <c r="C10" s="39"/>
      <c r="D10" s="39"/>
      <c r="E10" s="39"/>
      <c r="F10" s="40"/>
      <c r="G10" s="47" t="s">
        <v>198</v>
      </c>
      <c r="H10" s="48"/>
      <c r="I10" s="49"/>
      <c r="J10" s="83">
        <f>TINV(0.05,J9)</f>
        <v>2.570581835636315</v>
      </c>
      <c r="K10" s="355"/>
      <c r="L10" s="364"/>
      <c r="M10" s="364"/>
      <c r="N10" s="364"/>
      <c r="O10" s="364"/>
      <c r="P10" s="364"/>
      <c r="Q10" s="364"/>
      <c r="R10" s="368"/>
      <c r="S10" s="368"/>
      <c r="T10" s="368"/>
      <c r="U10" s="369"/>
      <c r="V10" s="357"/>
    </row>
    <row r="11" spans="1:22" ht="16" customHeight="1" thickBot="1" x14ac:dyDescent="0.35">
      <c r="A11" s="59" t="s">
        <v>199</v>
      </c>
      <c r="B11" s="60"/>
      <c r="C11" s="60"/>
      <c r="D11" s="60"/>
      <c r="E11" s="60"/>
      <c r="F11" s="61"/>
      <c r="G11" s="62" t="s">
        <v>200</v>
      </c>
      <c r="H11" s="63"/>
      <c r="I11" s="64"/>
      <c r="J11" s="82">
        <f>J10*J8</f>
        <v>0.42843030638923768</v>
      </c>
      <c r="K11" s="356" t="s">
        <v>187</v>
      </c>
      <c r="L11" s="364"/>
      <c r="M11" s="364"/>
      <c r="N11" s="364"/>
      <c r="O11" s="364"/>
      <c r="P11" s="364"/>
      <c r="Q11" s="364"/>
      <c r="R11" s="368"/>
      <c r="S11" s="368"/>
      <c r="T11" s="368"/>
      <c r="U11" s="369"/>
      <c r="V11" s="370"/>
    </row>
    <row r="12" spans="1:22" ht="13.5" thickBot="1" x14ac:dyDescent="0.35"/>
    <row r="13" spans="1:22" x14ac:dyDescent="0.3">
      <c r="A13" s="371" t="s">
        <v>201</v>
      </c>
      <c r="B13" s="50"/>
      <c r="C13" s="51"/>
      <c r="D13" s="51"/>
      <c r="E13" s="51"/>
      <c r="F13" s="51"/>
      <c r="G13" s="51"/>
      <c r="H13" s="51"/>
      <c r="I13" s="51"/>
      <c r="J13" s="51"/>
      <c r="K13" s="52"/>
    </row>
    <row r="14" spans="1:22" x14ac:dyDescent="0.3">
      <c r="A14" s="53" t="s">
        <v>175</v>
      </c>
      <c r="B14" s="33" t="s">
        <v>176</v>
      </c>
      <c r="C14" s="33" t="s">
        <v>177</v>
      </c>
      <c r="D14" s="33" t="s">
        <v>178</v>
      </c>
      <c r="E14" s="33" t="s">
        <v>179</v>
      </c>
      <c r="F14" s="33" t="s">
        <v>180</v>
      </c>
      <c r="G14" s="33" t="s">
        <v>181</v>
      </c>
      <c r="H14" s="33" t="s">
        <v>182</v>
      </c>
      <c r="I14" s="33" t="s">
        <v>183</v>
      </c>
      <c r="J14" s="33" t="s">
        <v>184</v>
      </c>
      <c r="K14" s="54" t="s">
        <v>185</v>
      </c>
    </row>
    <row r="15" spans="1:22" x14ac:dyDescent="0.3">
      <c r="A15" s="55" t="s">
        <v>186</v>
      </c>
      <c r="B15" s="799">
        <f>ID!L33</f>
        <v>0.54772255750516607</v>
      </c>
      <c r="C15" s="35" t="s">
        <v>202</v>
      </c>
      <c r="D15" s="36" t="s">
        <v>188</v>
      </c>
      <c r="E15" s="37">
        <f>SQRT(6)</f>
        <v>2.4494897427831779</v>
      </c>
      <c r="F15" s="37">
        <f>B15/E15</f>
        <v>0.22360679774997896</v>
      </c>
      <c r="G15" s="37">
        <v>5</v>
      </c>
      <c r="H15" s="37">
        <v>1</v>
      </c>
      <c r="I15" s="37">
        <f t="shared" ref="I15:I17" si="3">F15*H15</f>
        <v>0.22360679774997896</v>
      </c>
      <c r="J15" s="37">
        <f t="shared" ref="J15:J17" si="4">I15^2</f>
        <v>4.9999999999999996E-2</v>
      </c>
      <c r="K15" s="56">
        <f t="shared" ref="K15:K17" si="5">(J15^2)/G15</f>
        <v>4.999999999999999E-4</v>
      </c>
    </row>
    <row r="16" spans="1:22" x14ac:dyDescent="0.3">
      <c r="A16" s="55" t="s">
        <v>189</v>
      </c>
      <c r="B16" s="800">
        <f>'Data LUX Meter'!E49</f>
        <v>1.0000000000000001E-5</v>
      </c>
      <c r="C16" s="35" t="s">
        <v>202</v>
      </c>
      <c r="D16" s="36" t="s">
        <v>188</v>
      </c>
      <c r="E16" s="37">
        <v>2</v>
      </c>
      <c r="F16" s="37">
        <f>B16/E16</f>
        <v>5.0000000000000004E-6</v>
      </c>
      <c r="G16" s="37">
        <v>50</v>
      </c>
      <c r="H16" s="37">
        <v>1</v>
      </c>
      <c r="I16" s="37">
        <f t="shared" si="3"/>
        <v>5.0000000000000004E-6</v>
      </c>
      <c r="J16" s="37">
        <f t="shared" si="4"/>
        <v>2.5000000000000004E-11</v>
      </c>
      <c r="K16" s="56">
        <f t="shared" si="5"/>
        <v>1.2500000000000005E-23</v>
      </c>
    </row>
    <row r="17" spans="1:11" x14ac:dyDescent="0.3">
      <c r="A17" s="55" t="s">
        <v>190</v>
      </c>
      <c r="B17" s="804">
        <v>1E-4</v>
      </c>
      <c r="C17" s="35" t="s">
        <v>202</v>
      </c>
      <c r="D17" s="36" t="s">
        <v>191</v>
      </c>
      <c r="E17" s="37">
        <f>SQRT(3)</f>
        <v>1.7320508075688772</v>
      </c>
      <c r="F17" s="811">
        <f>B17/E17</f>
        <v>5.7735026918962585E-5</v>
      </c>
      <c r="G17" s="37">
        <v>50</v>
      </c>
      <c r="H17" s="37">
        <v>1</v>
      </c>
      <c r="I17" s="803">
        <f t="shared" si="3"/>
        <v>5.7735026918962585E-5</v>
      </c>
      <c r="J17" s="805">
        <f t="shared" si="4"/>
        <v>3.3333333333333342E-9</v>
      </c>
      <c r="K17" s="809">
        <f t="shared" si="5"/>
        <v>2.2222222222222236E-19</v>
      </c>
    </row>
    <row r="18" spans="1:11" ht="14" x14ac:dyDescent="0.3">
      <c r="A18" s="57" t="s">
        <v>192</v>
      </c>
      <c r="B18" s="39"/>
      <c r="C18" s="39"/>
      <c r="D18" s="39"/>
      <c r="E18" s="39"/>
      <c r="F18" s="39"/>
      <c r="G18" s="39"/>
      <c r="H18" s="39"/>
      <c r="I18" s="40"/>
      <c r="J18" s="31">
        <f>SUM(J15:J17)</f>
        <v>5.0000003358333329E-2</v>
      </c>
      <c r="K18" s="810">
        <f>SUM(K15:K17)</f>
        <v>5.0000000000000012E-4</v>
      </c>
    </row>
    <row r="19" spans="1:11" ht="17" x14ac:dyDescent="0.45">
      <c r="A19" s="57" t="s">
        <v>193</v>
      </c>
      <c r="B19" s="39"/>
      <c r="C19" s="39"/>
      <c r="D19" s="39"/>
      <c r="E19" s="39"/>
      <c r="F19" s="40"/>
      <c r="G19" s="41" t="s">
        <v>194</v>
      </c>
      <c r="H19" s="42"/>
      <c r="I19" s="43"/>
      <c r="J19" s="806">
        <f>SQRT(J18)</f>
        <v>0.22360680525944046</v>
      </c>
      <c r="K19" s="58"/>
    </row>
    <row r="20" spans="1:11" ht="17.5" x14ac:dyDescent="0.45">
      <c r="A20" s="57" t="s">
        <v>195</v>
      </c>
      <c r="B20" s="39"/>
      <c r="C20" s="39"/>
      <c r="D20" s="39"/>
      <c r="E20" s="39"/>
      <c r="F20" s="40"/>
      <c r="G20" s="44" t="s">
        <v>196</v>
      </c>
      <c r="H20" s="45"/>
      <c r="I20" s="46"/>
      <c r="J20" s="806">
        <f>J19^4/(K18)</f>
        <v>5.0000006716666876</v>
      </c>
      <c r="K20" s="58"/>
    </row>
    <row r="21" spans="1:11" ht="14" x14ac:dyDescent="0.3">
      <c r="A21" s="57" t="s">
        <v>197</v>
      </c>
      <c r="B21" s="39"/>
      <c r="C21" s="39"/>
      <c r="D21" s="39"/>
      <c r="E21" s="39"/>
      <c r="F21" s="40"/>
      <c r="G21" s="47" t="s">
        <v>198</v>
      </c>
      <c r="H21" s="48"/>
      <c r="I21" s="49"/>
      <c r="J21" s="807">
        <f>TINV(0.05,J20)</f>
        <v>2.570581835636315</v>
      </c>
      <c r="K21" s="58"/>
    </row>
    <row r="22" spans="1:11" ht="14.5" thickBot="1" x14ac:dyDescent="0.35">
      <c r="A22" s="59" t="s">
        <v>199</v>
      </c>
      <c r="B22" s="60"/>
      <c r="C22" s="60"/>
      <c r="D22" s="60"/>
      <c r="E22" s="60"/>
      <c r="F22" s="61"/>
      <c r="G22" s="62" t="s">
        <v>200</v>
      </c>
      <c r="H22" s="63"/>
      <c r="I22" s="64"/>
      <c r="J22" s="808">
        <f>J21*J19</f>
        <v>0.57479959192458452</v>
      </c>
      <c r="K22" s="65" t="s">
        <v>202</v>
      </c>
    </row>
    <row r="23" spans="1:11" ht="13.5" thickBot="1" x14ac:dyDescent="0.35"/>
    <row r="24" spans="1:11" x14ac:dyDescent="0.3">
      <c r="A24" s="371" t="s">
        <v>203</v>
      </c>
      <c r="B24" s="50"/>
      <c r="C24" s="51"/>
      <c r="D24" s="51"/>
      <c r="E24" s="51"/>
      <c r="F24" s="51"/>
      <c r="G24" s="51"/>
      <c r="H24" s="51"/>
      <c r="I24" s="51"/>
      <c r="J24" s="51"/>
      <c r="K24" s="52"/>
    </row>
    <row r="25" spans="1:11" x14ac:dyDescent="0.3">
      <c r="A25" s="53" t="s">
        <v>175</v>
      </c>
      <c r="B25" s="33" t="s">
        <v>176</v>
      </c>
      <c r="C25" s="33" t="s">
        <v>177</v>
      </c>
      <c r="D25" s="33" t="s">
        <v>178</v>
      </c>
      <c r="E25" s="33" t="s">
        <v>179</v>
      </c>
      <c r="F25" s="33" t="s">
        <v>180</v>
      </c>
      <c r="G25" s="33" t="s">
        <v>181</v>
      </c>
      <c r="H25" s="33" t="s">
        <v>182</v>
      </c>
      <c r="I25" s="33" t="s">
        <v>183</v>
      </c>
      <c r="J25" s="33" t="s">
        <v>184</v>
      </c>
      <c r="K25" s="54" t="s">
        <v>185</v>
      </c>
    </row>
    <row r="26" spans="1:11" x14ac:dyDescent="0.3">
      <c r="A26" s="55" t="s">
        <v>186</v>
      </c>
      <c r="B26" s="34">
        <f>ID!L34</f>
        <v>0.40824829046386302</v>
      </c>
      <c r="C26" s="35" t="s">
        <v>204</v>
      </c>
      <c r="D26" s="36" t="s">
        <v>188</v>
      </c>
      <c r="E26" s="37">
        <f>SQRT(6)</f>
        <v>2.4494897427831779</v>
      </c>
      <c r="F26" s="37">
        <f>B26/E26</f>
        <v>0.16666666666666669</v>
      </c>
      <c r="G26" s="37">
        <v>5</v>
      </c>
      <c r="H26" s="37">
        <v>1</v>
      </c>
      <c r="I26" s="37">
        <f t="shared" ref="I26:I28" si="6">F26*H26</f>
        <v>0.16666666666666669</v>
      </c>
      <c r="J26" s="37">
        <f t="shared" ref="J26:J28" si="7">I26^2</f>
        <v>2.7777777777777783E-2</v>
      </c>
      <c r="K26" s="56">
        <f t="shared" ref="K26:K28" si="8">(J26^2)/G26</f>
        <v>1.5432098765432104E-4</v>
      </c>
    </row>
    <row r="27" spans="1:11" x14ac:dyDescent="0.3">
      <c r="A27" s="55" t="s">
        <v>189</v>
      </c>
      <c r="B27" s="38">
        <f>'Data LUX Meter'!D56</f>
        <v>5.2675000000000007E-2</v>
      </c>
      <c r="C27" s="35" t="s">
        <v>204</v>
      </c>
      <c r="D27" s="36" t="s">
        <v>188</v>
      </c>
      <c r="E27" s="37">
        <v>2</v>
      </c>
      <c r="F27" s="37">
        <f>B27/E27</f>
        <v>2.6337500000000003E-2</v>
      </c>
      <c r="G27" s="37">
        <v>50</v>
      </c>
      <c r="H27" s="37">
        <v>1</v>
      </c>
      <c r="I27" s="37">
        <f t="shared" si="6"/>
        <v>2.6337500000000003E-2</v>
      </c>
      <c r="J27" s="37">
        <f t="shared" si="7"/>
        <v>6.9366390625000014E-4</v>
      </c>
      <c r="K27" s="56">
        <f t="shared" si="8"/>
        <v>9.6233922966801806E-9</v>
      </c>
    </row>
    <row r="28" spans="1:11" x14ac:dyDescent="0.3">
      <c r="A28" s="55" t="s">
        <v>190</v>
      </c>
      <c r="B28" s="791">
        <f>'Data LUX Meter'!D49</f>
        <v>1.0000000000000001E-5</v>
      </c>
      <c r="C28" s="35" t="s">
        <v>204</v>
      </c>
      <c r="D28" s="36" t="s">
        <v>191</v>
      </c>
      <c r="E28" s="37">
        <f>SQRT(3)</f>
        <v>1.7320508075688772</v>
      </c>
      <c r="F28" s="36">
        <f>B28/E28</f>
        <v>5.7735026918962587E-6</v>
      </c>
      <c r="G28" s="37">
        <v>50</v>
      </c>
      <c r="H28" s="37">
        <v>1</v>
      </c>
      <c r="I28" s="798">
        <f t="shared" si="6"/>
        <v>5.7735026918962587E-6</v>
      </c>
      <c r="J28" s="801">
        <f t="shared" si="7"/>
        <v>3.3333333333333347E-11</v>
      </c>
      <c r="K28" s="56">
        <f t="shared" si="8"/>
        <v>2.2222222222222241E-23</v>
      </c>
    </row>
    <row r="29" spans="1:11" ht="14" x14ac:dyDescent="0.3">
      <c r="A29" s="57" t="s">
        <v>192</v>
      </c>
      <c r="B29" s="39"/>
      <c r="C29" s="39"/>
      <c r="D29" s="39"/>
      <c r="E29" s="39"/>
      <c r="F29" s="39"/>
      <c r="G29" s="39"/>
      <c r="H29" s="39"/>
      <c r="I29" s="40"/>
      <c r="J29" s="31">
        <f>SUM(J26:J28)</f>
        <v>2.8471441717361115E-2</v>
      </c>
      <c r="K29" s="58">
        <f>SUM(K26:K28)</f>
        <v>1.5433061104661773E-4</v>
      </c>
    </row>
    <row r="30" spans="1:11" ht="17" x14ac:dyDescent="0.45">
      <c r="A30" s="57" t="s">
        <v>193</v>
      </c>
      <c r="B30" s="39"/>
      <c r="C30" s="39"/>
      <c r="D30" s="39"/>
      <c r="E30" s="39"/>
      <c r="F30" s="40"/>
      <c r="G30" s="41" t="s">
        <v>194</v>
      </c>
      <c r="H30" s="42"/>
      <c r="I30" s="43"/>
      <c r="J30" s="31">
        <f>SQRT(J29)</f>
        <v>0.16873482662853306</v>
      </c>
      <c r="K30" s="58"/>
    </row>
    <row r="31" spans="1:11" ht="17.5" x14ac:dyDescent="0.45">
      <c r="A31" s="57" t="s">
        <v>195</v>
      </c>
      <c r="B31" s="39"/>
      <c r="C31" s="39"/>
      <c r="D31" s="39"/>
      <c r="E31" s="39"/>
      <c r="F31" s="40"/>
      <c r="G31" s="44" t="s">
        <v>196</v>
      </c>
      <c r="H31" s="45"/>
      <c r="I31" s="46"/>
      <c r="J31" s="31">
        <f>J30^4/(K29)</f>
        <v>5.2525094533593899</v>
      </c>
      <c r="K31" s="58"/>
    </row>
    <row r="32" spans="1:11" ht="14" x14ac:dyDescent="0.3">
      <c r="A32" s="57" t="s">
        <v>197</v>
      </c>
      <c r="B32" s="39"/>
      <c r="C32" s="39"/>
      <c r="D32" s="39"/>
      <c r="E32" s="39"/>
      <c r="F32" s="40"/>
      <c r="G32" s="47" t="s">
        <v>198</v>
      </c>
      <c r="H32" s="48"/>
      <c r="I32" s="49"/>
      <c r="J32" s="83">
        <f>TINV(0.05,J31)</f>
        <v>2.570581835636315</v>
      </c>
      <c r="K32" s="58"/>
    </row>
    <row r="33" spans="1:11" ht="14.5" thickBot="1" x14ac:dyDescent="0.35">
      <c r="A33" s="59" t="s">
        <v>199</v>
      </c>
      <c r="B33" s="60"/>
      <c r="C33" s="60"/>
      <c r="D33" s="60"/>
      <c r="E33" s="60"/>
      <c r="F33" s="61"/>
      <c r="G33" s="62" t="s">
        <v>200</v>
      </c>
      <c r="H33" s="63"/>
      <c r="I33" s="64"/>
      <c r="J33" s="82">
        <f>J32*J30</f>
        <v>0.43374668037054992</v>
      </c>
      <c r="K33" s="65" t="s">
        <v>205</v>
      </c>
    </row>
  </sheetData>
  <mergeCells count="2">
    <mergeCell ref="A1:K1"/>
    <mergeCell ref="L1:V1"/>
  </mergeCells>
  <phoneticPr fontId="0" type="noConversion"/>
  <printOptions horizontalCentered="1"/>
  <pageMargins left="0.70866141732283472" right="0.6692913385826772" top="0.59055118110236227" bottom="0.70866141732283472" header="0.27559055118110237" footer="0.35433070866141736"/>
  <pageSetup paperSize="9" scale="54" fitToHeight="3" orientation="portrait" horizontalDpi="300" verticalDpi="300" r:id="rId1"/>
  <headerFooter>
    <oddHeader>&amp;R&amp;"-,Regular"&amp;8OA.UB - 029 - 18 / REV 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7AD9-E42E-4478-B1C0-08D6AE6F0189}">
  <dimension ref="A1:AS122"/>
  <sheetViews>
    <sheetView topLeftCell="P1" zoomScale="90" zoomScaleNormal="90" workbookViewId="0">
      <selection activeCell="AA5" sqref="AA5"/>
    </sheetView>
  </sheetViews>
  <sheetFormatPr defaultColWidth="9.1796875" defaultRowHeight="12.5" x14ac:dyDescent="0.25"/>
  <cols>
    <col min="1" max="1" width="12.26953125" customWidth="1"/>
    <col min="2" max="2" width="9.54296875" customWidth="1"/>
    <col min="3" max="3" width="14.54296875" customWidth="1"/>
    <col min="4" max="4" width="8" customWidth="1"/>
    <col min="5" max="5" width="7.81640625" customWidth="1"/>
    <col min="6" max="6" width="10.54296875" customWidth="1"/>
    <col min="7" max="7" width="7" customWidth="1"/>
    <col min="8" max="8" width="10.26953125" customWidth="1"/>
    <col min="9" max="9" width="8.7265625" customWidth="1"/>
    <col min="10" max="11" width="9.1796875" customWidth="1"/>
    <col min="12" max="12" width="8.453125" customWidth="1"/>
    <col min="13" max="13" width="7.54296875" customWidth="1"/>
    <col min="14" max="14" width="6.81640625" customWidth="1"/>
    <col min="15" max="15" width="7.1796875" customWidth="1"/>
    <col min="16" max="16" width="7.453125" customWidth="1"/>
    <col min="17" max="17" width="7.81640625" customWidth="1"/>
    <col min="18" max="19" width="7.453125" customWidth="1"/>
    <col min="20" max="20" width="9.1796875" customWidth="1"/>
    <col min="21" max="21" width="9" customWidth="1"/>
    <col min="22" max="22" width="7" customWidth="1"/>
    <col min="23" max="23" width="7.81640625" customWidth="1"/>
    <col min="24" max="24" width="10.81640625" customWidth="1"/>
    <col min="25" max="25" width="11.453125" customWidth="1"/>
    <col min="26" max="26" width="11.81640625" customWidth="1"/>
    <col min="27" max="27" width="21.54296875" customWidth="1"/>
    <col min="29" max="29" width="10.7265625" customWidth="1"/>
    <col min="31" max="32" width="9.1796875" customWidth="1"/>
  </cols>
  <sheetData>
    <row r="1" spans="1:30" ht="13" thickBot="1" x14ac:dyDescent="0.3"/>
    <row r="2" spans="1:30" x14ac:dyDescent="0.25">
      <c r="W2" s="320"/>
      <c r="X2" s="321"/>
      <c r="Y2" s="321"/>
      <c r="Z2" s="321"/>
      <c r="AA2" s="321"/>
      <c r="AB2" s="321"/>
      <c r="AC2" s="321"/>
      <c r="AD2" s="322"/>
    </row>
    <row r="3" spans="1:30" ht="50.5" customHeight="1" x14ac:dyDescent="0.25">
      <c r="A3" s="858" t="s">
        <v>202</v>
      </c>
      <c r="B3" s="859" t="s">
        <v>233</v>
      </c>
      <c r="C3" s="859"/>
      <c r="D3" s="859" t="s">
        <v>234</v>
      </c>
      <c r="E3" s="859"/>
      <c r="F3" s="853" t="s">
        <v>235</v>
      </c>
      <c r="G3" s="853"/>
      <c r="H3" s="853" t="s">
        <v>236</v>
      </c>
      <c r="I3" s="853"/>
      <c r="J3" s="853" t="s">
        <v>237</v>
      </c>
      <c r="K3" s="853"/>
      <c r="L3" s="853" t="s">
        <v>238</v>
      </c>
      <c r="M3" s="853"/>
      <c r="W3" s="323"/>
      <c r="X3" s="854" t="str">
        <f>A3</f>
        <v>Ra</v>
      </c>
      <c r="Y3" s="856" t="str">
        <f>B81</f>
        <v>CRI Illuminance Meter, Merek : KONICA MINOLTA , Model : CL - 70F, SN: JT70 - 002458</v>
      </c>
      <c r="Z3" s="857"/>
      <c r="AA3" s="857"/>
      <c r="AB3" s="857"/>
      <c r="AC3" s="324" t="str">
        <f>I81</f>
        <v>E</v>
      </c>
      <c r="AD3" s="325"/>
    </row>
    <row r="4" spans="1:30" ht="69" customHeight="1" x14ac:dyDescent="0.3">
      <c r="A4" s="858"/>
      <c r="B4" s="850" t="s">
        <v>165</v>
      </c>
      <c r="C4" s="850"/>
      <c r="D4" s="850" t="s">
        <v>169</v>
      </c>
      <c r="E4" s="850"/>
      <c r="F4" s="850" t="s">
        <v>170</v>
      </c>
      <c r="G4" s="850"/>
      <c r="H4" s="850" t="s">
        <v>171</v>
      </c>
      <c r="I4" s="850"/>
      <c r="J4" s="850" t="s">
        <v>130</v>
      </c>
      <c r="K4" s="850"/>
      <c r="L4" s="850" t="s">
        <v>172</v>
      </c>
      <c r="M4" s="850"/>
      <c r="W4" s="323"/>
      <c r="X4" s="855"/>
      <c r="Y4" s="326">
        <v>2022</v>
      </c>
      <c r="Z4" s="327">
        <v>2021</v>
      </c>
      <c r="AA4" s="328" t="s">
        <v>239</v>
      </c>
      <c r="AB4" s="329" t="s">
        <v>240</v>
      </c>
      <c r="AC4" s="330"/>
      <c r="AD4" s="325"/>
    </row>
    <row r="5" spans="1:30" x14ac:dyDescent="0.25">
      <c r="A5" s="858"/>
      <c r="B5" s="274">
        <v>2021</v>
      </c>
      <c r="C5" s="274">
        <v>2022</v>
      </c>
      <c r="D5" s="274">
        <v>2021</v>
      </c>
      <c r="E5" s="274">
        <v>2022</v>
      </c>
      <c r="F5" s="274">
        <v>2021</v>
      </c>
      <c r="G5" s="274">
        <v>2022</v>
      </c>
      <c r="H5" s="274">
        <v>2021</v>
      </c>
      <c r="I5" s="274">
        <v>2022</v>
      </c>
      <c r="J5" s="274">
        <v>2021</v>
      </c>
      <c r="K5" s="274">
        <v>2022</v>
      </c>
      <c r="L5" s="274">
        <v>2021</v>
      </c>
      <c r="M5" s="274">
        <v>2022</v>
      </c>
      <c r="W5" s="323"/>
      <c r="X5" s="790">
        <f>A6</f>
        <v>70</v>
      </c>
      <c r="Y5" s="794">
        <f>VLOOKUP($AC$25,$AI$37:$AK$43,2,FALSE)</f>
        <v>1.0000000000000001E-5</v>
      </c>
      <c r="Z5" s="794">
        <f>VLOOKUP($AC$25,$V$37:$X$43,3,FALSE)</f>
        <v>1.0000000000000001E-5</v>
      </c>
      <c r="AA5" s="795">
        <v>1.0000000000000001E-5</v>
      </c>
      <c r="AB5" s="789">
        <f>VLOOKUP($AC$3,$AD$38:$AF$43,3,FALSE)</f>
        <v>1.0000000000000001E-5</v>
      </c>
      <c r="AC5" s="330"/>
      <c r="AD5" s="325"/>
    </row>
    <row r="6" spans="1:30" ht="13" x14ac:dyDescent="0.3">
      <c r="A6" s="264">
        <v>70</v>
      </c>
      <c r="B6" s="777">
        <v>1.0000000000000001E-5</v>
      </c>
      <c r="C6" s="777">
        <v>1.0000000000000001E-5</v>
      </c>
      <c r="D6" s="777">
        <v>1.0000000000000001E-5</v>
      </c>
      <c r="E6" s="777">
        <v>1.0000000000000001E-5</v>
      </c>
      <c r="F6" s="777">
        <v>1.0000000000000001E-5</v>
      </c>
      <c r="G6" s="777">
        <v>1.0000000000000001E-5</v>
      </c>
      <c r="H6" s="777">
        <v>1.0000000000000001E-5</v>
      </c>
      <c r="I6" s="777">
        <v>1.0000000000000001E-5</v>
      </c>
      <c r="J6" s="777">
        <v>1.0000000000000001E-5</v>
      </c>
      <c r="K6" s="777">
        <v>1.0000000000000001E-5</v>
      </c>
      <c r="L6" s="777">
        <v>1.0000000000000001E-5</v>
      </c>
      <c r="M6" s="777">
        <v>1.0000000000000001E-5</v>
      </c>
      <c r="W6" s="323"/>
      <c r="X6" s="790">
        <f>A7</f>
        <v>80</v>
      </c>
      <c r="Y6" s="794">
        <f>VLOOKUP($AC$25,$AI$51:$AK$56,2,FALSE)</f>
        <v>1.0000000000000001E-5</v>
      </c>
      <c r="Z6" s="794">
        <f>VLOOKUP($AC$25,$V$51:$X$56,3,FALSE)</f>
        <v>1.0000000000000001E-5</v>
      </c>
      <c r="AA6" s="795">
        <v>1.0000000000000001E-5</v>
      </c>
      <c r="AB6" s="779"/>
      <c r="AC6" s="331"/>
      <c r="AD6" s="325"/>
    </row>
    <row r="7" spans="1:30" ht="13" x14ac:dyDescent="0.3">
      <c r="A7" s="264">
        <v>80</v>
      </c>
      <c r="B7" s="777">
        <v>1.0000000000000001E-5</v>
      </c>
      <c r="C7" s="777">
        <v>1.0000000000000001E-5</v>
      </c>
      <c r="D7" s="777">
        <v>1.0000000000000001E-5</v>
      </c>
      <c r="E7" s="777">
        <v>1.0000000000000001E-5</v>
      </c>
      <c r="F7" s="777">
        <v>1.0000000000000001E-5</v>
      </c>
      <c r="G7" s="777">
        <v>1.0000000000000001E-5</v>
      </c>
      <c r="H7" s="777">
        <v>1.0000000000000001E-5</v>
      </c>
      <c r="I7" s="777">
        <v>1.0000000000000001E-5</v>
      </c>
      <c r="J7" s="777">
        <v>1.0000000000000001E-5</v>
      </c>
      <c r="K7" s="777">
        <v>1.0000000000000001E-5</v>
      </c>
      <c r="L7" s="777">
        <v>1.0000000000000001E-5</v>
      </c>
      <c r="M7" s="777">
        <v>1.0000000000000001E-5</v>
      </c>
      <c r="W7" s="323"/>
      <c r="X7" s="790">
        <f>A8</f>
        <v>90</v>
      </c>
      <c r="Y7" s="794">
        <f>VLOOKUP($AC$25,$AI$64:$AK$69,2,FALSE)</f>
        <v>1.0000000000000001E-5</v>
      </c>
      <c r="Z7" s="794">
        <f>VLOOKUP($AC$25,$V$64:$X$69,3,FALSE)</f>
        <v>1.0000000000000001E-5</v>
      </c>
      <c r="AA7" s="795">
        <v>1.0000000000000001E-5</v>
      </c>
      <c r="AB7" s="779"/>
      <c r="AC7" s="331"/>
      <c r="AD7" s="325"/>
    </row>
    <row r="8" spans="1:30" ht="13" x14ac:dyDescent="0.25">
      <c r="A8" s="265">
        <v>90</v>
      </c>
      <c r="B8" s="777">
        <v>1.0000000000000001E-5</v>
      </c>
      <c r="C8" s="777">
        <v>1.0000000000000001E-5</v>
      </c>
      <c r="D8" s="777">
        <v>1.0000000000000001E-5</v>
      </c>
      <c r="E8" s="777">
        <v>1.0000000000000001E-5</v>
      </c>
      <c r="F8" s="777">
        <v>1.0000000000000001E-5</v>
      </c>
      <c r="G8" s="777">
        <v>1.0000000000000001E-5</v>
      </c>
      <c r="H8" s="777">
        <v>1.0000000000000001E-5</v>
      </c>
      <c r="I8" s="777">
        <v>1.0000000000000001E-5</v>
      </c>
      <c r="J8" s="777">
        <v>1.0000000000000001E-5</v>
      </c>
      <c r="K8" s="777">
        <v>1.0000000000000001E-5</v>
      </c>
      <c r="L8" s="777">
        <v>1.0000000000000001E-5</v>
      </c>
      <c r="M8" s="777">
        <v>1.0000000000000001E-5</v>
      </c>
      <c r="W8" s="323"/>
      <c r="X8" s="790">
        <f>A9</f>
        <v>100</v>
      </c>
      <c r="Y8" s="794">
        <f>VLOOKUP($AC$25,$AQ$38:$AS$43,2,FALSE)</f>
        <v>1.0000000000000001E-5</v>
      </c>
      <c r="Z8" s="794">
        <f>VLOOKUP($AC$25,$Z$38:$AB$43,2,FALSE)</f>
        <v>1.0000000000000001E-5</v>
      </c>
      <c r="AA8" s="795">
        <v>1.0000000000000001E-5</v>
      </c>
      <c r="AB8" s="779"/>
      <c r="AC8" s="331"/>
      <c r="AD8" s="325"/>
    </row>
    <row r="9" spans="1:30" ht="14.5" x14ac:dyDescent="0.3">
      <c r="A9" s="264">
        <v>100</v>
      </c>
      <c r="B9" s="777">
        <v>1.0000000000000001E-5</v>
      </c>
      <c r="C9" s="777">
        <v>1.0000000000000001E-5</v>
      </c>
      <c r="D9" s="777">
        <v>1.0000000000000001E-5</v>
      </c>
      <c r="E9" s="777">
        <v>1.0000000000000001E-5</v>
      </c>
      <c r="F9" s="777">
        <v>1.0000000000000001E-5</v>
      </c>
      <c r="G9" s="777">
        <v>1.0000000000000001E-5</v>
      </c>
      <c r="H9" s="777">
        <v>1.0000000000000001E-5</v>
      </c>
      <c r="I9" s="777">
        <v>1.0000000000000001E-5</v>
      </c>
      <c r="J9" s="777">
        <v>1.0000000000000001E-5</v>
      </c>
      <c r="K9" s="777">
        <v>1.0000000000000001E-5</v>
      </c>
      <c r="L9" s="777">
        <v>1.0000000000000001E-5</v>
      </c>
      <c r="M9" s="777">
        <v>1.0000000000000001E-5</v>
      </c>
      <c r="W9" s="323"/>
      <c r="X9" s="332"/>
      <c r="Y9" s="331"/>
      <c r="Z9" s="331"/>
      <c r="AA9" s="333"/>
      <c r="AB9" s="331"/>
      <c r="AC9" s="331"/>
      <c r="AD9" s="325"/>
    </row>
    <row r="10" spans="1:30" ht="14.5" x14ac:dyDescent="0.3">
      <c r="A10" s="264" t="s">
        <v>240</v>
      </c>
      <c r="B10" s="777">
        <v>1.0000000000000001E-5</v>
      </c>
      <c r="C10" s="777">
        <v>1.0000000000000001E-5</v>
      </c>
      <c r="D10" s="777">
        <v>1.0000000000000001E-5</v>
      </c>
      <c r="E10" s="777">
        <v>1.0000000000000001E-5</v>
      </c>
      <c r="F10" s="777">
        <v>1.0000000000000001E-5</v>
      </c>
      <c r="G10" s="777">
        <v>1.0000000000000001E-5</v>
      </c>
      <c r="H10" s="777">
        <v>1.0000000000000001E-5</v>
      </c>
      <c r="I10" s="777">
        <v>1.0000000000000001E-5</v>
      </c>
      <c r="J10" s="777">
        <v>1.0000000000000001E-5</v>
      </c>
      <c r="K10" s="777">
        <v>1.0000000000000001E-5</v>
      </c>
      <c r="L10" s="777">
        <v>1.0000000000000001E-5</v>
      </c>
      <c r="M10" s="777">
        <v>1.0000000000000001E-5</v>
      </c>
      <c r="W10" s="323"/>
      <c r="X10" s="332"/>
      <c r="Y10" s="331"/>
      <c r="Z10" s="331"/>
      <c r="AA10" s="333"/>
      <c r="AB10" s="331"/>
      <c r="AC10" s="330"/>
      <c r="AD10" s="325"/>
    </row>
    <row r="11" spans="1:30" ht="13" x14ac:dyDescent="0.3">
      <c r="A11" s="9"/>
      <c r="B11" s="279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W11" s="323"/>
      <c r="X11" s="330"/>
      <c r="Y11" s="330"/>
      <c r="Z11" s="330"/>
      <c r="AA11" s="330"/>
      <c r="AB11" s="330"/>
      <c r="AC11" s="330"/>
      <c r="AD11" s="325"/>
    </row>
    <row r="12" spans="1:30" ht="13" x14ac:dyDescent="0.3">
      <c r="A12" s="9"/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79"/>
      <c r="W12" s="323"/>
      <c r="X12" s="330"/>
      <c r="Y12" s="330"/>
      <c r="Z12" s="330"/>
      <c r="AA12" s="330"/>
      <c r="AB12" s="330"/>
      <c r="AC12" s="330"/>
      <c r="AD12" s="325"/>
    </row>
    <row r="13" spans="1:30" x14ac:dyDescent="0.25">
      <c r="W13" s="323"/>
      <c r="X13" s="330"/>
      <c r="Y13" s="330"/>
      <c r="Z13" s="330"/>
      <c r="AA13" s="330"/>
      <c r="AB13" s="330"/>
      <c r="AC13" s="330"/>
      <c r="AD13" s="325"/>
    </row>
    <row r="14" spans="1:30" ht="44.15" customHeight="1" x14ac:dyDescent="0.25">
      <c r="A14" s="858" t="s">
        <v>187</v>
      </c>
      <c r="B14" s="859" t="s">
        <v>233</v>
      </c>
      <c r="C14" s="859"/>
      <c r="D14" s="859" t="s">
        <v>234</v>
      </c>
      <c r="E14" s="859"/>
      <c r="F14" s="853" t="s">
        <v>235</v>
      </c>
      <c r="G14" s="853"/>
      <c r="H14" s="853" t="s">
        <v>236</v>
      </c>
      <c r="I14" s="853"/>
      <c r="J14" s="853" t="s">
        <v>237</v>
      </c>
      <c r="K14" s="853"/>
      <c r="L14" s="853" t="s">
        <v>238</v>
      </c>
      <c r="M14" s="853"/>
      <c r="W14" s="323"/>
      <c r="X14" s="854" t="str">
        <f>A14</f>
        <v>K</v>
      </c>
      <c r="Y14" s="856" t="str">
        <f>B81</f>
        <v>CRI Illuminance Meter, Merek : KONICA MINOLTA , Model : CL - 70F, SN: JT70 - 002458</v>
      </c>
      <c r="Z14" s="857"/>
      <c r="AA14" s="857"/>
      <c r="AB14" s="857"/>
      <c r="AC14" s="324" t="str">
        <f>I81</f>
        <v>E</v>
      </c>
      <c r="AD14" s="325"/>
    </row>
    <row r="15" spans="1:30" ht="60.65" customHeight="1" x14ac:dyDescent="0.3">
      <c r="A15" s="858"/>
      <c r="B15" s="850" t="s">
        <v>165</v>
      </c>
      <c r="C15" s="850"/>
      <c r="D15" s="850" t="s">
        <v>169</v>
      </c>
      <c r="E15" s="850"/>
      <c r="F15" s="850" t="s">
        <v>170</v>
      </c>
      <c r="G15" s="850"/>
      <c r="H15" s="850" t="s">
        <v>171</v>
      </c>
      <c r="I15" s="850"/>
      <c r="J15" s="850" t="s">
        <v>130</v>
      </c>
      <c r="K15" s="850"/>
      <c r="L15" s="850" t="s">
        <v>172</v>
      </c>
      <c r="M15" s="850"/>
      <c r="W15" s="323"/>
      <c r="X15" s="855"/>
      <c r="Y15" s="326">
        <v>2022</v>
      </c>
      <c r="Z15" s="327">
        <v>2021</v>
      </c>
      <c r="AA15" s="328" t="s">
        <v>239</v>
      </c>
      <c r="AB15" s="329" t="s">
        <v>240</v>
      </c>
      <c r="AC15" s="330"/>
      <c r="AD15" s="325"/>
    </row>
    <row r="16" spans="1:30" ht="15.75" customHeight="1" x14ac:dyDescent="0.3">
      <c r="A16" s="858"/>
      <c r="B16" s="274">
        <v>2021</v>
      </c>
      <c r="C16" s="274">
        <v>2022</v>
      </c>
      <c r="D16" s="274">
        <v>2021</v>
      </c>
      <c r="E16" s="274">
        <v>2022</v>
      </c>
      <c r="F16" s="274">
        <v>2021</v>
      </c>
      <c r="G16" s="274">
        <v>2022</v>
      </c>
      <c r="H16" s="274">
        <v>2021</v>
      </c>
      <c r="I16" s="274">
        <v>2022</v>
      </c>
      <c r="J16" s="274">
        <v>2021</v>
      </c>
      <c r="K16" s="274">
        <v>2022</v>
      </c>
      <c r="L16" s="274">
        <v>2021</v>
      </c>
      <c r="M16" s="274">
        <v>2022</v>
      </c>
      <c r="W16" s="323"/>
      <c r="X16" s="778">
        <v>2000</v>
      </c>
      <c r="Y16" s="794">
        <f>VLOOKUP($AC$25,$V$37:$X$43,2,FALSE)</f>
        <v>1.0000000000000001E-5</v>
      </c>
      <c r="Z16" s="794">
        <f>VLOOKUP($AC$25,$V$37:$X$43,3,FALSE)</f>
        <v>1.0000000000000001E-5</v>
      </c>
      <c r="AA16" s="788">
        <v>1.0000000000000001E-5</v>
      </c>
      <c r="AB16" s="789">
        <f>VLOOKUP($AC$14,$AD$38:$AF$43,3,FALSE)</f>
        <v>1.0000000000000001E-5</v>
      </c>
      <c r="AC16" s="780"/>
      <c r="AD16" s="325"/>
    </row>
    <row r="17" spans="1:30" ht="15.75" customHeight="1" x14ac:dyDescent="0.3">
      <c r="A17" s="264">
        <v>2000</v>
      </c>
      <c r="B17" s="777">
        <v>1.0000000000000001E-5</v>
      </c>
      <c r="C17" s="777">
        <v>1.0000000000000001E-5</v>
      </c>
      <c r="D17" s="777">
        <v>1.0000000000000001E-5</v>
      </c>
      <c r="E17" s="777">
        <v>1.0000000000000001E-5</v>
      </c>
      <c r="F17" s="777">
        <v>1.0000000000000001E-5</v>
      </c>
      <c r="G17" s="777">
        <v>1.0000000000000001E-5</v>
      </c>
      <c r="H17" s="777">
        <v>1.0000000000000001E-5</v>
      </c>
      <c r="I17" s="777">
        <v>1.0000000000000001E-5</v>
      </c>
      <c r="J17" s="777">
        <v>1.0000000000000001E-5</v>
      </c>
      <c r="K17" s="777">
        <v>1.0000000000000001E-5</v>
      </c>
      <c r="L17" s="777">
        <v>1.0000000000000001E-5</v>
      </c>
      <c r="M17" s="777">
        <v>1.0000000000000001E-5</v>
      </c>
      <c r="W17" s="323"/>
      <c r="X17" s="778">
        <v>3000</v>
      </c>
      <c r="Y17" s="794">
        <f>VLOOKUP($AC$25,$V$51:$X$56,2,FALSE)</f>
        <v>1.0000000000000001E-5</v>
      </c>
      <c r="Z17" s="794">
        <f>VLOOKUP($AC$25,$V$51:$X$56,3,FALSE)</f>
        <v>1.0000000000000001E-5</v>
      </c>
      <c r="AA17" s="788">
        <v>1.0000000000000001E-5</v>
      </c>
      <c r="AB17" s="779"/>
      <c r="AC17" s="779"/>
      <c r="AD17" s="325"/>
    </row>
    <row r="18" spans="1:30" ht="15.75" customHeight="1" x14ac:dyDescent="0.3">
      <c r="A18" s="264">
        <v>3000</v>
      </c>
      <c r="B18" s="777">
        <v>1.0000000000000001E-5</v>
      </c>
      <c r="C18" s="777">
        <v>1.0000000000000001E-5</v>
      </c>
      <c r="D18" s="777">
        <v>1.0000000000000001E-5</v>
      </c>
      <c r="E18" s="777">
        <v>1.0000000000000001E-5</v>
      </c>
      <c r="F18" s="777">
        <v>1.0000000000000001E-5</v>
      </c>
      <c r="G18" s="777">
        <v>1.0000000000000001E-5</v>
      </c>
      <c r="H18" s="777">
        <v>1.0000000000000001E-5</v>
      </c>
      <c r="I18" s="777">
        <v>1.0000000000000001E-5</v>
      </c>
      <c r="J18" s="777">
        <v>1.0000000000000001E-5</v>
      </c>
      <c r="K18" s="777">
        <v>1.0000000000000001E-5</v>
      </c>
      <c r="L18" s="777">
        <v>1.0000000000000001E-5</v>
      </c>
      <c r="M18" s="777">
        <v>1.0000000000000001E-5</v>
      </c>
      <c r="W18" s="323"/>
      <c r="X18" s="781">
        <v>4000</v>
      </c>
      <c r="Y18" s="794">
        <f>VLOOKUP($AC$25,$V$64:$X$69,2,FALSE)</f>
        <v>1.0000000000000001E-5</v>
      </c>
      <c r="Z18" s="794">
        <f>VLOOKUP($AC$25,$V$64:$X$69,3,FALSE)</f>
        <v>1.0000000000000001E-5</v>
      </c>
      <c r="AA18" s="788">
        <v>1.0000000000000001E-5</v>
      </c>
      <c r="AB18" s="779"/>
      <c r="AC18" s="779"/>
      <c r="AD18" s="325"/>
    </row>
    <row r="19" spans="1:30" ht="15.75" customHeight="1" x14ac:dyDescent="0.3">
      <c r="A19" s="265">
        <v>4000</v>
      </c>
      <c r="B19" s="777">
        <v>1.0000000000000001E-5</v>
      </c>
      <c r="C19" s="777">
        <v>1.0000000000000001E-5</v>
      </c>
      <c r="D19" s="777">
        <v>1.0000000000000001E-5</v>
      </c>
      <c r="E19" s="777">
        <v>1.0000000000000001E-5</v>
      </c>
      <c r="F19" s="777">
        <v>1.0000000000000001E-5</v>
      </c>
      <c r="G19" s="777">
        <v>1.0000000000000001E-5</v>
      </c>
      <c r="H19" s="777">
        <v>1.0000000000000001E-5</v>
      </c>
      <c r="I19" s="777">
        <v>1.0000000000000001E-5</v>
      </c>
      <c r="J19" s="777">
        <v>1.0000000000000001E-5</v>
      </c>
      <c r="K19" s="777">
        <v>1.0000000000000001E-5</v>
      </c>
      <c r="L19" s="777">
        <v>1.0000000000000001E-5</v>
      </c>
      <c r="M19" s="777">
        <v>1.0000000000000001E-5</v>
      </c>
      <c r="W19" s="323"/>
      <c r="X19" s="778">
        <v>5000</v>
      </c>
      <c r="Y19" s="794">
        <f>VLOOKUP($AC$25,$Z$38:$AB$43,2,FALSE)</f>
        <v>1.0000000000000001E-5</v>
      </c>
      <c r="Z19" s="794">
        <f>VLOOKUP($AC$25,$Z$38:$AB$43,2,FALSE)</f>
        <v>1.0000000000000001E-5</v>
      </c>
      <c r="AA19" s="788">
        <v>1.0000000000000001E-5</v>
      </c>
      <c r="AB19" s="779"/>
      <c r="AC19" s="779"/>
      <c r="AD19" s="325"/>
    </row>
    <row r="20" spans="1:30" ht="15.75" customHeight="1" x14ac:dyDescent="0.3">
      <c r="A20" s="264">
        <v>5000</v>
      </c>
      <c r="B20" s="777">
        <v>1.0000000000000001E-5</v>
      </c>
      <c r="C20" s="777">
        <v>1.0000000000000001E-5</v>
      </c>
      <c r="D20" s="777">
        <v>1.0000000000000001E-5</v>
      </c>
      <c r="E20" s="777">
        <v>1.0000000000000001E-5</v>
      </c>
      <c r="F20" s="777">
        <v>1.0000000000000001E-5</v>
      </c>
      <c r="G20" s="777">
        <v>1.0000000000000001E-5</v>
      </c>
      <c r="H20" s="777">
        <v>1.0000000000000001E-5</v>
      </c>
      <c r="I20" s="777">
        <v>1.0000000000000001E-5</v>
      </c>
      <c r="J20" s="777">
        <v>1.0000000000000001E-5</v>
      </c>
      <c r="K20" s="777">
        <v>1.0000000000000001E-5</v>
      </c>
      <c r="L20" s="777">
        <v>1.0000000000000001E-5</v>
      </c>
      <c r="M20" s="777">
        <v>1.0000000000000001E-5</v>
      </c>
      <c r="W20" s="323"/>
      <c r="X20" s="778">
        <v>6000</v>
      </c>
      <c r="Y20" s="794">
        <f>VLOOKUP($AC$25,$Z$51:$AB$56,2,FALSE)</f>
        <v>1.0000000000000001E-5</v>
      </c>
      <c r="Z20" s="794">
        <f>VLOOKUP($AC$25,$Z$51:$AB$56,2,FALSE)</f>
        <v>1.0000000000000001E-5</v>
      </c>
      <c r="AA20" s="788">
        <v>1.0000000000000001E-5</v>
      </c>
      <c r="AB20" s="779"/>
      <c r="AC20" s="779"/>
      <c r="AD20" s="325"/>
    </row>
    <row r="21" spans="1:30" ht="15.75" customHeight="1" x14ac:dyDescent="0.3">
      <c r="A21" s="264">
        <v>6000</v>
      </c>
      <c r="B21" s="777">
        <v>1.0000000000000001E-5</v>
      </c>
      <c r="C21" s="777">
        <v>1.0000000000000001E-5</v>
      </c>
      <c r="D21" s="777">
        <v>1.0000000000000001E-5</v>
      </c>
      <c r="E21" s="777">
        <v>1.0000000000000001E-5</v>
      </c>
      <c r="F21" s="777">
        <v>1.0000000000000001E-5</v>
      </c>
      <c r="G21" s="777">
        <v>1.0000000000000001E-5</v>
      </c>
      <c r="H21" s="777">
        <v>1.0000000000000001E-5</v>
      </c>
      <c r="I21" s="777">
        <v>1.0000000000000001E-5</v>
      </c>
      <c r="J21" s="777">
        <v>1.0000000000000001E-5</v>
      </c>
      <c r="K21" s="777">
        <v>1.0000000000000001E-5</v>
      </c>
      <c r="L21" s="777">
        <v>1.0000000000000001E-5</v>
      </c>
      <c r="M21" s="777">
        <v>1.0000000000000001E-5</v>
      </c>
      <c r="W21" s="323"/>
      <c r="X21" s="778">
        <v>7000</v>
      </c>
      <c r="Y21" s="794">
        <f>VLOOKUP($AC$25,$Z$64:$AB$69,2,FALSE)</f>
        <v>1.0000000000000001E-5</v>
      </c>
      <c r="Z21" s="794">
        <f>VLOOKUP($AC$25,$Z$64:$AB$69,2,FALSE)</f>
        <v>1.0000000000000001E-5</v>
      </c>
      <c r="AA21" s="788">
        <v>1.0000000000000001E-5</v>
      </c>
      <c r="AB21" s="779"/>
      <c r="AC21" s="780"/>
      <c r="AD21" s="325"/>
    </row>
    <row r="22" spans="1:30" ht="15.75" customHeight="1" x14ac:dyDescent="0.3">
      <c r="A22" s="264">
        <v>7000</v>
      </c>
      <c r="B22" s="777">
        <v>1.0000000000000001E-5</v>
      </c>
      <c r="C22" s="777">
        <v>1.0000000000000001E-5</v>
      </c>
      <c r="D22" s="777">
        <v>1.0000000000000001E-5</v>
      </c>
      <c r="E22" s="777">
        <v>1.0000000000000001E-5</v>
      </c>
      <c r="F22" s="777">
        <v>1.0000000000000001E-5</v>
      </c>
      <c r="G22" s="777">
        <v>1.0000000000000001E-5</v>
      </c>
      <c r="H22" s="777">
        <v>1.0000000000000001E-5</v>
      </c>
      <c r="I22" s="777">
        <v>1.0000000000000001E-5</v>
      </c>
      <c r="J22" s="777">
        <v>1.0000000000000001E-5</v>
      </c>
      <c r="K22" s="777">
        <v>1.0000000000000001E-5</v>
      </c>
      <c r="L22" s="777">
        <v>1.0000000000000001E-5</v>
      </c>
      <c r="M22" s="777">
        <v>1.0000000000000001E-5</v>
      </c>
      <c r="W22" s="323"/>
      <c r="X22" s="330"/>
      <c r="Y22" s="330"/>
      <c r="Z22" s="330"/>
      <c r="AA22" s="330"/>
      <c r="AB22" s="330"/>
      <c r="AC22" s="330"/>
      <c r="AD22" s="325"/>
    </row>
    <row r="23" spans="1:30" ht="15.75" customHeight="1" x14ac:dyDescent="0.3">
      <c r="A23" s="264" t="s">
        <v>240</v>
      </c>
      <c r="B23" s="777">
        <v>1.0000000000000001E-5</v>
      </c>
      <c r="C23" s="777">
        <v>1.0000000000000001E-5</v>
      </c>
      <c r="D23" s="777">
        <v>1.0000000000000001E-5</v>
      </c>
      <c r="E23" s="777">
        <v>1.0000000000000001E-5</v>
      </c>
      <c r="F23" s="777">
        <v>1.0000000000000001E-5</v>
      </c>
      <c r="G23" s="777">
        <v>1.0000000000000001E-5</v>
      </c>
      <c r="H23" s="777">
        <v>1.0000000000000001E-5</v>
      </c>
      <c r="I23" s="777">
        <v>1.0000000000000001E-5</v>
      </c>
      <c r="J23" s="777">
        <v>1.0000000000000001E-5</v>
      </c>
      <c r="K23" s="777">
        <v>1.0000000000000001E-5</v>
      </c>
      <c r="L23" s="777">
        <v>1.0000000000000001E-5</v>
      </c>
      <c r="M23" s="777">
        <v>1.0000000000000001E-5</v>
      </c>
      <c r="W23" s="323"/>
      <c r="X23" s="330"/>
      <c r="Y23" s="330"/>
      <c r="Z23" s="330"/>
      <c r="AA23" s="330"/>
      <c r="AB23" s="330"/>
      <c r="AC23" s="330"/>
      <c r="AD23" s="325"/>
    </row>
    <row r="24" spans="1:30" ht="15.75" customHeight="1" x14ac:dyDescent="0.25">
      <c r="A24" s="69"/>
      <c r="B24" s="70"/>
      <c r="C24" s="70"/>
      <c r="D24" s="70"/>
      <c r="E24" s="70"/>
      <c r="W24" s="323"/>
      <c r="X24" s="330"/>
      <c r="Y24" s="330"/>
      <c r="Z24" s="330"/>
      <c r="AA24" s="330"/>
      <c r="AB24" s="330"/>
      <c r="AC24" s="330"/>
      <c r="AD24" s="325"/>
    </row>
    <row r="25" spans="1:30" ht="34" customHeight="1" x14ac:dyDescent="0.25">
      <c r="A25" s="858" t="s">
        <v>241</v>
      </c>
      <c r="B25" s="859" t="s">
        <v>233</v>
      </c>
      <c r="C25" s="859"/>
      <c r="D25" s="859" t="s">
        <v>234</v>
      </c>
      <c r="E25" s="859"/>
      <c r="F25" s="853" t="s">
        <v>235</v>
      </c>
      <c r="G25" s="853"/>
      <c r="H25" s="853" t="s">
        <v>236</v>
      </c>
      <c r="I25" s="853"/>
      <c r="J25" s="853" t="s">
        <v>237</v>
      </c>
      <c r="K25" s="853"/>
      <c r="L25" s="853" t="s">
        <v>238</v>
      </c>
      <c r="M25" s="853"/>
      <c r="N25" s="862"/>
      <c r="O25" s="862"/>
      <c r="V25" s="319"/>
      <c r="W25" s="334"/>
      <c r="X25" s="854" t="str">
        <f>A25</f>
        <v>Lx</v>
      </c>
      <c r="Y25" s="856" t="str">
        <f>B81</f>
        <v>CRI Illuminance Meter, Merek : KONICA MINOLTA , Model : CL - 70F, SN: JT70 - 002458</v>
      </c>
      <c r="Z25" s="857"/>
      <c r="AA25" s="857"/>
      <c r="AB25" s="857"/>
      <c r="AC25" s="324" t="str">
        <f>I81</f>
        <v>E</v>
      </c>
      <c r="AD25" s="325"/>
    </row>
    <row r="26" spans="1:30" ht="50.15" customHeight="1" x14ac:dyDescent="0.3">
      <c r="A26" s="858"/>
      <c r="B26" s="850" t="s">
        <v>165</v>
      </c>
      <c r="C26" s="850"/>
      <c r="D26" s="850" t="s">
        <v>169</v>
      </c>
      <c r="E26" s="850"/>
      <c r="F26" s="850" t="s">
        <v>170</v>
      </c>
      <c r="G26" s="850"/>
      <c r="H26" s="850" t="s">
        <v>171</v>
      </c>
      <c r="I26" s="850"/>
      <c r="J26" s="850" t="s">
        <v>130</v>
      </c>
      <c r="K26" s="850"/>
      <c r="L26" s="850" t="s">
        <v>172</v>
      </c>
      <c r="M26" s="850"/>
      <c r="N26" s="852"/>
      <c r="O26" s="852"/>
      <c r="W26" s="323"/>
      <c r="X26" s="855"/>
      <c r="Y26" s="326">
        <v>2022</v>
      </c>
      <c r="Z26" s="327">
        <v>2021</v>
      </c>
      <c r="AA26" s="328" t="s">
        <v>239</v>
      </c>
      <c r="AB26" s="335" t="s">
        <v>240</v>
      </c>
      <c r="AC26" s="329" t="s">
        <v>242</v>
      </c>
      <c r="AD26" s="325"/>
    </row>
    <row r="27" spans="1:30" ht="23.5" customHeight="1" x14ac:dyDescent="0.3">
      <c r="A27" s="858"/>
      <c r="B27" s="274">
        <v>2021</v>
      </c>
      <c r="C27" s="274">
        <v>2022</v>
      </c>
      <c r="D27" s="274">
        <v>2021</v>
      </c>
      <c r="E27" s="274">
        <v>2022</v>
      </c>
      <c r="F27" s="274">
        <v>2021</v>
      </c>
      <c r="G27" s="274">
        <v>2022</v>
      </c>
      <c r="H27" s="274">
        <v>2021</v>
      </c>
      <c r="I27" s="274">
        <v>2022</v>
      </c>
      <c r="J27" s="274">
        <v>2021</v>
      </c>
      <c r="K27" s="274">
        <v>2022</v>
      </c>
      <c r="L27" s="274">
        <v>2021</v>
      </c>
      <c r="M27" s="274">
        <v>2022</v>
      </c>
      <c r="N27" s="292"/>
      <c r="O27" s="292"/>
      <c r="W27" s="323"/>
      <c r="X27" s="778">
        <v>1000</v>
      </c>
      <c r="Y27" s="794">
        <f>VLOOKUP($AC$25,I38:K43,2,FALSE)</f>
        <v>1.0000000000000001E-5</v>
      </c>
      <c r="Z27" s="794">
        <f>VLOOKUP($AC$25,I38:K43,3,FALSE)</f>
        <v>1.0000000000000001E-5</v>
      </c>
      <c r="AA27" s="797">
        <v>1.0000000000000001E-5</v>
      </c>
      <c r="AB27" s="794">
        <v>1.0000000000000001E-5</v>
      </c>
      <c r="AC27" s="776">
        <f>VLOOKUP($AC$25,Q38:S43,3,FALSE)</f>
        <v>0.05</v>
      </c>
      <c r="AD27" s="325"/>
    </row>
    <row r="28" spans="1:30" ht="14.5" x14ac:dyDescent="0.3">
      <c r="A28" s="264">
        <v>1000</v>
      </c>
      <c r="B28" s="777">
        <v>1.0000000000000001E-5</v>
      </c>
      <c r="C28" s="777">
        <v>1.0000000000000001E-5</v>
      </c>
      <c r="D28" s="777">
        <v>1.0000000000000001E-5</v>
      </c>
      <c r="E28" s="777">
        <v>1.0000000000000001E-5</v>
      </c>
      <c r="F28" s="777">
        <v>1.0000000000000001E-5</v>
      </c>
      <c r="G28" s="777">
        <v>1.0000000000000001E-5</v>
      </c>
      <c r="H28" s="777">
        <v>1.0000000000000001E-5</v>
      </c>
      <c r="I28" s="777">
        <v>1.0000000000000001E-5</v>
      </c>
      <c r="J28" s="777">
        <v>1.0000000000000001E-5</v>
      </c>
      <c r="K28" s="777">
        <v>1.0000000000000001E-5</v>
      </c>
      <c r="L28" s="777">
        <v>1.0000000000000001E-5</v>
      </c>
      <c r="M28" s="777">
        <v>1.0000000000000001E-5</v>
      </c>
      <c r="N28" s="279"/>
      <c r="O28" s="279"/>
      <c r="W28" s="323"/>
      <c r="X28" s="778">
        <v>5000</v>
      </c>
      <c r="Y28" s="794">
        <f>VLOOKUP($AC$25,I51:K56,2,FALSE)</f>
        <v>1.0000000000000001E-5</v>
      </c>
      <c r="Z28" s="794">
        <f>VLOOKUP($AC$25,I51:K56,3,FALSE)</f>
        <v>1.0000000000000001E-5</v>
      </c>
      <c r="AA28" s="797">
        <v>1.0000000000000001E-5</v>
      </c>
      <c r="AB28" s="796"/>
      <c r="AC28" s="779"/>
      <c r="AD28" s="325"/>
    </row>
    <row r="29" spans="1:30" ht="14.5" x14ac:dyDescent="0.3">
      <c r="A29" s="264">
        <v>5000</v>
      </c>
      <c r="B29" s="777">
        <v>1.0000000000000001E-5</v>
      </c>
      <c r="C29" s="777">
        <v>1.0000000000000001E-5</v>
      </c>
      <c r="D29" s="777">
        <v>1.0000000000000001E-5</v>
      </c>
      <c r="E29" s="777">
        <v>1.0000000000000001E-5</v>
      </c>
      <c r="F29" s="777">
        <v>1.0000000000000001E-5</v>
      </c>
      <c r="G29" s="777">
        <v>1.0000000000000001E-5</v>
      </c>
      <c r="H29" s="777">
        <v>1.0000000000000001E-5</v>
      </c>
      <c r="I29" s="777">
        <v>1.0000000000000001E-5</v>
      </c>
      <c r="J29" s="777">
        <v>1.0000000000000001E-5</v>
      </c>
      <c r="K29" s="777">
        <v>1.0000000000000001E-5</v>
      </c>
      <c r="L29" s="777">
        <v>1.0000000000000001E-5</v>
      </c>
      <c r="M29" s="777">
        <v>1.0000000000000001E-5</v>
      </c>
      <c r="N29" s="279"/>
      <c r="O29" s="279"/>
      <c r="W29" s="323"/>
      <c r="X29" s="776">
        <v>10000</v>
      </c>
      <c r="Y29" s="794">
        <f>VLOOKUP($AC$25,I64:K69,2,FALSE)</f>
        <v>1.0000000000000001E-5</v>
      </c>
      <c r="Z29" s="794">
        <f>VLOOKUP($AC$25,I64:K69,3,FALSE)</f>
        <v>1.0000000000000001E-5</v>
      </c>
      <c r="AA29" s="797">
        <v>1.0000000000000001E-5</v>
      </c>
      <c r="AB29" s="796"/>
      <c r="AC29" s="779"/>
      <c r="AD29" s="325"/>
    </row>
    <row r="30" spans="1:30" ht="14.5" x14ac:dyDescent="0.3">
      <c r="A30" s="265">
        <v>10000</v>
      </c>
      <c r="B30" s="777">
        <v>1.0000000000000001E-5</v>
      </c>
      <c r="C30" s="777">
        <v>1.0000000000000001E-5</v>
      </c>
      <c r="D30" s="777">
        <v>1.0000000000000001E-5</v>
      </c>
      <c r="E30" s="777">
        <v>1.0000000000000001E-5</v>
      </c>
      <c r="F30" s="777">
        <v>1.0000000000000001E-5</v>
      </c>
      <c r="G30" s="777">
        <v>1.0000000000000001E-5</v>
      </c>
      <c r="H30" s="777">
        <v>1.0000000000000001E-5</v>
      </c>
      <c r="I30" s="777">
        <v>1.0000000000000001E-5</v>
      </c>
      <c r="J30" s="777">
        <v>1.0000000000000001E-5</v>
      </c>
      <c r="K30" s="777">
        <v>1.0000000000000001E-5</v>
      </c>
      <c r="L30" s="777">
        <v>1.0000000000000001E-5</v>
      </c>
      <c r="M30" s="777">
        <v>1.0000000000000001E-5</v>
      </c>
      <c r="N30" s="279"/>
      <c r="O30" s="279"/>
      <c r="W30" s="323"/>
      <c r="X30" s="778">
        <v>50000</v>
      </c>
      <c r="Y30" s="794">
        <f>VLOOKUP($AC$25,M38:O43,2,FALSE)</f>
        <v>1.0000000000000001E-5</v>
      </c>
      <c r="Z30" s="794">
        <f>VLOOKUP($AC$25,M38:O43,3,FALSE)</f>
        <v>1.0000000000000001E-5</v>
      </c>
      <c r="AA30" s="797">
        <v>1.0000000000000001E-5</v>
      </c>
      <c r="AB30" s="796"/>
      <c r="AC30" s="779"/>
      <c r="AD30" s="325"/>
    </row>
    <row r="31" spans="1:30" ht="14.5" x14ac:dyDescent="0.3">
      <c r="A31" s="264">
        <v>50000</v>
      </c>
      <c r="B31" s="777">
        <v>1.0000000000000001E-5</v>
      </c>
      <c r="C31" s="777">
        <v>1.0000000000000001E-5</v>
      </c>
      <c r="D31" s="777">
        <v>1.0000000000000001E-5</v>
      </c>
      <c r="E31" s="777">
        <v>1.0000000000000001E-5</v>
      </c>
      <c r="F31" s="777">
        <v>1.0000000000000001E-5</v>
      </c>
      <c r="G31" s="777">
        <v>1.0000000000000001E-5</v>
      </c>
      <c r="H31" s="777">
        <v>1.0000000000000001E-5</v>
      </c>
      <c r="I31" s="777">
        <v>1.0000000000000001E-5</v>
      </c>
      <c r="J31" s="777">
        <v>1.0000000000000001E-5</v>
      </c>
      <c r="K31" s="777">
        <v>1.0000000000000001E-5</v>
      </c>
      <c r="L31" s="777">
        <v>1.0000000000000001E-5</v>
      </c>
      <c r="M31" s="777">
        <v>1.0000000000000001E-5</v>
      </c>
      <c r="N31" s="279"/>
      <c r="O31" s="279"/>
      <c r="W31" s="323"/>
      <c r="X31" s="778">
        <v>100000</v>
      </c>
      <c r="Y31" s="794">
        <f>VLOOKUP($AC$25,M51:O56,2,FALSE)</f>
        <v>1.0000000000000001E-5</v>
      </c>
      <c r="Z31" s="794">
        <f>VLOOKUP($AC$25,M51:O56,3,FALSE)</f>
        <v>1.0000000000000001E-5</v>
      </c>
      <c r="AA31" s="797">
        <v>1.0000000000000001E-5</v>
      </c>
      <c r="AB31" s="796"/>
      <c r="AC31" s="779"/>
      <c r="AD31" s="325"/>
    </row>
    <row r="32" spans="1:30" ht="14.5" x14ac:dyDescent="0.3">
      <c r="A32" s="264">
        <v>100000</v>
      </c>
      <c r="B32" s="777">
        <v>1.0000000000000001E-5</v>
      </c>
      <c r="C32" s="777">
        <v>1.0000000000000001E-5</v>
      </c>
      <c r="D32" s="777">
        <v>1.0000000000000001E-5</v>
      </c>
      <c r="E32" s="777">
        <v>1.0000000000000001E-5</v>
      </c>
      <c r="F32" s="777">
        <v>1.0000000000000001E-5</v>
      </c>
      <c r="G32" s="777">
        <v>1.0000000000000001E-5</v>
      </c>
      <c r="H32" s="777">
        <v>1.0000000000000001E-5</v>
      </c>
      <c r="I32" s="777">
        <v>1.0000000000000001E-5</v>
      </c>
      <c r="J32" s="777">
        <v>1.0000000000000001E-5</v>
      </c>
      <c r="K32" s="777">
        <v>1.0000000000000001E-5</v>
      </c>
      <c r="L32" s="777">
        <v>1.0000000000000001E-5</v>
      </c>
      <c r="M32" s="777">
        <v>1.0000000000000001E-5</v>
      </c>
      <c r="N32" s="279"/>
      <c r="O32" s="279"/>
      <c r="W32" s="323"/>
      <c r="X32" s="778">
        <v>200000</v>
      </c>
      <c r="Y32" s="794">
        <f>VLOOKUP($AC$25,M64:O69,2,FALSE)</f>
        <v>1.0000000000000001E-5</v>
      </c>
      <c r="Z32" s="794">
        <f>VLOOKUP($AC$25,M64:O69,3,FALSE)</f>
        <v>1.0000000000000001E-5</v>
      </c>
      <c r="AA32" s="797">
        <v>1.0000000000000001E-5</v>
      </c>
      <c r="AB32" s="796"/>
      <c r="AC32" s="780"/>
      <c r="AD32" s="325"/>
    </row>
    <row r="33" spans="1:45" ht="13" x14ac:dyDescent="0.3">
      <c r="A33" s="264">
        <v>200000</v>
      </c>
      <c r="B33" s="777">
        <v>1.0000000000000001E-5</v>
      </c>
      <c r="C33" s="777">
        <v>1.0000000000000001E-5</v>
      </c>
      <c r="D33" s="777">
        <v>1.0000000000000001E-5</v>
      </c>
      <c r="E33" s="777">
        <v>1.0000000000000001E-5</v>
      </c>
      <c r="F33" s="777">
        <v>1.0000000000000001E-5</v>
      </c>
      <c r="G33" s="777">
        <v>1.0000000000000001E-5</v>
      </c>
      <c r="H33" s="777">
        <v>1.0000000000000001E-5</v>
      </c>
      <c r="I33" s="777">
        <v>1.0000000000000001E-5</v>
      </c>
      <c r="J33" s="777">
        <v>1.0000000000000001E-5</v>
      </c>
      <c r="K33" s="777">
        <v>1.0000000000000001E-5</v>
      </c>
      <c r="L33" s="777">
        <v>1.0000000000000001E-5</v>
      </c>
      <c r="M33" s="777">
        <v>1.0000000000000001E-5</v>
      </c>
      <c r="N33" s="279"/>
      <c r="O33" s="279"/>
      <c r="W33" s="323"/>
      <c r="X33" s="330"/>
      <c r="Y33" s="330"/>
      <c r="Z33" s="330"/>
      <c r="AA33" s="330"/>
      <c r="AB33" s="330"/>
      <c r="AC33" s="330"/>
      <c r="AD33" s="325"/>
    </row>
    <row r="34" spans="1:45" ht="13" x14ac:dyDescent="0.3">
      <c r="A34" s="264" t="s">
        <v>243</v>
      </c>
      <c r="B34" s="274"/>
      <c r="C34" s="274">
        <f>5/100</f>
        <v>0.05</v>
      </c>
      <c r="D34" s="274"/>
      <c r="E34" s="274">
        <f>5/100</f>
        <v>0.05</v>
      </c>
      <c r="F34" s="274"/>
      <c r="G34" s="274">
        <v>0.05</v>
      </c>
      <c r="H34" s="274"/>
      <c r="I34" s="274">
        <v>0.05</v>
      </c>
      <c r="J34" s="274"/>
      <c r="K34" s="274">
        <v>0.05</v>
      </c>
      <c r="L34" s="274"/>
      <c r="M34" s="274">
        <v>0.05</v>
      </c>
      <c r="N34" s="279"/>
      <c r="O34" s="279"/>
      <c r="W34" s="323"/>
      <c r="X34" s="330"/>
      <c r="Y34" s="330"/>
      <c r="Z34" s="330"/>
      <c r="AA34" s="330"/>
      <c r="AB34" s="330"/>
      <c r="AC34" s="330"/>
      <c r="AD34" s="325"/>
    </row>
    <row r="35" spans="1:45" ht="13.5" thickBot="1" x14ac:dyDescent="0.35">
      <c r="A35" s="9"/>
      <c r="B35" s="32"/>
      <c r="C35" s="32"/>
      <c r="D35" s="32"/>
      <c r="E35" s="32"/>
      <c r="W35" s="336"/>
      <c r="X35" s="337"/>
      <c r="Y35" s="337"/>
      <c r="Z35" s="337"/>
      <c r="AA35" s="337"/>
      <c r="AB35" s="337"/>
      <c r="AC35" s="337"/>
      <c r="AD35" s="338"/>
    </row>
    <row r="36" spans="1:45" ht="26.15" customHeight="1" thickBot="1" x14ac:dyDescent="0.3">
      <c r="G36" s="276"/>
      <c r="H36" s="276"/>
      <c r="I36" s="277"/>
    </row>
    <row r="37" spans="1:45" ht="27" customHeight="1" x14ac:dyDescent="0.25">
      <c r="G37" s="278"/>
      <c r="H37" s="306" t="s">
        <v>241</v>
      </c>
      <c r="I37" s="307" t="s">
        <v>244</v>
      </c>
      <c r="J37" s="308">
        <v>2021</v>
      </c>
      <c r="K37" s="308">
        <v>2022</v>
      </c>
      <c r="L37" s="309"/>
      <c r="M37" s="307" t="s">
        <v>244</v>
      </c>
      <c r="N37" s="308">
        <v>2021</v>
      </c>
      <c r="O37" s="308">
        <v>2022</v>
      </c>
      <c r="P37" s="309"/>
      <c r="Q37" s="307" t="s">
        <v>244</v>
      </c>
      <c r="R37" s="308">
        <v>2021</v>
      </c>
      <c r="S37" s="310">
        <v>2022</v>
      </c>
      <c r="U37" s="306" t="s">
        <v>187</v>
      </c>
      <c r="V37" s="307" t="s">
        <v>244</v>
      </c>
      <c r="W37" s="308">
        <v>2021</v>
      </c>
      <c r="X37" s="308">
        <v>2022</v>
      </c>
      <c r="Y37" s="309"/>
      <c r="Z37" s="307" t="s">
        <v>244</v>
      </c>
      <c r="AA37" s="308">
        <v>2021</v>
      </c>
      <c r="AB37" s="308">
        <v>2022</v>
      </c>
      <c r="AC37" s="309"/>
      <c r="AD37" s="307" t="s">
        <v>244</v>
      </c>
      <c r="AE37" s="308">
        <v>2021</v>
      </c>
      <c r="AF37" s="310">
        <v>2022</v>
      </c>
      <c r="AH37" s="306" t="s">
        <v>202</v>
      </c>
      <c r="AI37" s="307" t="s">
        <v>244</v>
      </c>
      <c r="AJ37" s="308">
        <v>2021</v>
      </c>
      <c r="AK37" s="308">
        <v>2022</v>
      </c>
      <c r="AL37" s="309"/>
      <c r="AM37" s="307" t="s">
        <v>244</v>
      </c>
      <c r="AN37" s="308">
        <v>2021</v>
      </c>
      <c r="AO37" s="308">
        <v>2022</v>
      </c>
      <c r="AP37" s="309"/>
      <c r="AQ37" s="307" t="s">
        <v>244</v>
      </c>
      <c r="AR37" s="308">
        <v>2021</v>
      </c>
      <c r="AS37" s="310">
        <v>2022</v>
      </c>
    </row>
    <row r="38" spans="1:45" ht="13" x14ac:dyDescent="0.25">
      <c r="G38" s="279"/>
      <c r="H38" s="846">
        <v>1000</v>
      </c>
      <c r="I38" s="275" t="s">
        <v>233</v>
      </c>
      <c r="J38" s="274">
        <f>B28</f>
        <v>1.0000000000000001E-5</v>
      </c>
      <c r="K38" s="274">
        <f>C28</f>
        <v>1.0000000000000001E-5</v>
      </c>
      <c r="L38" s="851">
        <v>50000</v>
      </c>
      <c r="M38" s="275" t="s">
        <v>233</v>
      </c>
      <c r="N38" s="274">
        <f>B31</f>
        <v>1.0000000000000001E-5</v>
      </c>
      <c r="O38" s="274">
        <f>C31</f>
        <v>1.0000000000000001E-5</v>
      </c>
      <c r="P38" s="851" t="s">
        <v>240</v>
      </c>
      <c r="Q38" s="275" t="s">
        <v>233</v>
      </c>
      <c r="R38" s="274">
        <f>B34</f>
        <v>0</v>
      </c>
      <c r="S38" s="311">
        <f>C34</f>
        <v>0.05</v>
      </c>
      <c r="U38" s="846">
        <v>1000</v>
      </c>
      <c r="V38" s="275" t="s">
        <v>233</v>
      </c>
      <c r="W38" s="274">
        <f>B17</f>
        <v>1.0000000000000001E-5</v>
      </c>
      <c r="X38" s="274">
        <f>C17</f>
        <v>1.0000000000000001E-5</v>
      </c>
      <c r="Y38" s="851">
        <v>4000</v>
      </c>
      <c r="Z38" s="275" t="s">
        <v>233</v>
      </c>
      <c r="AA38" s="274">
        <f>B20</f>
        <v>1.0000000000000001E-5</v>
      </c>
      <c r="AB38" s="274">
        <f>C20</f>
        <v>1.0000000000000001E-5</v>
      </c>
      <c r="AC38" s="851" t="s">
        <v>240</v>
      </c>
      <c r="AD38" s="275" t="s">
        <v>233</v>
      </c>
      <c r="AE38" s="786">
        <f>B23</f>
        <v>1.0000000000000001E-5</v>
      </c>
      <c r="AF38" s="786">
        <f>C23</f>
        <v>1.0000000000000001E-5</v>
      </c>
      <c r="AH38" s="846">
        <v>70</v>
      </c>
      <c r="AI38" s="275" t="s">
        <v>233</v>
      </c>
      <c r="AJ38" s="274">
        <f>B6</f>
        <v>1.0000000000000001E-5</v>
      </c>
      <c r="AK38" s="274">
        <f>C6</f>
        <v>1.0000000000000001E-5</v>
      </c>
      <c r="AL38" s="851">
        <v>100</v>
      </c>
      <c r="AM38" s="275" t="s">
        <v>233</v>
      </c>
      <c r="AN38" s="274">
        <f>B9</f>
        <v>1.0000000000000001E-5</v>
      </c>
      <c r="AO38" s="274">
        <f>C9</f>
        <v>1.0000000000000001E-5</v>
      </c>
      <c r="AP38" s="851" t="s">
        <v>240</v>
      </c>
      <c r="AQ38" s="275" t="s">
        <v>233</v>
      </c>
      <c r="AR38" s="274">
        <f>B10</f>
        <v>1.0000000000000001E-5</v>
      </c>
      <c r="AS38" s="274">
        <f>C10</f>
        <v>1.0000000000000001E-5</v>
      </c>
    </row>
    <row r="39" spans="1:45" ht="13" x14ac:dyDescent="0.25">
      <c r="G39" s="279"/>
      <c r="H39" s="846"/>
      <c r="I39" s="275" t="s">
        <v>234</v>
      </c>
      <c r="J39" s="266">
        <f>D28</f>
        <v>1.0000000000000001E-5</v>
      </c>
      <c r="K39" s="266">
        <f>E28</f>
        <v>1.0000000000000001E-5</v>
      </c>
      <c r="L39" s="851"/>
      <c r="M39" s="275" t="s">
        <v>234</v>
      </c>
      <c r="N39" s="266">
        <f>D31</f>
        <v>1.0000000000000001E-5</v>
      </c>
      <c r="O39" s="266">
        <f>E31</f>
        <v>1.0000000000000001E-5</v>
      </c>
      <c r="P39" s="851"/>
      <c r="Q39" s="275" t="s">
        <v>234</v>
      </c>
      <c r="R39" s="274">
        <f>D34</f>
        <v>0</v>
      </c>
      <c r="S39" s="311">
        <f>E34</f>
        <v>0.05</v>
      </c>
      <c r="U39" s="846"/>
      <c r="V39" s="275" t="s">
        <v>234</v>
      </c>
      <c r="W39" s="266">
        <f>D17</f>
        <v>1.0000000000000001E-5</v>
      </c>
      <c r="X39" s="266">
        <f>E17</f>
        <v>1.0000000000000001E-5</v>
      </c>
      <c r="Y39" s="851"/>
      <c r="Z39" s="275" t="s">
        <v>234</v>
      </c>
      <c r="AA39" s="266">
        <f>D20</f>
        <v>1.0000000000000001E-5</v>
      </c>
      <c r="AB39" s="266">
        <f>E20</f>
        <v>1.0000000000000001E-5</v>
      </c>
      <c r="AC39" s="851"/>
      <c r="AD39" s="275" t="s">
        <v>234</v>
      </c>
      <c r="AE39" s="786">
        <f>D23</f>
        <v>1.0000000000000001E-5</v>
      </c>
      <c r="AF39" s="786">
        <f>E23</f>
        <v>1.0000000000000001E-5</v>
      </c>
      <c r="AH39" s="846"/>
      <c r="AI39" s="275" t="s">
        <v>234</v>
      </c>
      <c r="AJ39" s="274">
        <f>D6</f>
        <v>1.0000000000000001E-5</v>
      </c>
      <c r="AK39" s="274">
        <f>E6</f>
        <v>1.0000000000000001E-5</v>
      </c>
      <c r="AL39" s="851"/>
      <c r="AM39" s="275" t="s">
        <v>234</v>
      </c>
      <c r="AN39" s="274">
        <f>D9</f>
        <v>1.0000000000000001E-5</v>
      </c>
      <c r="AO39" s="274">
        <f>E9</f>
        <v>1.0000000000000001E-5</v>
      </c>
      <c r="AP39" s="851"/>
      <c r="AQ39" s="275" t="s">
        <v>234</v>
      </c>
      <c r="AR39" s="274">
        <f>D10</f>
        <v>1.0000000000000001E-5</v>
      </c>
      <c r="AS39" s="274">
        <f>E10</f>
        <v>1.0000000000000001E-5</v>
      </c>
    </row>
    <row r="40" spans="1:45" ht="13" x14ac:dyDescent="0.25">
      <c r="G40" s="279"/>
      <c r="H40" s="846"/>
      <c r="I40" s="275" t="s">
        <v>235</v>
      </c>
      <c r="J40" s="266">
        <f>F28</f>
        <v>1.0000000000000001E-5</v>
      </c>
      <c r="K40" s="266">
        <f>G28</f>
        <v>1.0000000000000001E-5</v>
      </c>
      <c r="L40" s="851"/>
      <c r="M40" s="275" t="s">
        <v>235</v>
      </c>
      <c r="N40" s="266">
        <f>F31</f>
        <v>1.0000000000000001E-5</v>
      </c>
      <c r="O40" s="266">
        <f>G31</f>
        <v>1.0000000000000001E-5</v>
      </c>
      <c r="P40" s="851"/>
      <c r="Q40" s="275" t="s">
        <v>235</v>
      </c>
      <c r="R40" s="274">
        <f>F34</f>
        <v>0</v>
      </c>
      <c r="S40" s="311">
        <f>G34</f>
        <v>0.05</v>
      </c>
      <c r="U40" s="846"/>
      <c r="V40" s="275" t="s">
        <v>235</v>
      </c>
      <c r="W40" s="266">
        <f>F17</f>
        <v>1.0000000000000001E-5</v>
      </c>
      <c r="X40" s="266">
        <f>G17</f>
        <v>1.0000000000000001E-5</v>
      </c>
      <c r="Y40" s="851"/>
      <c r="Z40" s="275" t="s">
        <v>235</v>
      </c>
      <c r="AA40" s="266">
        <f>F20</f>
        <v>1.0000000000000001E-5</v>
      </c>
      <c r="AB40" s="266">
        <f>G20</f>
        <v>1.0000000000000001E-5</v>
      </c>
      <c r="AC40" s="851"/>
      <c r="AD40" s="275" t="s">
        <v>235</v>
      </c>
      <c r="AE40" s="786">
        <f>F23</f>
        <v>1.0000000000000001E-5</v>
      </c>
      <c r="AF40" s="786">
        <f>G23</f>
        <v>1.0000000000000001E-5</v>
      </c>
      <c r="AH40" s="846"/>
      <c r="AI40" s="275" t="s">
        <v>235</v>
      </c>
      <c r="AJ40" s="274">
        <f>F6</f>
        <v>1.0000000000000001E-5</v>
      </c>
      <c r="AK40" s="274">
        <f>G6</f>
        <v>1.0000000000000001E-5</v>
      </c>
      <c r="AL40" s="851"/>
      <c r="AM40" s="275" t="s">
        <v>235</v>
      </c>
      <c r="AN40" s="274">
        <f>F9</f>
        <v>1.0000000000000001E-5</v>
      </c>
      <c r="AO40" s="274">
        <f>G9</f>
        <v>1.0000000000000001E-5</v>
      </c>
      <c r="AP40" s="851"/>
      <c r="AQ40" s="275" t="s">
        <v>235</v>
      </c>
      <c r="AR40" s="274">
        <f>F23</f>
        <v>1.0000000000000001E-5</v>
      </c>
      <c r="AS40" s="274">
        <f>G23</f>
        <v>1.0000000000000001E-5</v>
      </c>
    </row>
    <row r="41" spans="1:45" ht="13" x14ac:dyDescent="0.25">
      <c r="G41" s="279"/>
      <c r="H41" s="846"/>
      <c r="I41" s="275" t="s">
        <v>236</v>
      </c>
      <c r="J41" s="266">
        <f>H28</f>
        <v>1.0000000000000001E-5</v>
      </c>
      <c r="K41" s="266">
        <f>I28</f>
        <v>1.0000000000000001E-5</v>
      </c>
      <c r="L41" s="851"/>
      <c r="M41" s="275" t="s">
        <v>236</v>
      </c>
      <c r="N41" s="274">
        <f>H31</f>
        <v>1.0000000000000001E-5</v>
      </c>
      <c r="O41" s="274">
        <f>I31</f>
        <v>1.0000000000000001E-5</v>
      </c>
      <c r="P41" s="851"/>
      <c r="Q41" s="275" t="s">
        <v>236</v>
      </c>
      <c r="R41" s="274">
        <f>H34</f>
        <v>0</v>
      </c>
      <c r="S41" s="311">
        <f>I34</f>
        <v>0.05</v>
      </c>
      <c r="U41" s="846"/>
      <c r="V41" s="275" t="s">
        <v>236</v>
      </c>
      <c r="W41" s="266">
        <f>H17</f>
        <v>1.0000000000000001E-5</v>
      </c>
      <c r="X41" s="266">
        <f>I17</f>
        <v>1.0000000000000001E-5</v>
      </c>
      <c r="Y41" s="851"/>
      <c r="Z41" s="275" t="s">
        <v>236</v>
      </c>
      <c r="AA41" s="274">
        <f>H20</f>
        <v>1.0000000000000001E-5</v>
      </c>
      <c r="AB41" s="274">
        <f>I20</f>
        <v>1.0000000000000001E-5</v>
      </c>
      <c r="AC41" s="851"/>
      <c r="AD41" s="275" t="s">
        <v>236</v>
      </c>
      <c r="AE41" s="786">
        <f>H23</f>
        <v>1.0000000000000001E-5</v>
      </c>
      <c r="AF41" s="786">
        <f>I23</f>
        <v>1.0000000000000001E-5</v>
      </c>
      <c r="AH41" s="846"/>
      <c r="AI41" s="275" t="s">
        <v>236</v>
      </c>
      <c r="AJ41" s="274">
        <f>H6</f>
        <v>1.0000000000000001E-5</v>
      </c>
      <c r="AK41" s="274">
        <f>I6</f>
        <v>1.0000000000000001E-5</v>
      </c>
      <c r="AL41" s="851"/>
      <c r="AM41" s="275" t="s">
        <v>236</v>
      </c>
      <c r="AN41" s="274">
        <f>H9</f>
        <v>1.0000000000000001E-5</v>
      </c>
      <c r="AO41" s="274">
        <f>I9</f>
        <v>1.0000000000000001E-5</v>
      </c>
      <c r="AP41" s="851"/>
      <c r="AQ41" s="275" t="s">
        <v>236</v>
      </c>
      <c r="AR41" s="274">
        <f>H10</f>
        <v>1.0000000000000001E-5</v>
      </c>
      <c r="AS41" s="274">
        <f>I10</f>
        <v>1.0000000000000001E-5</v>
      </c>
    </row>
    <row r="42" spans="1:45" ht="13" x14ac:dyDescent="0.25">
      <c r="G42" s="279"/>
      <c r="H42" s="846"/>
      <c r="I42" s="275" t="s">
        <v>237</v>
      </c>
      <c r="J42" s="274">
        <f>J28</f>
        <v>1.0000000000000001E-5</v>
      </c>
      <c r="K42" s="274">
        <f>K28</f>
        <v>1.0000000000000001E-5</v>
      </c>
      <c r="L42" s="851"/>
      <c r="M42" s="275" t="s">
        <v>237</v>
      </c>
      <c r="N42" s="266">
        <f>J31</f>
        <v>1.0000000000000001E-5</v>
      </c>
      <c r="O42" s="266">
        <f>K31</f>
        <v>1.0000000000000001E-5</v>
      </c>
      <c r="P42" s="851"/>
      <c r="Q42" s="275" t="s">
        <v>237</v>
      </c>
      <c r="R42" s="274">
        <f>J34</f>
        <v>0</v>
      </c>
      <c r="S42" s="311">
        <f>K34</f>
        <v>0.05</v>
      </c>
      <c r="U42" s="846"/>
      <c r="V42" s="275" t="s">
        <v>237</v>
      </c>
      <c r="W42" s="274">
        <f>J17</f>
        <v>1.0000000000000001E-5</v>
      </c>
      <c r="X42" s="274">
        <f>K17</f>
        <v>1.0000000000000001E-5</v>
      </c>
      <c r="Y42" s="851"/>
      <c r="Z42" s="275" t="s">
        <v>237</v>
      </c>
      <c r="AA42" s="266">
        <f>J20</f>
        <v>1.0000000000000001E-5</v>
      </c>
      <c r="AB42" s="266">
        <f>K20</f>
        <v>1.0000000000000001E-5</v>
      </c>
      <c r="AC42" s="851"/>
      <c r="AD42" s="275" t="s">
        <v>237</v>
      </c>
      <c r="AE42" s="786">
        <f>J23</f>
        <v>1.0000000000000001E-5</v>
      </c>
      <c r="AF42" s="786">
        <f>K23</f>
        <v>1.0000000000000001E-5</v>
      </c>
      <c r="AH42" s="846"/>
      <c r="AI42" s="275" t="s">
        <v>237</v>
      </c>
      <c r="AJ42" s="274">
        <f>J6</f>
        <v>1.0000000000000001E-5</v>
      </c>
      <c r="AK42" s="274">
        <f>K6</f>
        <v>1.0000000000000001E-5</v>
      </c>
      <c r="AL42" s="851"/>
      <c r="AM42" s="275" t="s">
        <v>237</v>
      </c>
      <c r="AN42" s="274">
        <f>J9</f>
        <v>1.0000000000000001E-5</v>
      </c>
      <c r="AO42" s="274">
        <f>K9</f>
        <v>1.0000000000000001E-5</v>
      </c>
      <c r="AP42" s="851"/>
      <c r="AQ42" s="275" t="s">
        <v>237</v>
      </c>
      <c r="AR42" s="274">
        <f>J10</f>
        <v>1.0000000000000001E-5</v>
      </c>
      <c r="AS42" s="274">
        <f>K10</f>
        <v>1.0000000000000001E-5</v>
      </c>
    </row>
    <row r="43" spans="1:45" ht="13" x14ac:dyDescent="0.25">
      <c r="H43" s="846"/>
      <c r="I43" s="275" t="s">
        <v>238</v>
      </c>
      <c r="J43" s="266">
        <f>L28</f>
        <v>1.0000000000000001E-5</v>
      </c>
      <c r="K43" s="266">
        <f>M28</f>
        <v>1.0000000000000001E-5</v>
      </c>
      <c r="L43" s="851"/>
      <c r="M43" s="275" t="s">
        <v>238</v>
      </c>
      <c r="N43" s="266">
        <f>L31</f>
        <v>1.0000000000000001E-5</v>
      </c>
      <c r="O43" s="266">
        <f>M31</f>
        <v>1.0000000000000001E-5</v>
      </c>
      <c r="P43" s="851"/>
      <c r="Q43" s="275" t="s">
        <v>238</v>
      </c>
      <c r="R43" s="274">
        <f>L34</f>
        <v>0</v>
      </c>
      <c r="S43" s="311">
        <f>M34</f>
        <v>0.05</v>
      </c>
      <c r="U43" s="846"/>
      <c r="V43" s="275" t="s">
        <v>238</v>
      </c>
      <c r="W43" s="266">
        <f>L17</f>
        <v>1.0000000000000001E-5</v>
      </c>
      <c r="X43" s="266">
        <f>M17</f>
        <v>1.0000000000000001E-5</v>
      </c>
      <c r="Y43" s="851"/>
      <c r="Z43" s="275" t="s">
        <v>238</v>
      </c>
      <c r="AA43" s="266">
        <f>L20</f>
        <v>1.0000000000000001E-5</v>
      </c>
      <c r="AB43" s="266">
        <f>M20</f>
        <v>1.0000000000000001E-5</v>
      </c>
      <c r="AC43" s="851"/>
      <c r="AD43" s="275" t="s">
        <v>238</v>
      </c>
      <c r="AE43" s="786">
        <f>L23</f>
        <v>1.0000000000000001E-5</v>
      </c>
      <c r="AF43" s="786">
        <f>M23</f>
        <v>1.0000000000000001E-5</v>
      </c>
      <c r="AH43" s="846"/>
      <c r="AI43" s="275" t="s">
        <v>238</v>
      </c>
      <c r="AJ43" s="274">
        <f>L6</f>
        <v>1.0000000000000001E-5</v>
      </c>
      <c r="AK43" s="274">
        <f>M6</f>
        <v>1.0000000000000001E-5</v>
      </c>
      <c r="AL43" s="851"/>
      <c r="AM43" s="275" t="s">
        <v>238</v>
      </c>
      <c r="AN43" s="274">
        <f>L9</f>
        <v>1.0000000000000001E-5</v>
      </c>
      <c r="AO43" s="274">
        <f>M9</f>
        <v>1.0000000000000001E-5</v>
      </c>
      <c r="AP43" s="851"/>
      <c r="AQ43" s="275" t="s">
        <v>238</v>
      </c>
      <c r="AR43" s="274">
        <f>L10</f>
        <v>1.0000000000000001E-5</v>
      </c>
      <c r="AS43" s="274">
        <f>M10</f>
        <v>1.0000000000000001E-5</v>
      </c>
    </row>
    <row r="44" spans="1:45" ht="13" x14ac:dyDescent="0.25">
      <c r="A44" s="27"/>
      <c r="B44" s="29"/>
      <c r="C44" s="29"/>
      <c r="D44" s="26"/>
      <c r="E44" s="26"/>
      <c r="H44" s="846"/>
      <c r="I44" s="293" t="s">
        <v>245</v>
      </c>
      <c r="J44" s="294"/>
      <c r="K44" s="294"/>
      <c r="L44" s="851"/>
      <c r="M44" s="293" t="s">
        <v>245</v>
      </c>
      <c r="N44" s="294"/>
      <c r="O44" s="296"/>
      <c r="P44" s="851"/>
      <c r="Q44" s="293" t="s">
        <v>245</v>
      </c>
      <c r="R44" s="294"/>
      <c r="S44" s="312"/>
      <c r="U44" s="846"/>
      <c r="V44" s="293" t="s">
        <v>245</v>
      </c>
      <c r="W44" s="294"/>
      <c r="X44" s="294"/>
      <c r="Y44" s="851"/>
      <c r="Z44" s="293" t="s">
        <v>245</v>
      </c>
      <c r="AA44" s="294"/>
      <c r="AB44" s="296"/>
      <c r="AC44" s="851"/>
      <c r="AD44" s="293" t="s">
        <v>245</v>
      </c>
      <c r="AE44" s="294"/>
      <c r="AF44" s="312"/>
      <c r="AH44" s="846"/>
      <c r="AI44" s="293" t="s">
        <v>245</v>
      </c>
      <c r="AJ44" s="294"/>
      <c r="AK44" s="294"/>
      <c r="AL44" s="851"/>
      <c r="AM44" s="293" t="s">
        <v>245</v>
      </c>
      <c r="AN44" s="294"/>
      <c r="AO44" s="296"/>
      <c r="AP44" s="851"/>
      <c r="AQ44" s="293" t="s">
        <v>245</v>
      </c>
      <c r="AR44" s="294"/>
      <c r="AS44" s="312"/>
    </row>
    <row r="45" spans="1:45" ht="13" x14ac:dyDescent="0.25">
      <c r="A45" s="27"/>
      <c r="B45" s="29"/>
      <c r="C45" s="29"/>
      <c r="D45" s="26"/>
      <c r="E45" s="26"/>
      <c r="H45" s="846"/>
      <c r="I45" s="293" t="s">
        <v>246</v>
      </c>
      <c r="J45" s="295"/>
      <c r="K45" s="295"/>
      <c r="L45" s="851"/>
      <c r="M45" s="293" t="s">
        <v>246</v>
      </c>
      <c r="N45" s="295"/>
      <c r="O45" s="295"/>
      <c r="P45" s="851"/>
      <c r="Q45" s="293" t="s">
        <v>246</v>
      </c>
      <c r="R45" s="295"/>
      <c r="S45" s="313"/>
      <c r="U45" s="846"/>
      <c r="V45" s="293" t="s">
        <v>246</v>
      </c>
      <c r="W45" s="295"/>
      <c r="X45" s="295"/>
      <c r="Y45" s="851"/>
      <c r="Z45" s="293" t="s">
        <v>246</v>
      </c>
      <c r="AA45" s="295"/>
      <c r="AB45" s="295"/>
      <c r="AC45" s="851"/>
      <c r="AD45" s="293" t="s">
        <v>246</v>
      </c>
      <c r="AE45" s="295"/>
      <c r="AF45" s="313"/>
      <c r="AH45" s="846"/>
      <c r="AI45" s="293" t="s">
        <v>246</v>
      </c>
      <c r="AJ45" s="295"/>
      <c r="AK45" s="295"/>
      <c r="AL45" s="851"/>
      <c r="AM45" s="293" t="s">
        <v>246</v>
      </c>
      <c r="AN45" s="295"/>
      <c r="AO45" s="295"/>
      <c r="AP45" s="851"/>
      <c r="AQ45" s="293" t="s">
        <v>246</v>
      </c>
      <c r="AR45" s="295"/>
      <c r="AS45" s="313"/>
    </row>
    <row r="46" spans="1:45" ht="15" x14ac:dyDescent="0.3">
      <c r="A46" s="66" t="s">
        <v>247</v>
      </c>
      <c r="B46" s="66"/>
      <c r="C46" s="66"/>
      <c r="D46" s="66"/>
      <c r="E46" s="66"/>
      <c r="F46" s="66"/>
      <c r="G46" s="66"/>
      <c r="H46" s="846"/>
      <c r="I46" s="293" t="s">
        <v>62</v>
      </c>
      <c r="J46" s="295"/>
      <c r="K46" s="295"/>
      <c r="L46" s="851"/>
      <c r="M46" s="293" t="s">
        <v>62</v>
      </c>
      <c r="N46" s="295"/>
      <c r="O46" s="295"/>
      <c r="P46" s="851"/>
      <c r="Q46" s="293" t="s">
        <v>62</v>
      </c>
      <c r="R46" s="295"/>
      <c r="S46" s="313"/>
      <c r="U46" s="846"/>
      <c r="V46" s="293" t="s">
        <v>62</v>
      </c>
      <c r="W46" s="295"/>
      <c r="X46" s="295"/>
      <c r="Y46" s="851"/>
      <c r="Z46" s="293" t="s">
        <v>62</v>
      </c>
      <c r="AA46" s="295"/>
      <c r="AB46" s="295"/>
      <c r="AC46" s="851"/>
      <c r="AD46" s="293" t="s">
        <v>62</v>
      </c>
      <c r="AE46" s="295"/>
      <c r="AF46" s="313"/>
      <c r="AH46" s="846"/>
      <c r="AI46" s="293" t="s">
        <v>62</v>
      </c>
      <c r="AJ46" s="295"/>
      <c r="AK46" s="295"/>
      <c r="AL46" s="851"/>
      <c r="AM46" s="293" t="s">
        <v>62</v>
      </c>
      <c r="AN46" s="295"/>
      <c r="AO46" s="295"/>
      <c r="AP46" s="851"/>
      <c r="AQ46" s="293" t="s">
        <v>62</v>
      </c>
      <c r="AR46" s="295"/>
      <c r="AS46" s="313"/>
    </row>
    <row r="47" spans="1:45" ht="13.5" thickBot="1" x14ac:dyDescent="0.3">
      <c r="A47" s="16"/>
      <c r="B47" s="16"/>
      <c r="C47" s="16"/>
      <c r="D47" s="16"/>
      <c r="E47" s="16"/>
      <c r="F47" s="16"/>
      <c r="G47" s="16"/>
      <c r="H47" s="846"/>
      <c r="I47" s="293" t="s">
        <v>248</v>
      </c>
      <c r="J47" s="295"/>
      <c r="K47" s="295"/>
      <c r="L47" s="851"/>
      <c r="M47" s="293" t="s">
        <v>248</v>
      </c>
      <c r="N47" s="295"/>
      <c r="O47" s="295"/>
      <c r="P47" s="851"/>
      <c r="Q47" s="293" t="s">
        <v>248</v>
      </c>
      <c r="R47" s="295"/>
      <c r="S47" s="313"/>
      <c r="U47" s="846"/>
      <c r="V47" s="293" t="s">
        <v>248</v>
      </c>
      <c r="W47" s="295"/>
      <c r="X47" s="295"/>
      <c r="Y47" s="851"/>
      <c r="Z47" s="293" t="s">
        <v>248</v>
      </c>
      <c r="AA47" s="295"/>
      <c r="AB47" s="295"/>
      <c r="AC47" s="851"/>
      <c r="AD47" s="293" t="s">
        <v>248</v>
      </c>
      <c r="AE47" s="295"/>
      <c r="AF47" s="313"/>
      <c r="AH47" s="846"/>
      <c r="AI47" s="293" t="s">
        <v>248</v>
      </c>
      <c r="AJ47" s="295"/>
      <c r="AK47" s="295"/>
      <c r="AL47" s="851"/>
      <c r="AM47" s="293" t="s">
        <v>248</v>
      </c>
      <c r="AN47" s="295"/>
      <c r="AO47" s="295"/>
      <c r="AP47" s="851"/>
      <c r="AQ47" s="293" t="s">
        <v>248</v>
      </c>
      <c r="AR47" s="295"/>
      <c r="AS47" s="313"/>
    </row>
    <row r="48" spans="1:45" ht="13" x14ac:dyDescent="0.25">
      <c r="A48" s="267" t="s">
        <v>249</v>
      </c>
      <c r="B48" s="268" t="s">
        <v>250</v>
      </c>
      <c r="C48" s="269" t="s">
        <v>251</v>
      </c>
      <c r="D48" s="270" t="s">
        <v>252</v>
      </c>
      <c r="E48" s="304" t="s">
        <v>240</v>
      </c>
      <c r="F48" s="285" t="s">
        <v>242</v>
      </c>
      <c r="H48" s="846"/>
      <c r="I48" s="293" t="s">
        <v>187</v>
      </c>
      <c r="J48" s="295"/>
      <c r="K48" s="295"/>
      <c r="L48" s="851"/>
      <c r="M48" s="293" t="s">
        <v>187</v>
      </c>
      <c r="N48" s="295"/>
      <c r="O48" s="295"/>
      <c r="P48" s="851"/>
      <c r="Q48" s="293" t="s">
        <v>187</v>
      </c>
      <c r="R48" s="295"/>
      <c r="S48" s="313"/>
      <c r="U48" s="846"/>
      <c r="V48" s="293" t="s">
        <v>187</v>
      </c>
      <c r="W48" s="295"/>
      <c r="X48" s="295"/>
      <c r="Y48" s="851"/>
      <c r="Z48" s="293" t="s">
        <v>187</v>
      </c>
      <c r="AA48" s="295"/>
      <c r="AB48" s="295"/>
      <c r="AC48" s="851"/>
      <c r="AD48" s="293" t="s">
        <v>187</v>
      </c>
      <c r="AE48" s="295"/>
      <c r="AF48" s="313"/>
      <c r="AH48" s="846"/>
      <c r="AI48" s="293" t="s">
        <v>187</v>
      </c>
      <c r="AJ48" s="295"/>
      <c r="AK48" s="295"/>
      <c r="AL48" s="851"/>
      <c r="AM48" s="293" t="s">
        <v>187</v>
      </c>
      <c r="AN48" s="295"/>
      <c r="AO48" s="295"/>
      <c r="AP48" s="851"/>
      <c r="AQ48" s="293" t="s">
        <v>187</v>
      </c>
      <c r="AR48" s="295"/>
      <c r="AS48" s="313"/>
    </row>
    <row r="49" spans="1:45" ht="13" x14ac:dyDescent="0.25">
      <c r="A49" s="285">
        <f>ID!K32</f>
        <v>2000.1666666666667</v>
      </c>
      <c r="B49" s="787">
        <v>1.0000000000000001E-5</v>
      </c>
      <c r="C49" s="787">
        <f>A49+B49</f>
        <v>2000.1666766666667</v>
      </c>
      <c r="D49" s="787">
        <f>FORECAST(A49,AA27:AA32,X27:X32)</f>
        <v>1.0000000000000001E-5</v>
      </c>
      <c r="E49" s="792">
        <f>AB27</f>
        <v>1.0000000000000001E-5</v>
      </c>
      <c r="F49" s="372">
        <f>AC27</f>
        <v>0.05</v>
      </c>
      <c r="G49" s="16"/>
      <c r="H49" s="846"/>
      <c r="I49" s="293" t="s">
        <v>253</v>
      </c>
      <c r="J49" s="295"/>
      <c r="K49" s="295"/>
      <c r="L49" s="851"/>
      <c r="M49" s="293" t="s">
        <v>253</v>
      </c>
      <c r="N49" s="295"/>
      <c r="O49" s="295"/>
      <c r="P49" s="851"/>
      <c r="Q49" s="293" t="s">
        <v>253</v>
      </c>
      <c r="R49" s="295"/>
      <c r="S49" s="313"/>
      <c r="U49" s="846"/>
      <c r="V49" s="293" t="s">
        <v>253</v>
      </c>
      <c r="W49" s="295"/>
      <c r="X49" s="295"/>
      <c r="Y49" s="851"/>
      <c r="Z49" s="293" t="s">
        <v>253</v>
      </c>
      <c r="AA49" s="295"/>
      <c r="AB49" s="295"/>
      <c r="AC49" s="851"/>
      <c r="AD49" s="293" t="s">
        <v>253</v>
      </c>
      <c r="AE49" s="295"/>
      <c r="AF49" s="313"/>
      <c r="AH49" s="846"/>
      <c r="AI49" s="293" t="s">
        <v>253</v>
      </c>
      <c r="AJ49" s="295"/>
      <c r="AK49" s="295"/>
      <c r="AL49" s="851"/>
      <c r="AM49" s="293" t="s">
        <v>253</v>
      </c>
      <c r="AN49" s="295"/>
      <c r="AO49" s="295"/>
      <c r="AP49" s="851"/>
      <c r="AQ49" s="293" t="s">
        <v>253</v>
      </c>
      <c r="AR49" s="295"/>
      <c r="AS49" s="313"/>
    </row>
    <row r="50" spans="1:45" ht="15" x14ac:dyDescent="0.3">
      <c r="A50" s="285">
        <f>ID!K33</f>
        <v>70.5</v>
      </c>
      <c r="B50" s="787">
        <v>1.0000000000000001E-5</v>
      </c>
      <c r="C50" s="787">
        <f>A50+B50</f>
        <v>70.500010000000003</v>
      </c>
      <c r="D50" s="787">
        <f>FORECAST(A50,AA5:AA8,X5:X8)</f>
        <v>1.0000000000000001E-5</v>
      </c>
      <c r="E50" s="792">
        <f>AB5</f>
        <v>1.0000000000000001E-5</v>
      </c>
      <c r="F50" s="305"/>
      <c r="G50" s="66"/>
      <c r="H50" s="846"/>
      <c r="I50" s="293" t="s">
        <v>254</v>
      </c>
      <c r="J50" s="295"/>
      <c r="K50" s="295"/>
      <c r="L50" s="851"/>
      <c r="M50" s="293" t="s">
        <v>254</v>
      </c>
      <c r="N50" s="295"/>
      <c r="O50" s="295"/>
      <c r="P50" s="851"/>
      <c r="Q50" s="293" t="s">
        <v>254</v>
      </c>
      <c r="R50" s="295"/>
      <c r="S50" s="313"/>
      <c r="U50" s="846"/>
      <c r="V50" s="293" t="s">
        <v>254</v>
      </c>
      <c r="W50" s="295"/>
      <c r="X50" s="295"/>
      <c r="Y50" s="851"/>
      <c r="Z50" s="293" t="s">
        <v>254</v>
      </c>
      <c r="AA50" s="295"/>
      <c r="AB50" s="295"/>
      <c r="AC50" s="851"/>
      <c r="AD50" s="293" t="s">
        <v>254</v>
      </c>
      <c r="AE50" s="295"/>
      <c r="AF50" s="313"/>
      <c r="AH50" s="846"/>
      <c r="AI50" s="293" t="s">
        <v>254</v>
      </c>
      <c r="AJ50" s="295"/>
      <c r="AK50" s="295"/>
      <c r="AL50" s="851"/>
      <c r="AM50" s="293" t="s">
        <v>254</v>
      </c>
      <c r="AN50" s="295"/>
      <c r="AO50" s="295"/>
      <c r="AP50" s="851"/>
      <c r="AQ50" s="293" t="s">
        <v>254</v>
      </c>
      <c r="AR50" s="295"/>
      <c r="AS50" s="313"/>
    </row>
    <row r="51" spans="1:45" ht="13" x14ac:dyDescent="0.25">
      <c r="A51" s="285">
        <f>ID!K34</f>
        <v>50.166666666666664</v>
      </c>
      <c r="B51" s="787">
        <f>FORECAST(A49,Y27:Y32,X27:X32)</f>
        <v>1.0000000000000001E-5</v>
      </c>
      <c r="C51" s="787">
        <f>A51+B51</f>
        <v>50.166676666666667</v>
      </c>
      <c r="D51" s="787">
        <f>FORECAST(A49,AA16:AA21,X16:X21)</f>
        <v>1.0000000000000001E-5</v>
      </c>
      <c r="E51" s="793">
        <f>AB16</f>
        <v>1.0000000000000001E-5</v>
      </c>
      <c r="F51" s="31"/>
      <c r="G51" s="16"/>
      <c r="H51" s="846">
        <v>5000</v>
      </c>
      <c r="I51" s="275" t="s">
        <v>233</v>
      </c>
      <c r="J51" s="266">
        <f>B29</f>
        <v>1.0000000000000001E-5</v>
      </c>
      <c r="K51" s="266">
        <f>C29</f>
        <v>1.0000000000000001E-5</v>
      </c>
      <c r="L51" s="851">
        <v>100000</v>
      </c>
      <c r="M51" s="275" t="s">
        <v>233</v>
      </c>
      <c r="N51" s="266">
        <f>B32</f>
        <v>1.0000000000000001E-5</v>
      </c>
      <c r="O51" s="266">
        <f>C32</f>
        <v>1.0000000000000001E-5</v>
      </c>
      <c r="S51" s="314"/>
      <c r="U51" s="846">
        <v>2000</v>
      </c>
      <c r="V51" s="275" t="s">
        <v>233</v>
      </c>
      <c r="W51" s="266">
        <f>B18</f>
        <v>1.0000000000000001E-5</v>
      </c>
      <c r="X51" s="266">
        <f>C18</f>
        <v>1.0000000000000001E-5</v>
      </c>
      <c r="Y51" s="851">
        <v>5000</v>
      </c>
      <c r="Z51" s="275" t="s">
        <v>233</v>
      </c>
      <c r="AA51" s="266">
        <f>B21</f>
        <v>1.0000000000000001E-5</v>
      </c>
      <c r="AB51" s="266">
        <f>C21</f>
        <v>1.0000000000000001E-5</v>
      </c>
      <c r="AF51" s="314"/>
      <c r="AH51" s="846">
        <v>80</v>
      </c>
      <c r="AI51" s="275" t="s">
        <v>233</v>
      </c>
      <c r="AJ51" s="274">
        <f>B7</f>
        <v>1.0000000000000001E-5</v>
      </c>
      <c r="AK51" s="274">
        <f>C7</f>
        <v>1.0000000000000001E-5</v>
      </c>
      <c r="AL51" s="848">
        <v>5000</v>
      </c>
      <c r="AM51" s="293" t="s">
        <v>233</v>
      </c>
      <c r="AN51" s="297"/>
      <c r="AO51" s="297"/>
      <c r="AS51" s="314"/>
    </row>
    <row r="52" spans="1:45" ht="13" x14ac:dyDescent="0.25">
      <c r="A52" s="67"/>
      <c r="B52" s="16"/>
      <c r="C52" s="16"/>
      <c r="D52" s="68"/>
      <c r="E52" s="68"/>
      <c r="F52" s="17"/>
      <c r="G52" s="17"/>
      <c r="H52" s="846"/>
      <c r="I52" s="275" t="s">
        <v>234</v>
      </c>
      <c r="J52" s="266">
        <f>D29</f>
        <v>1.0000000000000001E-5</v>
      </c>
      <c r="K52" s="266">
        <f>E29</f>
        <v>1.0000000000000001E-5</v>
      </c>
      <c r="L52" s="851"/>
      <c r="M52" s="275" t="s">
        <v>234</v>
      </c>
      <c r="N52" s="266">
        <f>D32</f>
        <v>1.0000000000000001E-5</v>
      </c>
      <c r="O52" s="266">
        <f>E32</f>
        <v>1.0000000000000001E-5</v>
      </c>
      <c r="S52" s="314"/>
      <c r="U52" s="846"/>
      <c r="V52" s="275" t="s">
        <v>234</v>
      </c>
      <c r="W52" s="266">
        <f>D18</f>
        <v>1.0000000000000001E-5</v>
      </c>
      <c r="X52" s="266">
        <f>E18</f>
        <v>1.0000000000000001E-5</v>
      </c>
      <c r="Y52" s="851"/>
      <c r="Z52" s="275" t="s">
        <v>234</v>
      </c>
      <c r="AA52" s="266">
        <f>D21</f>
        <v>1.0000000000000001E-5</v>
      </c>
      <c r="AB52" s="266">
        <f>E21</f>
        <v>1.0000000000000001E-5</v>
      </c>
      <c r="AF52" s="314"/>
      <c r="AH52" s="846"/>
      <c r="AI52" s="275" t="s">
        <v>234</v>
      </c>
      <c r="AJ52" s="274">
        <f>D7</f>
        <v>1.0000000000000001E-5</v>
      </c>
      <c r="AK52" s="274">
        <f>E7</f>
        <v>1.0000000000000001E-5</v>
      </c>
      <c r="AL52" s="848"/>
      <c r="AM52" s="293" t="s">
        <v>234</v>
      </c>
      <c r="AN52" s="297"/>
      <c r="AO52" s="297"/>
      <c r="AS52" s="314"/>
    </row>
    <row r="53" spans="1:45" ht="13" x14ac:dyDescent="0.25">
      <c r="A53" s="16"/>
      <c r="B53" s="16"/>
      <c r="C53" s="16"/>
      <c r="D53" s="16"/>
      <c r="E53" s="16"/>
      <c r="F53" s="16"/>
      <c r="G53" s="16"/>
      <c r="H53" s="846"/>
      <c r="I53" s="275" t="s">
        <v>235</v>
      </c>
      <c r="J53" s="274">
        <f>F29</f>
        <v>1.0000000000000001E-5</v>
      </c>
      <c r="K53" s="274">
        <f>G29</f>
        <v>1.0000000000000001E-5</v>
      </c>
      <c r="L53" s="851"/>
      <c r="M53" s="275" t="s">
        <v>235</v>
      </c>
      <c r="N53" s="266">
        <f>F32</f>
        <v>1.0000000000000001E-5</v>
      </c>
      <c r="O53" s="266">
        <f>G32</f>
        <v>1.0000000000000001E-5</v>
      </c>
      <c r="S53" s="314"/>
      <c r="U53" s="846"/>
      <c r="V53" s="275" t="s">
        <v>235</v>
      </c>
      <c r="W53" s="274">
        <f>F18</f>
        <v>1.0000000000000001E-5</v>
      </c>
      <c r="X53" s="274">
        <f>G18</f>
        <v>1.0000000000000001E-5</v>
      </c>
      <c r="Y53" s="851"/>
      <c r="Z53" s="275" t="s">
        <v>235</v>
      </c>
      <c r="AA53" s="266">
        <f>F21</f>
        <v>1.0000000000000001E-5</v>
      </c>
      <c r="AB53" s="266">
        <f>G21</f>
        <v>1.0000000000000001E-5</v>
      </c>
      <c r="AF53" s="314"/>
      <c r="AH53" s="846"/>
      <c r="AI53" s="275" t="s">
        <v>235</v>
      </c>
      <c r="AJ53" s="274">
        <f>F7</f>
        <v>1.0000000000000001E-5</v>
      </c>
      <c r="AK53" s="274">
        <f>G7</f>
        <v>1.0000000000000001E-5</v>
      </c>
      <c r="AL53" s="848"/>
      <c r="AM53" s="293" t="s">
        <v>235</v>
      </c>
      <c r="AN53" s="297"/>
      <c r="AO53" s="297"/>
      <c r="AS53" s="314"/>
    </row>
    <row r="54" spans="1:45" ht="15" x14ac:dyDescent="0.3">
      <c r="A54" s="66"/>
      <c r="B54" s="66"/>
      <c r="C54" s="66"/>
      <c r="D54" s="66"/>
      <c r="E54" s="66"/>
      <c r="F54" s="66"/>
      <c r="G54" s="66"/>
      <c r="H54" s="846"/>
      <c r="I54" s="275" t="s">
        <v>236</v>
      </c>
      <c r="J54" s="274">
        <f>H29</f>
        <v>1.0000000000000001E-5</v>
      </c>
      <c r="K54" s="274">
        <f>I29</f>
        <v>1.0000000000000001E-5</v>
      </c>
      <c r="L54" s="851"/>
      <c r="M54" s="275" t="s">
        <v>236</v>
      </c>
      <c r="N54" s="266">
        <f>F32</f>
        <v>1.0000000000000001E-5</v>
      </c>
      <c r="O54" s="266">
        <f>G32</f>
        <v>1.0000000000000001E-5</v>
      </c>
      <c r="S54" s="314"/>
      <c r="U54" s="846"/>
      <c r="V54" s="275" t="s">
        <v>236</v>
      </c>
      <c r="W54" s="274">
        <f>H18</f>
        <v>1.0000000000000001E-5</v>
      </c>
      <c r="X54" s="274">
        <f>I18</f>
        <v>1.0000000000000001E-5</v>
      </c>
      <c r="Y54" s="851"/>
      <c r="Z54" s="275" t="s">
        <v>236</v>
      </c>
      <c r="AA54" s="266">
        <f>H21</f>
        <v>1.0000000000000001E-5</v>
      </c>
      <c r="AB54" s="266">
        <f>I21</f>
        <v>1.0000000000000001E-5</v>
      </c>
      <c r="AF54" s="314"/>
      <c r="AH54" s="846"/>
      <c r="AI54" s="275" t="s">
        <v>236</v>
      </c>
      <c r="AJ54" s="274">
        <f>H7</f>
        <v>1.0000000000000001E-5</v>
      </c>
      <c r="AK54" s="274">
        <f>I7</f>
        <v>1.0000000000000001E-5</v>
      </c>
      <c r="AL54" s="848"/>
      <c r="AM54" s="293" t="s">
        <v>236</v>
      </c>
      <c r="AN54" s="297"/>
      <c r="AO54" s="297"/>
      <c r="AS54" s="314"/>
    </row>
    <row r="55" spans="1:45" ht="13" x14ac:dyDescent="0.25">
      <c r="A55" s="16"/>
      <c r="B55" s="342" t="s">
        <v>255</v>
      </c>
      <c r="C55" s="16" t="s">
        <v>256</v>
      </c>
      <c r="D55" s="16" t="s">
        <v>256</v>
      </c>
      <c r="E55" s="16"/>
      <c r="F55" s="16"/>
      <c r="G55" s="16"/>
      <c r="H55" s="846"/>
      <c r="I55" s="275" t="s">
        <v>237</v>
      </c>
      <c r="J55" s="274">
        <f>J29</f>
        <v>1.0000000000000001E-5</v>
      </c>
      <c r="K55" s="274">
        <f>K29</f>
        <v>1.0000000000000001E-5</v>
      </c>
      <c r="L55" s="851"/>
      <c r="M55" s="275" t="s">
        <v>237</v>
      </c>
      <c r="N55" s="266">
        <f>J32</f>
        <v>1.0000000000000001E-5</v>
      </c>
      <c r="O55" s="266">
        <f>K32</f>
        <v>1.0000000000000001E-5</v>
      </c>
      <c r="S55" s="314"/>
      <c r="U55" s="846"/>
      <c r="V55" s="275" t="s">
        <v>237</v>
      </c>
      <c r="W55" s="274">
        <f>J18</f>
        <v>1.0000000000000001E-5</v>
      </c>
      <c r="X55" s="274">
        <f>K18</f>
        <v>1.0000000000000001E-5</v>
      </c>
      <c r="Y55" s="851"/>
      <c r="Z55" s="275" t="s">
        <v>237</v>
      </c>
      <c r="AA55" s="266">
        <f>J21</f>
        <v>1.0000000000000001E-5</v>
      </c>
      <c r="AB55" s="266">
        <f>K21</f>
        <v>1.0000000000000001E-5</v>
      </c>
      <c r="AF55" s="314"/>
      <c r="AH55" s="846"/>
      <c r="AI55" s="275" t="s">
        <v>237</v>
      </c>
      <c r="AJ55" s="274">
        <f>J7</f>
        <v>1.0000000000000001E-5</v>
      </c>
      <c r="AK55" s="274">
        <f>K7</f>
        <v>1.0000000000000001E-5</v>
      </c>
      <c r="AL55" s="848"/>
      <c r="AM55" s="293" t="s">
        <v>237</v>
      </c>
      <c r="AN55" s="297"/>
      <c r="AO55" s="297"/>
      <c r="AS55" s="314"/>
    </row>
    <row r="56" spans="1:45" ht="15.5" x14ac:dyDescent="0.25">
      <c r="A56" s="339" t="s">
        <v>233</v>
      </c>
      <c r="B56" s="340">
        <f>C34</f>
        <v>0.05</v>
      </c>
      <c r="C56" s="340">
        <f t="shared" ref="C56:C61" si="0">$A$51*((1+B56)/1000)</f>
        <v>5.2675000000000007E-2</v>
      </c>
      <c r="D56" s="347">
        <f>VLOOKUP(AC25,A56:C61,3,FALSE)</f>
        <v>5.2675000000000007E-2</v>
      </c>
      <c r="E56" s="68"/>
      <c r="F56" s="17"/>
      <c r="G56" s="17"/>
      <c r="H56" s="846"/>
      <c r="I56" s="275" t="s">
        <v>238</v>
      </c>
      <c r="J56" s="274">
        <f>L29</f>
        <v>1.0000000000000001E-5</v>
      </c>
      <c r="K56" s="274">
        <f>M29</f>
        <v>1.0000000000000001E-5</v>
      </c>
      <c r="L56" s="851"/>
      <c r="M56" s="275" t="s">
        <v>238</v>
      </c>
      <c r="N56" s="266">
        <f>L32</f>
        <v>1.0000000000000001E-5</v>
      </c>
      <c r="O56" s="266">
        <f>M32</f>
        <v>1.0000000000000001E-5</v>
      </c>
      <c r="S56" s="314"/>
      <c r="U56" s="846"/>
      <c r="V56" s="275" t="s">
        <v>238</v>
      </c>
      <c r="W56" s="274">
        <f>L18</f>
        <v>1.0000000000000001E-5</v>
      </c>
      <c r="X56" s="274">
        <f>M18</f>
        <v>1.0000000000000001E-5</v>
      </c>
      <c r="Y56" s="851"/>
      <c r="Z56" s="275" t="s">
        <v>238</v>
      </c>
      <c r="AA56" s="266">
        <f>L21</f>
        <v>1.0000000000000001E-5</v>
      </c>
      <c r="AB56" s="266">
        <f>M21</f>
        <v>1.0000000000000001E-5</v>
      </c>
      <c r="AF56" s="314"/>
      <c r="AH56" s="846"/>
      <c r="AI56" s="275" t="s">
        <v>238</v>
      </c>
      <c r="AJ56" s="274">
        <f>L7</f>
        <v>1.0000000000000001E-5</v>
      </c>
      <c r="AK56" s="274">
        <f>M7</f>
        <v>1.0000000000000001E-5</v>
      </c>
      <c r="AL56" s="848"/>
      <c r="AM56" s="293" t="s">
        <v>238</v>
      </c>
      <c r="AN56" s="297"/>
      <c r="AO56" s="297"/>
      <c r="AS56" s="314"/>
    </row>
    <row r="57" spans="1:45" ht="15.5" x14ac:dyDescent="0.35">
      <c r="A57" s="341" t="s">
        <v>234</v>
      </c>
      <c r="B57" s="340">
        <f>E34</f>
        <v>0.05</v>
      </c>
      <c r="C57" s="340">
        <f t="shared" si="0"/>
        <v>5.2675000000000007E-2</v>
      </c>
      <c r="D57" s="16"/>
      <c r="E57" s="16"/>
      <c r="F57" s="16"/>
      <c r="G57" s="16"/>
      <c r="H57" s="846"/>
      <c r="I57" s="293" t="s">
        <v>245</v>
      </c>
      <c r="J57" s="294"/>
      <c r="K57" s="296"/>
      <c r="L57" s="851"/>
      <c r="M57" s="293" t="s">
        <v>245</v>
      </c>
      <c r="N57" s="297"/>
      <c r="O57" s="298"/>
      <c r="S57" s="314"/>
      <c r="U57" s="846"/>
      <c r="V57" s="293" t="s">
        <v>245</v>
      </c>
      <c r="W57" s="294"/>
      <c r="X57" s="296"/>
      <c r="Y57" s="851"/>
      <c r="Z57" s="293" t="s">
        <v>245</v>
      </c>
      <c r="AA57" s="297"/>
      <c r="AB57" s="298"/>
      <c r="AF57" s="314"/>
      <c r="AH57" s="846"/>
      <c r="AI57" s="293" t="s">
        <v>245</v>
      </c>
      <c r="AJ57" s="294"/>
      <c r="AK57" s="296"/>
      <c r="AL57" s="848"/>
      <c r="AM57" s="293" t="s">
        <v>245</v>
      </c>
      <c r="AN57" s="297"/>
      <c r="AO57" s="298"/>
      <c r="AS57" s="314"/>
    </row>
    <row r="58" spans="1:45" ht="15.5" x14ac:dyDescent="0.35">
      <c r="A58" s="341" t="s">
        <v>235</v>
      </c>
      <c r="B58" s="340">
        <f>G34</f>
        <v>0.05</v>
      </c>
      <c r="C58" s="340">
        <f t="shared" si="0"/>
        <v>5.2675000000000007E-2</v>
      </c>
      <c r="D58" s="66"/>
      <c r="E58" s="66"/>
      <c r="F58" s="66"/>
      <c r="G58" s="66"/>
      <c r="H58" s="846"/>
      <c r="I58" s="293" t="s">
        <v>246</v>
      </c>
      <c r="J58" s="295"/>
      <c r="K58" s="295"/>
      <c r="L58" s="851"/>
      <c r="M58" s="293" t="s">
        <v>246</v>
      </c>
      <c r="N58" s="295"/>
      <c r="O58" s="295"/>
      <c r="S58" s="314"/>
      <c r="U58" s="846"/>
      <c r="V58" s="293" t="s">
        <v>246</v>
      </c>
      <c r="W58" s="295"/>
      <c r="X58" s="295"/>
      <c r="Y58" s="851"/>
      <c r="Z58" s="293" t="s">
        <v>246</v>
      </c>
      <c r="AA58" s="295"/>
      <c r="AB58" s="295"/>
      <c r="AF58" s="314"/>
      <c r="AH58" s="846"/>
      <c r="AI58" s="293" t="s">
        <v>246</v>
      </c>
      <c r="AJ58" s="295"/>
      <c r="AK58" s="295"/>
      <c r="AL58" s="848"/>
      <c r="AM58" s="293" t="s">
        <v>246</v>
      </c>
      <c r="AN58" s="295"/>
      <c r="AO58" s="295"/>
      <c r="AS58" s="314"/>
    </row>
    <row r="59" spans="1:45" ht="15.5" x14ac:dyDescent="0.35">
      <c r="A59" s="341" t="s">
        <v>236</v>
      </c>
      <c r="B59" s="8">
        <f>I34</f>
        <v>0.05</v>
      </c>
      <c r="C59" s="340">
        <f t="shared" si="0"/>
        <v>5.2675000000000007E-2</v>
      </c>
      <c r="D59" s="16"/>
      <c r="E59" s="16"/>
      <c r="F59" s="16"/>
      <c r="G59" s="16"/>
      <c r="H59" s="846"/>
      <c r="I59" s="293" t="s">
        <v>62</v>
      </c>
      <c r="J59" s="295"/>
      <c r="K59" s="295"/>
      <c r="L59" s="851"/>
      <c r="M59" s="293" t="s">
        <v>62</v>
      </c>
      <c r="N59" s="295"/>
      <c r="O59" s="295"/>
      <c r="S59" s="314"/>
      <c r="U59" s="846"/>
      <c r="V59" s="293" t="s">
        <v>62</v>
      </c>
      <c r="W59" s="295"/>
      <c r="X59" s="295"/>
      <c r="Y59" s="851"/>
      <c r="Z59" s="293" t="s">
        <v>62</v>
      </c>
      <c r="AA59" s="295"/>
      <c r="AB59" s="295"/>
      <c r="AF59" s="314"/>
      <c r="AH59" s="846"/>
      <c r="AI59" s="293" t="s">
        <v>62</v>
      </c>
      <c r="AJ59" s="295"/>
      <c r="AK59" s="295"/>
      <c r="AL59" s="848"/>
      <c r="AM59" s="293" t="s">
        <v>62</v>
      </c>
      <c r="AN59" s="295"/>
      <c r="AO59" s="295"/>
      <c r="AS59" s="314"/>
    </row>
    <row r="60" spans="1:45" ht="15.5" x14ac:dyDescent="0.35">
      <c r="A60" s="341" t="s">
        <v>237</v>
      </c>
      <c r="B60" s="8">
        <f>K34</f>
        <v>0.05</v>
      </c>
      <c r="C60" s="340">
        <f t="shared" si="0"/>
        <v>5.2675000000000007E-2</v>
      </c>
      <c r="D60" s="68"/>
      <c r="E60" s="68"/>
      <c r="F60" s="17"/>
      <c r="G60" s="17"/>
      <c r="H60" s="846"/>
      <c r="I60" s="293" t="s">
        <v>248</v>
      </c>
      <c r="J60" s="295"/>
      <c r="K60" s="295"/>
      <c r="L60" s="851"/>
      <c r="M60" s="293" t="s">
        <v>248</v>
      </c>
      <c r="N60" s="295"/>
      <c r="O60" s="295"/>
      <c r="S60" s="314"/>
      <c r="U60" s="846"/>
      <c r="V60" s="293" t="s">
        <v>248</v>
      </c>
      <c r="W60" s="295"/>
      <c r="X60" s="295"/>
      <c r="Y60" s="851"/>
      <c r="Z60" s="293" t="s">
        <v>248</v>
      </c>
      <c r="AA60" s="295"/>
      <c r="AB60" s="295"/>
      <c r="AF60" s="314"/>
      <c r="AH60" s="846"/>
      <c r="AI60" s="293" t="s">
        <v>248</v>
      </c>
      <c r="AJ60" s="295"/>
      <c r="AK60" s="295"/>
      <c r="AL60" s="848"/>
      <c r="AM60" s="293" t="s">
        <v>248</v>
      </c>
      <c r="AN60" s="295"/>
      <c r="AO60" s="295"/>
      <c r="AS60" s="314"/>
    </row>
    <row r="61" spans="1:45" ht="15.5" x14ac:dyDescent="0.35">
      <c r="A61" s="341" t="s">
        <v>238</v>
      </c>
      <c r="B61" s="8">
        <f>M34</f>
        <v>0.05</v>
      </c>
      <c r="C61" s="340">
        <f t="shared" si="0"/>
        <v>5.2675000000000007E-2</v>
      </c>
      <c r="D61" s="16"/>
      <c r="E61" s="16"/>
      <c r="F61" s="16"/>
      <c r="G61" s="16"/>
      <c r="H61" s="846"/>
      <c r="I61" s="293" t="s">
        <v>187</v>
      </c>
      <c r="J61" s="295"/>
      <c r="K61" s="295"/>
      <c r="L61" s="851"/>
      <c r="M61" s="293" t="s">
        <v>187</v>
      </c>
      <c r="N61" s="295"/>
      <c r="O61" s="295"/>
      <c r="S61" s="314"/>
      <c r="U61" s="846"/>
      <c r="V61" s="293" t="s">
        <v>187</v>
      </c>
      <c r="W61" s="295"/>
      <c r="X61" s="295"/>
      <c r="Y61" s="851"/>
      <c r="Z61" s="293" t="s">
        <v>187</v>
      </c>
      <c r="AA61" s="295"/>
      <c r="AB61" s="295"/>
      <c r="AF61" s="314"/>
      <c r="AH61" s="846"/>
      <c r="AI61" s="293" t="s">
        <v>187</v>
      </c>
      <c r="AJ61" s="295"/>
      <c r="AK61" s="295"/>
      <c r="AL61" s="848"/>
      <c r="AM61" s="293" t="s">
        <v>187</v>
      </c>
      <c r="AN61" s="295"/>
      <c r="AO61" s="295"/>
      <c r="AS61" s="314"/>
    </row>
    <row r="62" spans="1:45" ht="13" x14ac:dyDescent="0.25">
      <c r="A62" s="27"/>
      <c r="B62" s="23"/>
      <c r="C62" s="23"/>
      <c r="D62" s="23"/>
      <c r="E62" s="23"/>
      <c r="H62" s="846"/>
      <c r="I62" s="293" t="s">
        <v>253</v>
      </c>
      <c r="J62" s="295"/>
      <c r="K62" s="295"/>
      <c r="L62" s="851"/>
      <c r="M62" s="293" t="s">
        <v>253</v>
      </c>
      <c r="N62" s="295"/>
      <c r="O62" s="295"/>
      <c r="S62" s="314"/>
      <c r="U62" s="846"/>
      <c r="V62" s="293" t="s">
        <v>253</v>
      </c>
      <c r="W62" s="295"/>
      <c r="X62" s="295"/>
      <c r="Y62" s="851"/>
      <c r="Z62" s="293" t="s">
        <v>253</v>
      </c>
      <c r="AA62" s="295"/>
      <c r="AB62" s="295"/>
      <c r="AF62" s="314"/>
      <c r="AH62" s="846"/>
      <c r="AI62" s="293" t="s">
        <v>253</v>
      </c>
      <c r="AJ62" s="295"/>
      <c r="AK62" s="295"/>
      <c r="AL62" s="848"/>
      <c r="AM62" s="293" t="s">
        <v>253</v>
      </c>
      <c r="AN62" s="295"/>
      <c r="AO62" s="295"/>
      <c r="AS62" s="314"/>
    </row>
    <row r="63" spans="1:45" ht="13" x14ac:dyDescent="0.25">
      <c r="H63" s="846"/>
      <c r="I63" s="293" t="s">
        <v>254</v>
      </c>
      <c r="J63" s="295"/>
      <c r="K63" s="295"/>
      <c r="L63" s="851"/>
      <c r="M63" s="293" t="s">
        <v>254</v>
      </c>
      <c r="N63" s="295"/>
      <c r="O63" s="295"/>
      <c r="S63" s="314"/>
      <c r="U63" s="846"/>
      <c r="V63" s="293" t="s">
        <v>254</v>
      </c>
      <c r="W63" s="295"/>
      <c r="X63" s="295"/>
      <c r="Y63" s="851"/>
      <c r="Z63" s="293" t="s">
        <v>254</v>
      </c>
      <c r="AA63" s="295"/>
      <c r="AB63" s="295"/>
      <c r="AF63" s="314"/>
      <c r="AH63" s="846"/>
      <c r="AI63" s="293" t="s">
        <v>254</v>
      </c>
      <c r="AJ63" s="295"/>
      <c r="AK63" s="295"/>
      <c r="AL63" s="848"/>
      <c r="AM63" s="293" t="s">
        <v>254</v>
      </c>
      <c r="AN63" s="295"/>
      <c r="AO63" s="295"/>
      <c r="AS63" s="314"/>
    </row>
    <row r="64" spans="1:45" ht="13" x14ac:dyDescent="0.25">
      <c r="A64" s="18"/>
      <c r="B64" s="71"/>
      <c r="C64" s="71"/>
      <c r="D64" s="72"/>
      <c r="E64" s="72"/>
      <c r="H64" s="846">
        <v>10000</v>
      </c>
      <c r="I64" s="275" t="s">
        <v>233</v>
      </c>
      <c r="J64" s="274">
        <f>B30</f>
        <v>1.0000000000000001E-5</v>
      </c>
      <c r="K64" s="280">
        <f>C30</f>
        <v>1.0000000000000001E-5</v>
      </c>
      <c r="L64" s="851">
        <v>200000</v>
      </c>
      <c r="M64" s="275" t="s">
        <v>233</v>
      </c>
      <c r="N64" s="274">
        <f>B33</f>
        <v>1.0000000000000001E-5</v>
      </c>
      <c r="O64" s="274">
        <f>C33</f>
        <v>1.0000000000000001E-5</v>
      </c>
      <c r="S64" s="314"/>
      <c r="U64" s="846">
        <v>3000</v>
      </c>
      <c r="V64" s="275" t="s">
        <v>233</v>
      </c>
      <c r="W64" s="274">
        <f>B19</f>
        <v>1.0000000000000001E-5</v>
      </c>
      <c r="X64" s="274">
        <f>C19</f>
        <v>1.0000000000000001E-5</v>
      </c>
      <c r="Y64" s="851">
        <v>6000</v>
      </c>
      <c r="Z64" s="275" t="s">
        <v>233</v>
      </c>
      <c r="AA64" s="274">
        <f>B22</f>
        <v>1.0000000000000001E-5</v>
      </c>
      <c r="AB64" s="274">
        <f>C22</f>
        <v>1.0000000000000001E-5</v>
      </c>
      <c r="AF64" s="314"/>
      <c r="AH64" s="846">
        <v>90</v>
      </c>
      <c r="AI64" s="275" t="s">
        <v>233</v>
      </c>
      <c r="AJ64" s="274">
        <f>B8</f>
        <v>1.0000000000000001E-5</v>
      </c>
      <c r="AK64" s="274">
        <f>C8</f>
        <v>1.0000000000000001E-5</v>
      </c>
      <c r="AL64" s="848">
        <v>6000</v>
      </c>
      <c r="AM64" s="293" t="s">
        <v>233</v>
      </c>
      <c r="AN64" s="294"/>
      <c r="AO64" s="294"/>
      <c r="AS64" s="314"/>
    </row>
    <row r="65" spans="1:45" ht="13" x14ac:dyDescent="0.3">
      <c r="A65" s="27"/>
      <c r="B65" s="30"/>
      <c r="C65" s="30"/>
      <c r="D65" s="30"/>
      <c r="E65" s="30"/>
      <c r="H65" s="846"/>
      <c r="I65" s="275" t="s">
        <v>234</v>
      </c>
      <c r="J65" s="266">
        <f>D30</f>
        <v>1.0000000000000001E-5</v>
      </c>
      <c r="K65" s="266">
        <f>E30</f>
        <v>1.0000000000000001E-5</v>
      </c>
      <c r="L65" s="851"/>
      <c r="M65" s="275" t="s">
        <v>234</v>
      </c>
      <c r="N65" s="274">
        <f>D33</f>
        <v>1.0000000000000001E-5</v>
      </c>
      <c r="O65" s="274">
        <f>E33</f>
        <v>1.0000000000000001E-5</v>
      </c>
      <c r="S65" s="314"/>
      <c r="U65" s="846"/>
      <c r="V65" s="275" t="s">
        <v>234</v>
      </c>
      <c r="W65" s="266">
        <f>D19</f>
        <v>1.0000000000000001E-5</v>
      </c>
      <c r="X65" s="266">
        <f>E19</f>
        <v>1.0000000000000001E-5</v>
      </c>
      <c r="Y65" s="851"/>
      <c r="Z65" s="275" t="s">
        <v>234</v>
      </c>
      <c r="AA65" s="274">
        <f>D22</f>
        <v>1.0000000000000001E-5</v>
      </c>
      <c r="AB65" s="274">
        <f>E22</f>
        <v>1.0000000000000001E-5</v>
      </c>
      <c r="AF65" s="314"/>
      <c r="AH65" s="846"/>
      <c r="AI65" s="275" t="s">
        <v>234</v>
      </c>
      <c r="AJ65" s="274">
        <f>D8</f>
        <v>1.0000000000000001E-5</v>
      </c>
      <c r="AK65" s="274">
        <f>E8</f>
        <v>1.0000000000000001E-5</v>
      </c>
      <c r="AL65" s="848"/>
      <c r="AM65" s="293" t="s">
        <v>234</v>
      </c>
      <c r="AN65" s="294"/>
      <c r="AO65" s="294"/>
      <c r="AS65" s="314"/>
    </row>
    <row r="66" spans="1:45" ht="13" x14ac:dyDescent="0.3">
      <c r="A66" s="27"/>
      <c r="B66" s="30"/>
      <c r="C66" s="30"/>
      <c r="D66" s="30"/>
      <c r="E66" s="30"/>
      <c r="H66" s="846"/>
      <c r="I66" s="275" t="s">
        <v>235</v>
      </c>
      <c r="J66" s="266">
        <f>F30</f>
        <v>1.0000000000000001E-5</v>
      </c>
      <c r="K66" s="266">
        <f>G30</f>
        <v>1.0000000000000001E-5</v>
      </c>
      <c r="L66" s="851"/>
      <c r="M66" s="275" t="s">
        <v>235</v>
      </c>
      <c r="N66" s="274">
        <f>F33</f>
        <v>1.0000000000000001E-5</v>
      </c>
      <c r="O66" s="274">
        <f>G33</f>
        <v>1.0000000000000001E-5</v>
      </c>
      <c r="S66" s="314"/>
      <c r="U66" s="846"/>
      <c r="V66" s="275" t="s">
        <v>235</v>
      </c>
      <c r="W66" s="266">
        <f>F19</f>
        <v>1.0000000000000001E-5</v>
      </c>
      <c r="X66" s="266">
        <f>G19</f>
        <v>1.0000000000000001E-5</v>
      </c>
      <c r="Y66" s="851"/>
      <c r="Z66" s="275" t="s">
        <v>235</v>
      </c>
      <c r="AA66" s="274">
        <f>F22</f>
        <v>1.0000000000000001E-5</v>
      </c>
      <c r="AB66" s="274">
        <f>G22</f>
        <v>1.0000000000000001E-5</v>
      </c>
      <c r="AF66" s="314"/>
      <c r="AH66" s="846"/>
      <c r="AI66" s="275" t="s">
        <v>235</v>
      </c>
      <c r="AJ66" s="274">
        <f>F8</f>
        <v>1.0000000000000001E-5</v>
      </c>
      <c r="AK66" s="274">
        <f>G8</f>
        <v>1.0000000000000001E-5</v>
      </c>
      <c r="AL66" s="848"/>
      <c r="AM66" s="293" t="s">
        <v>235</v>
      </c>
      <c r="AN66" s="294"/>
      <c r="AO66" s="294"/>
      <c r="AS66" s="314"/>
    </row>
    <row r="67" spans="1:45" ht="13" x14ac:dyDescent="0.3">
      <c r="A67" s="27"/>
      <c r="B67" s="30"/>
      <c r="C67" s="30"/>
      <c r="D67" s="30"/>
      <c r="E67" s="30"/>
      <c r="H67" s="846"/>
      <c r="I67" s="275" t="s">
        <v>236</v>
      </c>
      <c r="J67" s="274">
        <f>H30</f>
        <v>1.0000000000000001E-5</v>
      </c>
      <c r="K67" s="274">
        <f>I30</f>
        <v>1.0000000000000001E-5</v>
      </c>
      <c r="L67" s="851"/>
      <c r="M67" s="275" t="s">
        <v>236</v>
      </c>
      <c r="N67" s="274">
        <f>H33</f>
        <v>1.0000000000000001E-5</v>
      </c>
      <c r="O67" s="274">
        <f>I33</f>
        <v>1.0000000000000001E-5</v>
      </c>
      <c r="S67" s="314"/>
      <c r="U67" s="846"/>
      <c r="V67" s="275" t="s">
        <v>236</v>
      </c>
      <c r="W67" s="274">
        <f>H19</f>
        <v>1.0000000000000001E-5</v>
      </c>
      <c r="X67" s="274">
        <f>I19</f>
        <v>1.0000000000000001E-5</v>
      </c>
      <c r="Y67" s="851"/>
      <c r="Z67" s="275" t="s">
        <v>236</v>
      </c>
      <c r="AA67" s="274">
        <f>H22</f>
        <v>1.0000000000000001E-5</v>
      </c>
      <c r="AB67" s="274">
        <f>I22</f>
        <v>1.0000000000000001E-5</v>
      </c>
      <c r="AF67" s="314"/>
      <c r="AH67" s="846"/>
      <c r="AI67" s="275" t="s">
        <v>236</v>
      </c>
      <c r="AJ67" s="274">
        <f>H8</f>
        <v>1.0000000000000001E-5</v>
      </c>
      <c r="AK67" s="274">
        <f>I8</f>
        <v>1.0000000000000001E-5</v>
      </c>
      <c r="AL67" s="848"/>
      <c r="AM67" s="293" t="s">
        <v>236</v>
      </c>
      <c r="AN67" s="294"/>
      <c r="AO67" s="294"/>
      <c r="AS67" s="314"/>
    </row>
    <row r="68" spans="1:45" ht="13" x14ac:dyDescent="0.3">
      <c r="A68" s="27"/>
      <c r="B68" s="30"/>
      <c r="C68" s="30"/>
      <c r="D68" s="30"/>
      <c r="E68" s="30"/>
      <c r="H68" s="846"/>
      <c r="I68" s="275" t="s">
        <v>237</v>
      </c>
      <c r="J68" s="266">
        <f>J30</f>
        <v>1.0000000000000001E-5</v>
      </c>
      <c r="K68" s="266">
        <f>K30</f>
        <v>1.0000000000000001E-5</v>
      </c>
      <c r="L68" s="851"/>
      <c r="M68" s="275" t="s">
        <v>237</v>
      </c>
      <c r="N68" s="274">
        <f>J33</f>
        <v>1.0000000000000001E-5</v>
      </c>
      <c r="O68" s="274">
        <f>K33</f>
        <v>1.0000000000000001E-5</v>
      </c>
      <c r="S68" s="314"/>
      <c r="U68" s="846"/>
      <c r="V68" s="275" t="s">
        <v>237</v>
      </c>
      <c r="W68" s="266">
        <f>J19</f>
        <v>1.0000000000000001E-5</v>
      </c>
      <c r="X68" s="266">
        <f>K19</f>
        <v>1.0000000000000001E-5</v>
      </c>
      <c r="Y68" s="851"/>
      <c r="Z68" s="275" t="s">
        <v>237</v>
      </c>
      <c r="AA68" s="274">
        <f>J22</f>
        <v>1.0000000000000001E-5</v>
      </c>
      <c r="AB68" s="274">
        <f>K22</f>
        <v>1.0000000000000001E-5</v>
      </c>
      <c r="AF68" s="314"/>
      <c r="AH68" s="846"/>
      <c r="AI68" s="275" t="s">
        <v>237</v>
      </c>
      <c r="AJ68" s="274">
        <f>J8</f>
        <v>1.0000000000000001E-5</v>
      </c>
      <c r="AK68" s="274">
        <f>K8</f>
        <v>1.0000000000000001E-5</v>
      </c>
      <c r="AL68" s="848"/>
      <c r="AM68" s="293" t="s">
        <v>237</v>
      </c>
      <c r="AN68" s="294"/>
      <c r="AO68" s="294"/>
      <c r="AS68" s="314"/>
    </row>
    <row r="69" spans="1:45" ht="13" x14ac:dyDescent="0.3">
      <c r="A69" s="27"/>
      <c r="B69" s="30"/>
      <c r="C69" s="30"/>
      <c r="D69" s="30"/>
      <c r="E69" s="30"/>
      <c r="H69" s="846"/>
      <c r="I69" s="275" t="s">
        <v>238</v>
      </c>
      <c r="J69" s="266">
        <f>L30</f>
        <v>1.0000000000000001E-5</v>
      </c>
      <c r="K69" s="266">
        <f>M30</f>
        <v>1.0000000000000001E-5</v>
      </c>
      <c r="L69" s="851"/>
      <c r="M69" s="275" t="s">
        <v>238</v>
      </c>
      <c r="N69" s="274">
        <f>L33</f>
        <v>1.0000000000000001E-5</v>
      </c>
      <c r="O69" s="274">
        <f>M33</f>
        <v>1.0000000000000001E-5</v>
      </c>
      <c r="S69" s="314"/>
      <c r="U69" s="846"/>
      <c r="V69" s="275" t="s">
        <v>238</v>
      </c>
      <c r="W69" s="266">
        <f>L19</f>
        <v>1.0000000000000001E-5</v>
      </c>
      <c r="X69" s="266">
        <f>M19</f>
        <v>1.0000000000000001E-5</v>
      </c>
      <c r="Y69" s="851"/>
      <c r="Z69" s="275" t="s">
        <v>238</v>
      </c>
      <c r="AA69" s="274">
        <f>L22</f>
        <v>1.0000000000000001E-5</v>
      </c>
      <c r="AB69" s="274">
        <f>M22</f>
        <v>1.0000000000000001E-5</v>
      </c>
      <c r="AF69" s="314"/>
      <c r="AH69" s="846"/>
      <c r="AI69" s="275" t="s">
        <v>238</v>
      </c>
      <c r="AJ69" s="274">
        <f>L8</f>
        <v>1.0000000000000001E-5</v>
      </c>
      <c r="AK69" s="274">
        <f>M8</f>
        <v>1.0000000000000001E-5</v>
      </c>
      <c r="AL69" s="848"/>
      <c r="AM69" s="293" t="s">
        <v>238</v>
      </c>
      <c r="AN69" s="294"/>
      <c r="AO69" s="294"/>
      <c r="AS69" s="314"/>
    </row>
    <row r="70" spans="1:45" ht="13" x14ac:dyDescent="0.3">
      <c r="A70" s="27"/>
      <c r="B70" s="30"/>
      <c r="C70" s="30"/>
      <c r="D70" s="30"/>
      <c r="E70" s="30"/>
      <c r="H70" s="846"/>
      <c r="I70" s="293" t="s">
        <v>245</v>
      </c>
      <c r="J70" s="294"/>
      <c r="K70" s="294"/>
      <c r="L70" s="851"/>
      <c r="M70" s="293" t="s">
        <v>245</v>
      </c>
      <c r="N70" s="294"/>
      <c r="O70" s="296"/>
      <c r="S70" s="314"/>
      <c r="U70" s="846"/>
      <c r="V70" s="293" t="s">
        <v>245</v>
      </c>
      <c r="W70" s="294"/>
      <c r="X70" s="294"/>
      <c r="Y70" s="851"/>
      <c r="Z70" s="293" t="s">
        <v>245</v>
      </c>
      <c r="AA70" s="294"/>
      <c r="AB70" s="296"/>
      <c r="AF70" s="314"/>
      <c r="AH70" s="846"/>
      <c r="AI70" s="293" t="s">
        <v>245</v>
      </c>
      <c r="AJ70" s="294"/>
      <c r="AK70" s="294"/>
      <c r="AL70" s="848"/>
      <c r="AM70" s="293" t="s">
        <v>245</v>
      </c>
      <c r="AN70" s="294"/>
      <c r="AO70" s="296"/>
      <c r="AS70" s="314"/>
    </row>
    <row r="71" spans="1:45" ht="13" x14ac:dyDescent="0.3">
      <c r="A71" s="27"/>
      <c r="B71" s="30"/>
      <c r="C71" s="30"/>
      <c r="D71" s="30"/>
      <c r="E71" s="30"/>
      <c r="H71" s="846"/>
      <c r="I71" s="293" t="s">
        <v>246</v>
      </c>
      <c r="J71" s="295"/>
      <c r="K71" s="295"/>
      <c r="L71" s="851"/>
      <c r="M71" s="293" t="s">
        <v>246</v>
      </c>
      <c r="N71" s="295"/>
      <c r="O71" s="295"/>
      <c r="S71" s="314"/>
      <c r="U71" s="846"/>
      <c r="V71" s="293" t="s">
        <v>246</v>
      </c>
      <c r="W71" s="295"/>
      <c r="X71" s="295"/>
      <c r="Y71" s="851"/>
      <c r="Z71" s="293" t="s">
        <v>246</v>
      </c>
      <c r="AA71" s="295"/>
      <c r="AB71" s="295"/>
      <c r="AF71" s="314"/>
      <c r="AH71" s="846"/>
      <c r="AI71" s="293" t="s">
        <v>246</v>
      </c>
      <c r="AJ71" s="295"/>
      <c r="AK71" s="295"/>
      <c r="AL71" s="848"/>
      <c r="AM71" s="293" t="s">
        <v>246</v>
      </c>
      <c r="AN71" s="295"/>
      <c r="AO71" s="295"/>
      <c r="AS71" s="314"/>
    </row>
    <row r="72" spans="1:45" ht="13" x14ac:dyDescent="0.3">
      <c r="A72" s="27"/>
      <c r="B72" s="30"/>
      <c r="C72" s="30"/>
      <c r="D72" s="30"/>
      <c r="E72" s="30"/>
      <c r="H72" s="846"/>
      <c r="I72" s="293" t="s">
        <v>62</v>
      </c>
      <c r="J72" s="295"/>
      <c r="K72" s="295"/>
      <c r="L72" s="851"/>
      <c r="M72" s="293" t="s">
        <v>62</v>
      </c>
      <c r="N72" s="295"/>
      <c r="O72" s="295"/>
      <c r="S72" s="314"/>
      <c r="U72" s="846"/>
      <c r="V72" s="293" t="s">
        <v>62</v>
      </c>
      <c r="W72" s="295"/>
      <c r="X72" s="295"/>
      <c r="Y72" s="851"/>
      <c r="Z72" s="293" t="s">
        <v>62</v>
      </c>
      <c r="AA72" s="295"/>
      <c r="AB72" s="295"/>
      <c r="AF72" s="314"/>
      <c r="AH72" s="846"/>
      <c r="AI72" s="293" t="s">
        <v>62</v>
      </c>
      <c r="AJ72" s="295"/>
      <c r="AK72" s="295"/>
      <c r="AL72" s="848"/>
      <c r="AM72" s="293" t="s">
        <v>62</v>
      </c>
      <c r="AN72" s="295"/>
      <c r="AO72" s="295"/>
      <c r="AS72" s="314"/>
    </row>
    <row r="73" spans="1:45" ht="13" x14ac:dyDescent="0.3">
      <c r="A73" s="27"/>
      <c r="B73" s="30"/>
      <c r="C73" s="30"/>
      <c r="D73" s="30"/>
      <c r="E73" s="30"/>
      <c r="H73" s="846"/>
      <c r="I73" s="293" t="s">
        <v>248</v>
      </c>
      <c r="J73" s="295"/>
      <c r="K73" s="295"/>
      <c r="L73" s="851"/>
      <c r="M73" s="293" t="s">
        <v>248</v>
      </c>
      <c r="N73" s="295"/>
      <c r="O73" s="295"/>
      <c r="S73" s="314"/>
      <c r="U73" s="846"/>
      <c r="V73" s="293" t="s">
        <v>248</v>
      </c>
      <c r="W73" s="295"/>
      <c r="X73" s="295"/>
      <c r="Y73" s="851"/>
      <c r="Z73" s="293" t="s">
        <v>248</v>
      </c>
      <c r="AA73" s="295"/>
      <c r="AB73" s="295"/>
      <c r="AF73" s="314"/>
      <c r="AH73" s="846"/>
      <c r="AI73" s="293" t="s">
        <v>248</v>
      </c>
      <c r="AJ73" s="295"/>
      <c r="AK73" s="295"/>
      <c r="AL73" s="848"/>
      <c r="AM73" s="293" t="s">
        <v>248</v>
      </c>
      <c r="AN73" s="295"/>
      <c r="AO73" s="295"/>
      <c r="AS73" s="314"/>
    </row>
    <row r="74" spans="1:45" ht="13" x14ac:dyDescent="0.3">
      <c r="A74" s="27"/>
      <c r="B74" s="30"/>
      <c r="C74" s="30"/>
      <c r="D74" s="30"/>
      <c r="E74" s="30"/>
      <c r="H74" s="846"/>
      <c r="I74" s="293" t="s">
        <v>187</v>
      </c>
      <c r="J74" s="295"/>
      <c r="K74" s="295"/>
      <c r="L74" s="851"/>
      <c r="M74" s="293" t="s">
        <v>187</v>
      </c>
      <c r="N74" s="295"/>
      <c r="O74" s="295"/>
      <c r="S74" s="314"/>
      <c r="U74" s="846"/>
      <c r="V74" s="293" t="s">
        <v>187</v>
      </c>
      <c r="W74" s="295"/>
      <c r="X74" s="295"/>
      <c r="Y74" s="851"/>
      <c r="Z74" s="293" t="s">
        <v>187</v>
      </c>
      <c r="AA74" s="295"/>
      <c r="AB74" s="295"/>
      <c r="AF74" s="314"/>
      <c r="AH74" s="846"/>
      <c r="AI74" s="293" t="s">
        <v>187</v>
      </c>
      <c r="AJ74" s="295"/>
      <c r="AK74" s="295"/>
      <c r="AL74" s="848"/>
      <c r="AM74" s="293" t="s">
        <v>187</v>
      </c>
      <c r="AN74" s="295"/>
      <c r="AO74" s="295"/>
      <c r="AS74" s="314"/>
    </row>
    <row r="75" spans="1:45" ht="13" x14ac:dyDescent="0.3">
      <c r="A75" s="27"/>
      <c r="B75" s="30"/>
      <c r="C75" s="30"/>
      <c r="D75" s="30"/>
      <c r="E75" s="30"/>
      <c r="H75" s="846"/>
      <c r="I75" s="293" t="s">
        <v>253</v>
      </c>
      <c r="J75" s="295"/>
      <c r="K75" s="295"/>
      <c r="L75" s="851"/>
      <c r="M75" s="293" t="s">
        <v>253</v>
      </c>
      <c r="N75" s="295"/>
      <c r="O75" s="295"/>
      <c r="S75" s="314"/>
      <c r="U75" s="846"/>
      <c r="V75" s="293" t="s">
        <v>253</v>
      </c>
      <c r="W75" s="295"/>
      <c r="X75" s="295"/>
      <c r="Y75" s="851"/>
      <c r="Z75" s="293" t="s">
        <v>253</v>
      </c>
      <c r="AA75" s="295"/>
      <c r="AB75" s="295"/>
      <c r="AF75" s="314"/>
      <c r="AH75" s="846"/>
      <c r="AI75" s="293" t="s">
        <v>253</v>
      </c>
      <c r="AJ75" s="295"/>
      <c r="AK75" s="295"/>
      <c r="AL75" s="848"/>
      <c r="AM75" s="293" t="s">
        <v>253</v>
      </c>
      <c r="AN75" s="295"/>
      <c r="AO75" s="295"/>
      <c r="AS75" s="314"/>
    </row>
    <row r="76" spans="1:45" ht="13.5" thickBot="1" x14ac:dyDescent="0.35">
      <c r="A76" s="27"/>
      <c r="B76" s="30"/>
      <c r="C76" s="30"/>
      <c r="D76" s="30"/>
      <c r="E76" s="30"/>
      <c r="H76" s="847"/>
      <c r="I76" s="315" t="s">
        <v>254</v>
      </c>
      <c r="J76" s="316"/>
      <c r="K76" s="316"/>
      <c r="L76" s="861"/>
      <c r="M76" s="315" t="s">
        <v>254</v>
      </c>
      <c r="N76" s="316"/>
      <c r="O76" s="316"/>
      <c r="P76" s="317"/>
      <c r="Q76" s="317"/>
      <c r="R76" s="317"/>
      <c r="S76" s="318"/>
      <c r="U76" s="847"/>
      <c r="V76" s="315" t="s">
        <v>254</v>
      </c>
      <c r="W76" s="316"/>
      <c r="X76" s="316"/>
      <c r="Y76" s="861"/>
      <c r="Z76" s="315" t="s">
        <v>254</v>
      </c>
      <c r="AA76" s="316"/>
      <c r="AB76" s="316"/>
      <c r="AC76" s="317"/>
      <c r="AD76" s="317"/>
      <c r="AE76" s="317"/>
      <c r="AF76" s="318"/>
      <c r="AH76" s="847"/>
      <c r="AI76" s="315" t="s">
        <v>254</v>
      </c>
      <c r="AJ76" s="316"/>
      <c r="AK76" s="316"/>
      <c r="AL76" s="849"/>
      <c r="AM76" s="315" t="s">
        <v>254</v>
      </c>
      <c r="AN76" s="316"/>
      <c r="AO76" s="316"/>
      <c r="AP76" s="317"/>
      <c r="AQ76" s="317"/>
      <c r="AR76" s="317"/>
      <c r="AS76" s="318"/>
    </row>
    <row r="77" spans="1:45" ht="13" x14ac:dyDescent="0.3">
      <c r="A77" s="27"/>
      <c r="B77" s="25"/>
      <c r="C77" s="25"/>
      <c r="D77" s="25"/>
      <c r="E77" s="25"/>
    </row>
    <row r="79" spans="1:45" x14ac:dyDescent="0.25">
      <c r="A79" s="18"/>
      <c r="B79" s="71"/>
      <c r="C79" s="71"/>
      <c r="D79" s="72"/>
      <c r="E79" s="72"/>
    </row>
    <row r="80" spans="1:45" ht="13" x14ac:dyDescent="0.25">
      <c r="A80" s="27"/>
      <c r="B80" s="29"/>
      <c r="C80" s="29"/>
      <c r="D80" s="29"/>
      <c r="E80" s="29"/>
    </row>
    <row r="81" spans="1:9" ht="30.65" customHeight="1" x14ac:dyDescent="0.25">
      <c r="A81" s="27"/>
      <c r="B81" s="860" t="str">
        <f>ID!B46:F46</f>
        <v>CRI Illuminance Meter, Merek : KONICA MINOLTA , Model : CL - 70F, SN: JT70 - 002458</v>
      </c>
      <c r="C81" s="860"/>
      <c r="D81" s="860"/>
      <c r="E81" s="860"/>
      <c r="F81" s="860"/>
      <c r="G81" s="860"/>
      <c r="H81" s="860"/>
      <c r="I81" s="281" t="str">
        <f>VLOOKUP(B81,B82:I94,8,FALSE)</f>
        <v>E</v>
      </c>
    </row>
    <row r="82" spans="1:9" ht="31.5" customHeight="1" x14ac:dyDescent="0.3">
      <c r="B82" s="299" t="s">
        <v>165</v>
      </c>
      <c r="C82" s="300"/>
      <c r="D82" s="300"/>
      <c r="E82" s="300"/>
      <c r="F82" s="300"/>
      <c r="G82" s="300"/>
      <c r="H82" s="301"/>
      <c r="I82" s="282" t="s">
        <v>233</v>
      </c>
    </row>
    <row r="83" spans="1:9" ht="30" customHeight="1" x14ac:dyDescent="0.3">
      <c r="B83" s="299" t="s">
        <v>169</v>
      </c>
      <c r="C83" s="300"/>
      <c r="D83" s="300"/>
      <c r="E83" s="300"/>
      <c r="F83" s="300"/>
      <c r="G83" s="300"/>
      <c r="H83" s="301"/>
      <c r="I83" s="282" t="s">
        <v>234</v>
      </c>
    </row>
    <row r="84" spans="1:9" ht="33.65" customHeight="1" x14ac:dyDescent="0.3">
      <c r="B84" s="299" t="s">
        <v>170</v>
      </c>
      <c r="C84" s="300"/>
      <c r="D84" s="300"/>
      <c r="E84" s="300"/>
      <c r="F84" s="300"/>
      <c r="G84" s="300"/>
      <c r="H84" s="301"/>
      <c r="I84" s="282" t="s">
        <v>235</v>
      </c>
    </row>
    <row r="85" spans="1:9" ht="29.5" customHeight="1" x14ac:dyDescent="0.3">
      <c r="B85" s="299" t="s">
        <v>171</v>
      </c>
      <c r="C85" s="300"/>
      <c r="D85" s="300"/>
      <c r="E85" s="300"/>
      <c r="F85" s="300"/>
      <c r="G85" s="300"/>
      <c r="H85" s="301"/>
      <c r="I85" s="282" t="s">
        <v>236</v>
      </c>
    </row>
    <row r="86" spans="1:9" ht="28" customHeight="1" x14ac:dyDescent="0.3">
      <c r="B86" s="302" t="s">
        <v>130</v>
      </c>
      <c r="C86" s="302"/>
      <c r="D86" s="302"/>
      <c r="E86" s="302"/>
      <c r="F86" s="302"/>
      <c r="G86" s="302"/>
      <c r="H86" s="302"/>
      <c r="I86" s="282" t="s">
        <v>237</v>
      </c>
    </row>
    <row r="87" spans="1:9" ht="29.5" customHeight="1" x14ac:dyDescent="0.3">
      <c r="B87" s="302" t="s">
        <v>172</v>
      </c>
      <c r="C87" s="302"/>
      <c r="D87" s="302"/>
      <c r="E87" s="302"/>
      <c r="F87" s="302"/>
      <c r="G87" s="302"/>
      <c r="H87" s="302"/>
      <c r="I87" s="282" t="s">
        <v>238</v>
      </c>
    </row>
    <row r="88" spans="1:9" ht="30" customHeight="1" x14ac:dyDescent="0.3">
      <c r="B88" s="303"/>
      <c r="C88" s="303"/>
      <c r="D88" s="303"/>
      <c r="E88" s="303"/>
      <c r="F88" s="303"/>
      <c r="G88" s="303"/>
      <c r="H88" s="303"/>
      <c r="I88" s="282" t="s">
        <v>245</v>
      </c>
    </row>
    <row r="89" spans="1:9" ht="34.5" customHeight="1" x14ac:dyDescent="0.25">
      <c r="A89" s="27"/>
      <c r="B89" s="295"/>
      <c r="C89" s="295"/>
      <c r="D89" s="295"/>
      <c r="E89" s="295"/>
      <c r="F89" s="295"/>
      <c r="G89" s="295"/>
      <c r="H89" s="295"/>
      <c r="I89" s="282" t="s">
        <v>246</v>
      </c>
    </row>
    <row r="90" spans="1:9" ht="27.65" customHeight="1" x14ac:dyDescent="0.25">
      <c r="A90" s="27"/>
      <c r="B90" s="295"/>
      <c r="C90" s="295"/>
      <c r="D90" s="295"/>
      <c r="E90" s="295"/>
      <c r="F90" s="295"/>
      <c r="G90" s="295"/>
      <c r="H90" s="295"/>
      <c r="I90" s="282" t="s">
        <v>62</v>
      </c>
    </row>
    <row r="91" spans="1:9" ht="26.15" customHeight="1" x14ac:dyDescent="0.25">
      <c r="A91" s="27"/>
      <c r="B91" s="295"/>
      <c r="C91" s="295"/>
      <c r="D91" s="295"/>
      <c r="E91" s="295"/>
      <c r="F91" s="295"/>
      <c r="G91" s="295"/>
      <c r="H91" s="295"/>
      <c r="I91" s="282" t="s">
        <v>248</v>
      </c>
    </row>
    <row r="92" spans="1:9" ht="32.15" customHeight="1" x14ac:dyDescent="0.25">
      <c r="A92" s="27"/>
      <c r="B92" s="295"/>
      <c r="C92" s="295"/>
      <c r="D92" s="295"/>
      <c r="E92" s="295"/>
      <c r="F92" s="295"/>
      <c r="G92" s="295"/>
      <c r="H92" s="295"/>
      <c r="I92" s="282" t="s">
        <v>187</v>
      </c>
    </row>
    <row r="93" spans="1:9" ht="37" customHeight="1" x14ac:dyDescent="0.25">
      <c r="B93" s="295"/>
      <c r="C93" s="295"/>
      <c r="D93" s="295"/>
      <c r="E93" s="295"/>
      <c r="F93" s="295"/>
      <c r="G93" s="295"/>
      <c r="H93" s="295"/>
      <c r="I93" s="282" t="s">
        <v>253</v>
      </c>
    </row>
    <row r="94" spans="1:9" ht="34.5" customHeight="1" x14ac:dyDescent="0.25">
      <c r="A94" s="18"/>
      <c r="B94" s="295"/>
      <c r="C94" s="295"/>
      <c r="D94" s="295"/>
      <c r="E94" s="295"/>
      <c r="F94" s="295"/>
      <c r="G94" s="295"/>
      <c r="H94" s="295"/>
      <c r="I94" s="282" t="s">
        <v>254</v>
      </c>
    </row>
    <row r="95" spans="1:9" ht="13" x14ac:dyDescent="0.25">
      <c r="A95" s="27"/>
      <c r="B95" s="29"/>
      <c r="C95" s="29"/>
      <c r="D95" s="29"/>
      <c r="E95" s="29"/>
    </row>
    <row r="96" spans="1:9" ht="13" x14ac:dyDescent="0.25">
      <c r="A96" s="27"/>
      <c r="B96" s="29"/>
      <c r="C96" s="29"/>
      <c r="D96" s="29"/>
      <c r="E96" s="29"/>
    </row>
    <row r="97" spans="1:5" ht="13" x14ac:dyDescent="0.25">
      <c r="A97" s="27"/>
      <c r="B97" s="29"/>
      <c r="C97" s="29"/>
      <c r="D97" s="29"/>
      <c r="E97" s="29"/>
    </row>
    <row r="98" spans="1:5" ht="13" x14ac:dyDescent="0.25">
      <c r="A98" s="27"/>
      <c r="B98" s="29"/>
      <c r="C98" s="29"/>
      <c r="D98" s="29"/>
      <c r="E98" s="29"/>
    </row>
    <row r="99" spans="1:5" ht="13" x14ac:dyDescent="0.25">
      <c r="A99" s="27"/>
      <c r="B99" s="29"/>
      <c r="C99" s="29"/>
      <c r="D99" s="29"/>
      <c r="E99" s="29"/>
    </row>
    <row r="100" spans="1:5" ht="13" x14ac:dyDescent="0.25">
      <c r="A100" s="27"/>
      <c r="B100" s="29"/>
      <c r="C100" s="29"/>
      <c r="D100" s="29"/>
      <c r="E100" s="29"/>
    </row>
    <row r="101" spans="1:5" ht="13" x14ac:dyDescent="0.25">
      <c r="A101" s="27"/>
      <c r="B101" s="29"/>
      <c r="C101" s="29"/>
      <c r="D101" s="29"/>
      <c r="E101" s="29"/>
    </row>
    <row r="102" spans="1:5" ht="13" x14ac:dyDescent="0.25">
      <c r="A102" s="27"/>
      <c r="B102" s="29"/>
      <c r="C102" s="29"/>
      <c r="D102" s="29"/>
      <c r="E102" s="29"/>
    </row>
    <row r="103" spans="1:5" ht="13" x14ac:dyDescent="0.25">
      <c r="A103" s="27"/>
      <c r="B103" s="29"/>
      <c r="C103" s="29"/>
      <c r="D103" s="29"/>
      <c r="E103" s="29"/>
    </row>
    <row r="104" spans="1:5" ht="13" x14ac:dyDescent="0.25">
      <c r="A104" s="27"/>
      <c r="B104" s="29"/>
      <c r="C104" s="29"/>
      <c r="D104" s="29"/>
      <c r="E104" s="29"/>
    </row>
    <row r="105" spans="1:5" ht="13" x14ac:dyDescent="0.25">
      <c r="A105" s="27"/>
      <c r="B105" s="29"/>
      <c r="C105" s="29"/>
      <c r="D105" s="29"/>
      <c r="E105" s="29"/>
    </row>
    <row r="106" spans="1:5" ht="13" x14ac:dyDescent="0.25">
      <c r="A106" s="27"/>
      <c r="B106" s="29"/>
      <c r="C106" s="29"/>
      <c r="D106" s="29"/>
      <c r="E106" s="29"/>
    </row>
    <row r="107" spans="1:5" ht="13" x14ac:dyDescent="0.25">
      <c r="A107" s="27"/>
      <c r="B107" s="23"/>
      <c r="C107" s="23"/>
      <c r="D107" s="23"/>
      <c r="E107" s="23"/>
    </row>
    <row r="109" spans="1:5" x14ac:dyDescent="0.25">
      <c r="A109" s="18"/>
      <c r="B109" s="71"/>
      <c r="C109" s="71"/>
      <c r="D109" s="72"/>
      <c r="E109" s="72"/>
    </row>
    <row r="110" spans="1:5" ht="13" x14ac:dyDescent="0.25">
      <c r="A110" s="27"/>
      <c r="B110" s="29"/>
      <c r="C110" s="29"/>
      <c r="D110" s="29"/>
      <c r="E110" s="29"/>
    </row>
    <row r="111" spans="1:5" ht="13" x14ac:dyDescent="0.25">
      <c r="A111" s="27"/>
      <c r="B111" s="29"/>
      <c r="C111" s="29"/>
      <c r="D111" s="29"/>
      <c r="E111" s="29"/>
    </row>
    <row r="112" spans="1:5" ht="13" x14ac:dyDescent="0.25">
      <c r="A112" s="27"/>
      <c r="B112" s="29"/>
      <c r="C112" s="29"/>
      <c r="D112" s="29"/>
      <c r="E112" s="29"/>
    </row>
    <row r="113" spans="1:5" ht="13" x14ac:dyDescent="0.25">
      <c r="A113" s="27"/>
      <c r="B113" s="29"/>
      <c r="C113" s="29"/>
      <c r="D113" s="29"/>
      <c r="E113" s="29"/>
    </row>
    <row r="114" spans="1:5" ht="13" x14ac:dyDescent="0.25">
      <c r="A114" s="27"/>
      <c r="B114" s="29"/>
      <c r="C114" s="29"/>
      <c r="D114" s="29"/>
      <c r="E114" s="29"/>
    </row>
    <row r="115" spans="1:5" ht="13" x14ac:dyDescent="0.25">
      <c r="A115" s="27"/>
      <c r="B115" s="29"/>
      <c r="C115" s="29"/>
      <c r="D115" s="29"/>
      <c r="E115" s="29"/>
    </row>
    <row r="116" spans="1:5" ht="13" x14ac:dyDescent="0.25">
      <c r="A116" s="27"/>
      <c r="B116" s="29"/>
      <c r="C116" s="29"/>
      <c r="D116" s="29"/>
      <c r="E116" s="29"/>
    </row>
    <row r="117" spans="1:5" ht="13" x14ac:dyDescent="0.25">
      <c r="A117" s="27"/>
      <c r="B117" s="29"/>
      <c r="C117" s="29"/>
      <c r="D117" s="29"/>
      <c r="E117" s="29"/>
    </row>
    <row r="118" spans="1:5" ht="13" x14ac:dyDescent="0.25">
      <c r="A118" s="27"/>
      <c r="B118" s="29"/>
      <c r="C118" s="29"/>
      <c r="D118" s="29"/>
      <c r="E118" s="29"/>
    </row>
    <row r="119" spans="1:5" ht="13" x14ac:dyDescent="0.25">
      <c r="A119" s="27"/>
      <c r="B119" s="29"/>
      <c r="C119" s="29"/>
      <c r="D119" s="29"/>
      <c r="E119" s="29"/>
    </row>
    <row r="120" spans="1:5" ht="13" x14ac:dyDescent="0.25">
      <c r="A120" s="27"/>
      <c r="B120" s="29"/>
      <c r="C120" s="29"/>
      <c r="D120" s="29"/>
      <c r="E120" s="29"/>
    </row>
    <row r="121" spans="1:5" ht="13" x14ac:dyDescent="0.25">
      <c r="A121" s="27"/>
      <c r="B121" s="29"/>
      <c r="C121" s="29"/>
      <c r="D121" s="29"/>
      <c r="E121" s="29"/>
    </row>
    <row r="122" spans="1:5" ht="13" x14ac:dyDescent="0.25">
      <c r="A122" s="27"/>
      <c r="B122" s="23"/>
      <c r="C122" s="23"/>
      <c r="D122" s="23"/>
      <c r="E122" s="23"/>
    </row>
  </sheetData>
  <mergeCells count="69">
    <mergeCell ref="J26:K26"/>
    <mergeCell ref="L26:M26"/>
    <mergeCell ref="Y25:AB25"/>
    <mergeCell ref="A25:A27"/>
    <mergeCell ref="A14:A16"/>
    <mergeCell ref="B14:C14"/>
    <mergeCell ref="D14:E14"/>
    <mergeCell ref="F14:G14"/>
    <mergeCell ref="H14:I14"/>
    <mergeCell ref="J14:K14"/>
    <mergeCell ref="L14:M14"/>
    <mergeCell ref="B15:C15"/>
    <mergeCell ref="D15:E15"/>
    <mergeCell ref="F15:G15"/>
    <mergeCell ref="H15:I15"/>
    <mergeCell ref="J15:K15"/>
    <mergeCell ref="B26:C26"/>
    <mergeCell ref="N25:O25"/>
    <mergeCell ref="H64:H76"/>
    <mergeCell ref="L64:L76"/>
    <mergeCell ref="D26:E26"/>
    <mergeCell ref="F26:G26"/>
    <mergeCell ref="H26:I26"/>
    <mergeCell ref="H38:H50"/>
    <mergeCell ref="L38:L50"/>
    <mergeCell ref="H51:H63"/>
    <mergeCell ref="L51:L63"/>
    <mergeCell ref="B25:C25"/>
    <mergeCell ref="D25:E25"/>
    <mergeCell ref="F25:G25"/>
    <mergeCell ref="H25:I25"/>
    <mergeCell ref="J25:K25"/>
    <mergeCell ref="B81:H81"/>
    <mergeCell ref="U38:U50"/>
    <mergeCell ref="Y38:Y50"/>
    <mergeCell ref="AC38:AC50"/>
    <mergeCell ref="U51:U63"/>
    <mergeCell ref="Y51:Y63"/>
    <mergeCell ref="U64:U76"/>
    <mergeCell ref="Y64:Y76"/>
    <mergeCell ref="P38:P50"/>
    <mergeCell ref="J3:K3"/>
    <mergeCell ref="L3:M3"/>
    <mergeCell ref="X3:X4"/>
    <mergeCell ref="Y3:AB3"/>
    <mergeCell ref="B4:C4"/>
    <mergeCell ref="D4:E4"/>
    <mergeCell ref="F4:G4"/>
    <mergeCell ref="H4:I4"/>
    <mergeCell ref="J4:K4"/>
    <mergeCell ref="A3:A5"/>
    <mergeCell ref="B3:C3"/>
    <mergeCell ref="D3:E3"/>
    <mergeCell ref="F3:G3"/>
    <mergeCell ref="H3:I3"/>
    <mergeCell ref="AP38:AP50"/>
    <mergeCell ref="AH51:AH63"/>
    <mergeCell ref="AL51:AL63"/>
    <mergeCell ref="X14:X15"/>
    <mergeCell ref="Y14:AB14"/>
    <mergeCell ref="X25:X26"/>
    <mergeCell ref="AH64:AH76"/>
    <mergeCell ref="AL64:AL76"/>
    <mergeCell ref="L4:M4"/>
    <mergeCell ref="AH38:AH50"/>
    <mergeCell ref="AL38:AL50"/>
    <mergeCell ref="N26:O26"/>
    <mergeCell ref="L25:M25"/>
    <mergeCell ref="L15:M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99EC-B003-4D84-841F-3E0A7CE1F684}">
  <dimension ref="A1:AB311"/>
  <sheetViews>
    <sheetView view="pageBreakPreview" topLeftCell="A250" zoomScale="90" zoomScaleNormal="90" zoomScaleSheetLayoutView="90" workbookViewId="0">
      <selection activeCell="F158" sqref="F158"/>
    </sheetView>
  </sheetViews>
  <sheetFormatPr defaultColWidth="8.7265625" defaultRowHeight="12.5" x14ac:dyDescent="0.25"/>
  <cols>
    <col min="1" max="1" width="10.26953125" style="375" bestFit="1" customWidth="1"/>
    <col min="2" max="2" width="9.54296875" style="375" bestFit="1" customWidth="1"/>
    <col min="3" max="9" width="8.7265625" style="375"/>
    <col min="10" max="10" width="9.1796875" style="375" bestFit="1" customWidth="1"/>
    <col min="11" max="11" width="8.7265625" style="375"/>
    <col min="12" max="12" width="8.54296875" style="375" customWidth="1"/>
    <col min="13" max="13" width="12.26953125" style="375" customWidth="1"/>
    <col min="14" max="16384" width="8.7265625" style="375"/>
  </cols>
  <sheetData>
    <row r="1" spans="1:24" ht="18" x14ac:dyDescent="0.25">
      <c r="A1" s="915" t="s">
        <v>299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375" t="s">
        <v>300</v>
      </c>
    </row>
    <row r="2" spans="1:24" ht="14.5" x14ac:dyDescent="0.25">
      <c r="A2" s="908" t="s">
        <v>233</v>
      </c>
      <c r="B2" s="906" t="s">
        <v>301</v>
      </c>
      <c r="C2" s="906"/>
      <c r="D2" s="906"/>
      <c r="E2" s="906"/>
      <c r="F2" s="906"/>
      <c r="G2" s="906"/>
      <c r="H2" s="905" t="s">
        <v>234</v>
      </c>
      <c r="I2" s="906" t="s">
        <v>302</v>
      </c>
      <c r="J2" s="906"/>
      <c r="K2" s="906"/>
      <c r="L2" s="906"/>
      <c r="M2" s="906"/>
      <c r="N2" s="906"/>
      <c r="O2" s="905" t="s">
        <v>235</v>
      </c>
      <c r="P2" s="906" t="s">
        <v>303</v>
      </c>
      <c r="Q2" s="906"/>
      <c r="R2" s="906"/>
      <c r="S2" s="906"/>
      <c r="T2" s="906"/>
      <c r="U2" s="906"/>
    </row>
    <row r="3" spans="1:24" ht="14" x14ac:dyDescent="0.3">
      <c r="A3" s="908"/>
      <c r="B3" s="910" t="s">
        <v>304</v>
      </c>
      <c r="C3" s="910"/>
      <c r="D3" s="910"/>
      <c r="E3" s="910"/>
      <c r="F3" s="910"/>
      <c r="G3" s="910"/>
      <c r="H3" s="905"/>
      <c r="I3" s="910" t="s">
        <v>304</v>
      </c>
      <c r="J3" s="910"/>
      <c r="K3" s="910"/>
      <c r="L3" s="910"/>
      <c r="M3" s="910"/>
      <c r="N3" s="910"/>
      <c r="O3" s="905"/>
      <c r="P3" s="907" t="s">
        <v>304</v>
      </c>
      <c r="Q3" s="907"/>
      <c r="R3" s="907"/>
      <c r="S3" s="907"/>
      <c r="T3" s="907"/>
      <c r="U3" s="907"/>
    </row>
    <row r="4" spans="1:24" ht="13" x14ac:dyDescent="0.25">
      <c r="A4" s="908"/>
      <c r="B4" s="903" t="s">
        <v>305</v>
      </c>
      <c r="C4" s="903"/>
      <c r="D4" s="903"/>
      <c r="E4" s="903"/>
      <c r="F4" s="903" t="s">
        <v>306</v>
      </c>
      <c r="G4" s="903" t="s">
        <v>240</v>
      </c>
      <c r="H4" s="905"/>
      <c r="I4" s="903" t="str">
        <f>B4</f>
        <v>Setting VAC</v>
      </c>
      <c r="J4" s="903"/>
      <c r="K4" s="903"/>
      <c r="L4" s="903"/>
      <c r="M4" s="903" t="s">
        <v>306</v>
      </c>
      <c r="N4" s="903" t="s">
        <v>240</v>
      </c>
      <c r="O4" s="905"/>
      <c r="P4" s="903" t="str">
        <f>B4</f>
        <v>Setting VAC</v>
      </c>
      <c r="Q4" s="903"/>
      <c r="R4" s="903"/>
      <c r="S4" s="903"/>
      <c r="T4" s="903" t="s">
        <v>306</v>
      </c>
      <c r="U4" s="903" t="s">
        <v>240</v>
      </c>
    </row>
    <row r="5" spans="1:24" ht="14" x14ac:dyDescent="0.25">
      <c r="A5" s="908"/>
      <c r="B5" s="477" t="s">
        <v>307</v>
      </c>
      <c r="C5" s="476">
        <v>2022</v>
      </c>
      <c r="D5" s="476">
        <v>2020</v>
      </c>
      <c r="E5" s="476">
        <v>2019</v>
      </c>
      <c r="F5" s="903"/>
      <c r="G5" s="903"/>
      <c r="H5" s="905"/>
      <c r="I5" s="477" t="s">
        <v>307</v>
      </c>
      <c r="J5" s="476">
        <v>2022</v>
      </c>
      <c r="K5" s="476">
        <v>2019</v>
      </c>
      <c r="L5" s="479">
        <v>2017</v>
      </c>
      <c r="M5" s="903"/>
      <c r="N5" s="903"/>
      <c r="O5" s="905"/>
      <c r="P5" s="477" t="s">
        <v>307</v>
      </c>
      <c r="Q5" s="476">
        <v>2022</v>
      </c>
      <c r="R5" s="476">
        <v>2021</v>
      </c>
      <c r="S5" s="476">
        <v>2018</v>
      </c>
      <c r="T5" s="903"/>
      <c r="U5" s="903"/>
      <c r="V5" s="497"/>
      <c r="W5" s="497"/>
      <c r="X5" s="406"/>
    </row>
    <row r="6" spans="1:24" x14ac:dyDescent="0.25">
      <c r="A6" s="908"/>
      <c r="B6" s="467">
        <v>150</v>
      </c>
      <c r="C6" s="467">
        <v>0.35</v>
      </c>
      <c r="D6" s="467">
        <v>0.31</v>
      </c>
      <c r="E6" s="467">
        <v>0.76</v>
      </c>
      <c r="F6" s="475">
        <f t="shared" ref="F6:F11" si="0">0.5*(MAX(C6:E6)-MIN(C6:E6))</f>
        <v>0.22500000000000001</v>
      </c>
      <c r="G6" s="467">
        <f t="shared" ref="G6:G11" si="1">(1.2/100)*B6</f>
        <v>1.8</v>
      </c>
      <c r="H6" s="905"/>
      <c r="I6" s="467">
        <v>150</v>
      </c>
      <c r="J6" s="463">
        <v>0.22</v>
      </c>
      <c r="K6" s="474">
        <v>0.15</v>
      </c>
      <c r="L6" s="474">
        <v>0.23</v>
      </c>
      <c r="M6" s="475">
        <f t="shared" ref="M6:M11" si="2">0.5*(MAX(K6:L6)-MIN(K6:L6))</f>
        <v>4.0000000000000008E-2</v>
      </c>
      <c r="N6" s="467">
        <f>(1.2/100)*I6</f>
        <v>1.8</v>
      </c>
      <c r="O6" s="905"/>
      <c r="P6" s="467">
        <v>150</v>
      </c>
      <c r="Q6" s="474">
        <v>-1.43</v>
      </c>
      <c r="R6" s="474">
        <v>-1.6</v>
      </c>
      <c r="S6" s="474">
        <v>-7.0000000000000007E-2</v>
      </c>
      <c r="T6" s="475">
        <f t="shared" ref="T6:T11" si="3">0.5*(MAX(Q6:S6)-MIN(Q6:S6))</f>
        <v>0.76500000000000001</v>
      </c>
      <c r="U6" s="467">
        <f t="shared" ref="U6:U11" si="4">(1.2/100)*P6</f>
        <v>1.8</v>
      </c>
      <c r="V6" s="456"/>
      <c r="W6" s="496"/>
      <c r="X6" s="406"/>
    </row>
    <row r="7" spans="1:24" x14ac:dyDescent="0.25">
      <c r="A7" s="908"/>
      <c r="B7" s="467">
        <v>180</v>
      </c>
      <c r="C7" s="467">
        <v>-0.1</v>
      </c>
      <c r="D7" s="467">
        <v>0.1</v>
      </c>
      <c r="E7" s="467">
        <v>-0.03</v>
      </c>
      <c r="F7" s="475">
        <f t="shared" si="0"/>
        <v>0.1</v>
      </c>
      <c r="G7" s="467">
        <f t="shared" si="1"/>
        <v>2.16</v>
      </c>
      <c r="H7" s="905"/>
      <c r="I7" s="467">
        <v>180</v>
      </c>
      <c r="J7" s="463">
        <v>0.1</v>
      </c>
      <c r="K7" s="474">
        <v>0.12</v>
      </c>
      <c r="L7" s="474">
        <v>-0.06</v>
      </c>
      <c r="M7" s="475">
        <f t="shared" si="2"/>
        <v>0.09</v>
      </c>
      <c r="N7" s="467">
        <f>(1.2/100)*I7</f>
        <v>2.16</v>
      </c>
      <c r="O7" s="905"/>
      <c r="P7" s="467">
        <v>180</v>
      </c>
      <c r="Q7" s="474">
        <v>-1.81</v>
      </c>
      <c r="R7" s="474">
        <v>-1.9</v>
      </c>
      <c r="S7" s="474">
        <v>-0.13</v>
      </c>
      <c r="T7" s="475">
        <f t="shared" si="3"/>
        <v>0.88500000000000001</v>
      </c>
      <c r="U7" s="467">
        <f t="shared" si="4"/>
        <v>2.16</v>
      </c>
      <c r="V7" s="456"/>
      <c r="W7" s="496"/>
      <c r="X7" s="406"/>
    </row>
    <row r="8" spans="1:24" x14ac:dyDescent="0.25">
      <c r="A8" s="908"/>
      <c r="B8" s="467">
        <v>200</v>
      </c>
      <c r="C8" s="467">
        <v>-0.17</v>
      </c>
      <c r="D8" s="467">
        <v>-0.04</v>
      </c>
      <c r="E8" s="467">
        <v>-0.16</v>
      </c>
      <c r="F8" s="475">
        <f t="shared" si="0"/>
        <v>6.5000000000000002E-2</v>
      </c>
      <c r="G8" s="467">
        <f t="shared" si="1"/>
        <v>2.4</v>
      </c>
      <c r="H8" s="905"/>
      <c r="I8" s="467">
        <v>200</v>
      </c>
      <c r="J8" s="463">
        <v>0.09</v>
      </c>
      <c r="K8" s="474">
        <v>0.06</v>
      </c>
      <c r="L8" s="474">
        <v>-0.18</v>
      </c>
      <c r="M8" s="475">
        <f t="shared" si="2"/>
        <v>0.12</v>
      </c>
      <c r="N8" s="467">
        <f>(1.2/100)*I8</f>
        <v>2.4</v>
      </c>
      <c r="O8" s="905"/>
      <c r="P8" s="467">
        <v>200</v>
      </c>
      <c r="Q8" s="474">
        <v>-2.0499999999999998</v>
      </c>
      <c r="R8" s="474">
        <v>-2.14</v>
      </c>
      <c r="S8" s="474">
        <v>-0.26</v>
      </c>
      <c r="T8" s="475">
        <f t="shared" si="3"/>
        <v>0.94000000000000006</v>
      </c>
      <c r="U8" s="467">
        <f t="shared" si="4"/>
        <v>2.4</v>
      </c>
      <c r="V8" s="456"/>
      <c r="W8" s="496"/>
      <c r="X8" s="406"/>
    </row>
    <row r="9" spans="1:24" x14ac:dyDescent="0.25">
      <c r="A9" s="908"/>
      <c r="B9" s="467">
        <v>220</v>
      </c>
      <c r="C9" s="467">
        <v>-0.27</v>
      </c>
      <c r="D9" s="467">
        <v>-0.28000000000000003</v>
      </c>
      <c r="E9" s="467">
        <v>-0.18</v>
      </c>
      <c r="F9" s="475">
        <f t="shared" si="0"/>
        <v>5.0000000000000017E-2</v>
      </c>
      <c r="G9" s="467">
        <f t="shared" si="1"/>
        <v>2.64</v>
      </c>
      <c r="H9" s="905"/>
      <c r="I9" s="467">
        <v>220</v>
      </c>
      <c r="J9" s="463">
        <v>0.53</v>
      </c>
      <c r="K9" s="474">
        <v>0.05</v>
      </c>
      <c r="L9" s="474">
        <v>-0.03</v>
      </c>
      <c r="M9" s="475">
        <f t="shared" si="2"/>
        <v>0.04</v>
      </c>
      <c r="N9" s="467">
        <f>(1.2/100)*I9</f>
        <v>2.64</v>
      </c>
      <c r="O9" s="905"/>
      <c r="P9" s="467">
        <v>220</v>
      </c>
      <c r="Q9" s="474">
        <v>-2.29</v>
      </c>
      <c r="R9" s="474">
        <v>-3.44</v>
      </c>
      <c r="S9" s="474">
        <v>-0.28999999999999998</v>
      </c>
      <c r="T9" s="475">
        <f t="shared" si="3"/>
        <v>1.575</v>
      </c>
      <c r="U9" s="467">
        <f t="shared" si="4"/>
        <v>2.64</v>
      </c>
      <c r="V9" s="456"/>
      <c r="W9" s="496"/>
      <c r="X9" s="406"/>
    </row>
    <row r="10" spans="1:24" x14ac:dyDescent="0.25">
      <c r="A10" s="908"/>
      <c r="B10" s="467">
        <v>230</v>
      </c>
      <c r="C10" s="467">
        <v>0.64</v>
      </c>
      <c r="D10" s="467">
        <v>-0.2</v>
      </c>
      <c r="E10" s="467">
        <v>-0.26</v>
      </c>
      <c r="F10" s="475">
        <f t="shared" si="0"/>
        <v>0.45</v>
      </c>
      <c r="G10" s="467">
        <f t="shared" si="1"/>
        <v>2.7600000000000002</v>
      </c>
      <c r="H10" s="905"/>
      <c r="I10" s="467">
        <v>230</v>
      </c>
      <c r="J10" s="463">
        <v>1.08</v>
      </c>
      <c r="K10" s="467">
        <v>9.9999999999999995E-7</v>
      </c>
      <c r="L10" s="467">
        <v>0.05</v>
      </c>
      <c r="M10" s="475">
        <f t="shared" si="2"/>
        <v>2.4999500000000001E-2</v>
      </c>
      <c r="N10" s="467">
        <f>(1.2/100)*I10</f>
        <v>2.7600000000000002</v>
      </c>
      <c r="O10" s="905"/>
      <c r="P10" s="467">
        <v>230</v>
      </c>
      <c r="Q10" s="474">
        <v>-11.79</v>
      </c>
      <c r="R10" s="474">
        <v>-2.52</v>
      </c>
      <c r="S10" s="474">
        <v>-0.23</v>
      </c>
      <c r="T10" s="475">
        <f t="shared" si="3"/>
        <v>5.7799999999999994</v>
      </c>
      <c r="U10" s="467">
        <f t="shared" si="4"/>
        <v>2.7600000000000002</v>
      </c>
      <c r="V10" s="456"/>
      <c r="W10" s="496"/>
      <c r="X10" s="406"/>
    </row>
    <row r="11" spans="1:24" x14ac:dyDescent="0.25">
      <c r="A11" s="908"/>
      <c r="B11" s="467">
        <v>250</v>
      </c>
      <c r="C11" s="467">
        <v>-0.36</v>
      </c>
      <c r="D11" s="467">
        <v>-0.32</v>
      </c>
      <c r="E11" s="467">
        <v>9.9999999999999995E-7</v>
      </c>
      <c r="F11" s="475">
        <f t="shared" si="0"/>
        <v>0.18000049999999998</v>
      </c>
      <c r="G11" s="467">
        <f t="shared" si="1"/>
        <v>3</v>
      </c>
      <c r="H11" s="905"/>
      <c r="I11" s="467">
        <v>250</v>
      </c>
      <c r="J11" s="463">
        <v>-0.01</v>
      </c>
      <c r="K11" s="467">
        <v>9.9999999999999995E-7</v>
      </c>
      <c r="L11" s="467">
        <v>9.9999999999999995E-7</v>
      </c>
      <c r="M11" s="475">
        <f t="shared" si="2"/>
        <v>0</v>
      </c>
      <c r="N11" s="467">
        <v>2.76</v>
      </c>
      <c r="O11" s="905"/>
      <c r="P11" s="467">
        <v>250</v>
      </c>
      <c r="Q11" s="474">
        <v>9.9999999999999995E-7</v>
      </c>
      <c r="R11" s="474">
        <v>9.9999999999999995E-7</v>
      </c>
      <c r="S11" s="474">
        <v>9.9999999999999995E-7</v>
      </c>
      <c r="T11" s="475">
        <f t="shared" si="3"/>
        <v>0</v>
      </c>
      <c r="U11" s="467">
        <f t="shared" si="4"/>
        <v>3</v>
      </c>
      <c r="V11" s="456"/>
      <c r="W11" s="496"/>
      <c r="X11" s="406"/>
    </row>
    <row r="12" spans="1:24" ht="13" customHeight="1" x14ac:dyDescent="0.25">
      <c r="A12" s="908"/>
      <c r="B12" s="904" t="s">
        <v>308</v>
      </c>
      <c r="C12" s="904"/>
      <c r="D12" s="904"/>
      <c r="E12" s="904"/>
      <c r="F12" s="903" t="s">
        <v>306</v>
      </c>
      <c r="G12" s="913" t="s">
        <v>240</v>
      </c>
      <c r="H12" s="905"/>
      <c r="I12" s="904" t="str">
        <f>B12</f>
        <v>Current Leakage</v>
      </c>
      <c r="J12" s="904"/>
      <c r="K12" s="904"/>
      <c r="L12" s="904"/>
      <c r="M12" s="903" t="s">
        <v>306</v>
      </c>
      <c r="N12" s="903" t="s">
        <v>240</v>
      </c>
      <c r="O12" s="905"/>
      <c r="P12" s="904" t="str">
        <f>B12</f>
        <v>Current Leakage</v>
      </c>
      <c r="Q12" s="904"/>
      <c r="R12" s="904"/>
      <c r="S12" s="904"/>
      <c r="T12" s="903" t="s">
        <v>306</v>
      </c>
      <c r="U12" s="903" t="s">
        <v>240</v>
      </c>
      <c r="V12" s="406"/>
      <c r="W12" s="406"/>
      <c r="X12" s="406"/>
    </row>
    <row r="13" spans="1:24" ht="14" x14ac:dyDescent="0.25">
      <c r="A13" s="908"/>
      <c r="B13" s="477" t="s">
        <v>309</v>
      </c>
      <c r="C13" s="476">
        <f>C5</f>
        <v>2022</v>
      </c>
      <c r="D13" s="476">
        <f>D5</f>
        <v>2020</v>
      </c>
      <c r="E13" s="476">
        <f>E5</f>
        <v>2019</v>
      </c>
      <c r="F13" s="903"/>
      <c r="G13" s="914"/>
      <c r="H13" s="905"/>
      <c r="I13" s="477" t="s">
        <v>309</v>
      </c>
      <c r="J13" s="476">
        <f>J5</f>
        <v>2022</v>
      </c>
      <c r="K13" s="476">
        <f>K5</f>
        <v>2019</v>
      </c>
      <c r="L13" s="476">
        <f>L5</f>
        <v>2017</v>
      </c>
      <c r="M13" s="903"/>
      <c r="N13" s="903"/>
      <c r="O13" s="905"/>
      <c r="P13" s="477" t="s">
        <v>309</v>
      </c>
      <c r="Q13" s="476">
        <f>Q5</f>
        <v>2022</v>
      </c>
      <c r="R13" s="476">
        <f>R5</f>
        <v>2021</v>
      </c>
      <c r="S13" s="476">
        <f>S5</f>
        <v>2018</v>
      </c>
      <c r="T13" s="903"/>
      <c r="U13" s="903"/>
      <c r="V13" s="406"/>
      <c r="W13" s="406"/>
      <c r="X13" s="406"/>
    </row>
    <row r="14" spans="1:24" x14ac:dyDescent="0.25">
      <c r="A14" s="908"/>
      <c r="B14" s="467">
        <v>0</v>
      </c>
      <c r="C14" s="467">
        <v>0</v>
      </c>
      <c r="D14" s="467">
        <v>9.9999999999999995E-7</v>
      </c>
      <c r="E14" s="467">
        <v>9.9999999999999995E-7</v>
      </c>
      <c r="F14" s="475">
        <f t="shared" ref="F14:F19" si="5">0.5*(MAX(C14:E14)-MIN(C14:E14))</f>
        <v>4.9999999999999998E-7</v>
      </c>
      <c r="G14" s="467">
        <f t="shared" ref="G14:G19" si="6">(0.59/100)*B14</f>
        <v>0</v>
      </c>
      <c r="H14" s="905"/>
      <c r="I14" s="467">
        <v>0</v>
      </c>
      <c r="J14" s="463">
        <v>0</v>
      </c>
      <c r="K14" s="467">
        <v>9.9999999999999995E-7</v>
      </c>
      <c r="L14" s="467">
        <v>9.9999999999999995E-7</v>
      </c>
      <c r="M14" s="475">
        <f t="shared" ref="M14:M19" si="7">0.5*(MAX(K14:L14)-MIN(K14:L14))</f>
        <v>0</v>
      </c>
      <c r="N14" s="467">
        <f t="shared" ref="N14:N19" si="8">(0.59/100)*I14</f>
        <v>0</v>
      </c>
      <c r="O14" s="905"/>
      <c r="P14" s="467">
        <v>9.9999999999999995E-7</v>
      </c>
      <c r="Q14" s="467">
        <v>9.9999999999999995E-7</v>
      </c>
      <c r="R14" s="467">
        <v>9.9999999999999995E-7</v>
      </c>
      <c r="S14" s="467">
        <v>9.9999999999999995E-7</v>
      </c>
      <c r="T14" s="475">
        <f t="shared" ref="T14:T19" si="9">0.5*(MAX(Q14:S14)-MIN(Q14:S14))</f>
        <v>0</v>
      </c>
      <c r="U14" s="467">
        <f t="shared" ref="U14:U19" si="10">(0.59/100)*P14</f>
        <v>5.8999999999999999E-9</v>
      </c>
      <c r="V14" s="406"/>
      <c r="W14" s="406"/>
      <c r="X14" s="406"/>
    </row>
    <row r="15" spans="1:24" x14ac:dyDescent="0.25">
      <c r="A15" s="908"/>
      <c r="B15" s="467">
        <v>50</v>
      </c>
      <c r="C15" s="467">
        <v>4</v>
      </c>
      <c r="D15" s="467">
        <v>0.1</v>
      </c>
      <c r="E15" s="467">
        <v>-0.06</v>
      </c>
      <c r="F15" s="475">
        <f t="shared" si="5"/>
        <v>2.0299999999999998</v>
      </c>
      <c r="G15" s="467">
        <f t="shared" si="6"/>
        <v>0.29499999999999998</v>
      </c>
      <c r="H15" s="905"/>
      <c r="I15" s="467">
        <v>50</v>
      </c>
      <c r="J15" s="463">
        <v>1</v>
      </c>
      <c r="K15" s="474">
        <v>-0.08</v>
      </c>
      <c r="L15" s="474">
        <v>0.1</v>
      </c>
      <c r="M15" s="475">
        <f t="shared" si="7"/>
        <v>0.09</v>
      </c>
      <c r="N15" s="467">
        <f t="shared" si="8"/>
        <v>0.29499999999999998</v>
      </c>
      <c r="O15" s="905"/>
      <c r="P15" s="467">
        <v>50</v>
      </c>
      <c r="Q15" s="474">
        <v>9.1</v>
      </c>
      <c r="R15" s="474">
        <v>-0.62</v>
      </c>
      <c r="S15" s="474">
        <v>2</v>
      </c>
      <c r="T15" s="475">
        <f t="shared" si="9"/>
        <v>4.8599999999999994</v>
      </c>
      <c r="U15" s="467">
        <f t="shared" si="10"/>
        <v>0.29499999999999998</v>
      </c>
      <c r="V15" s="406"/>
      <c r="W15" s="406"/>
      <c r="X15" s="406"/>
    </row>
    <row r="16" spans="1:24" x14ac:dyDescent="0.25">
      <c r="A16" s="908"/>
      <c r="B16" s="467">
        <v>100</v>
      </c>
      <c r="C16" s="467">
        <v>3.6</v>
      </c>
      <c r="D16" s="467">
        <v>0.2</v>
      </c>
      <c r="E16" s="467">
        <v>-0.06</v>
      </c>
      <c r="F16" s="475">
        <f t="shared" si="5"/>
        <v>1.83</v>
      </c>
      <c r="G16" s="467">
        <f t="shared" si="6"/>
        <v>0.59</v>
      </c>
      <c r="H16" s="905"/>
      <c r="I16" s="467">
        <v>100</v>
      </c>
      <c r="J16" s="463">
        <v>-0.9</v>
      </c>
      <c r="K16" s="467">
        <v>-7.0000000000000007E-2</v>
      </c>
      <c r="L16" s="467">
        <v>2.2000000000000002</v>
      </c>
      <c r="M16" s="475">
        <f t="shared" si="7"/>
        <v>1.135</v>
      </c>
      <c r="N16" s="467">
        <f t="shared" si="8"/>
        <v>0.59</v>
      </c>
      <c r="O16" s="905"/>
      <c r="P16" s="467">
        <v>100</v>
      </c>
      <c r="Q16" s="474">
        <v>6</v>
      </c>
      <c r="R16" s="474">
        <v>-0.22</v>
      </c>
      <c r="S16" s="474">
        <v>2</v>
      </c>
      <c r="T16" s="475">
        <f t="shared" si="9"/>
        <v>3.11</v>
      </c>
      <c r="U16" s="467">
        <f t="shared" si="10"/>
        <v>0.59</v>
      </c>
      <c r="V16" s="406"/>
      <c r="W16" s="406"/>
      <c r="X16" s="406"/>
    </row>
    <row r="17" spans="1:28" x14ac:dyDescent="0.25">
      <c r="A17" s="908"/>
      <c r="B17" s="467">
        <v>200</v>
      </c>
      <c r="C17" s="467">
        <v>2.2000000000000002</v>
      </c>
      <c r="D17" s="467">
        <v>0.4</v>
      </c>
      <c r="E17" s="467">
        <v>9.9999999999999995E-7</v>
      </c>
      <c r="F17" s="475">
        <f t="shared" si="5"/>
        <v>1.0999995</v>
      </c>
      <c r="G17" s="467">
        <f t="shared" si="6"/>
        <v>1.18</v>
      </c>
      <c r="H17" s="905"/>
      <c r="I17" s="467">
        <v>200</v>
      </c>
      <c r="J17" s="463">
        <v>-6.4</v>
      </c>
      <c r="K17" s="474">
        <v>-0.1</v>
      </c>
      <c r="L17" s="474">
        <v>3.3</v>
      </c>
      <c r="M17" s="475">
        <f t="shared" si="7"/>
        <v>1.7</v>
      </c>
      <c r="N17" s="467">
        <f t="shared" si="8"/>
        <v>1.18</v>
      </c>
      <c r="O17" s="905"/>
      <c r="P17" s="467">
        <v>200</v>
      </c>
      <c r="Q17" s="474">
        <v>-3.6</v>
      </c>
      <c r="R17" s="474">
        <v>-0.1</v>
      </c>
      <c r="S17" s="474">
        <v>3.6</v>
      </c>
      <c r="T17" s="475">
        <f t="shared" si="9"/>
        <v>3.6</v>
      </c>
      <c r="U17" s="467">
        <f t="shared" si="10"/>
        <v>1.18</v>
      </c>
      <c r="V17" s="406"/>
      <c r="W17" s="406"/>
      <c r="X17" s="406"/>
    </row>
    <row r="18" spans="1:28" ht="13" x14ac:dyDescent="0.3">
      <c r="A18" s="908"/>
      <c r="B18" s="467">
        <v>500</v>
      </c>
      <c r="C18" s="467">
        <v>-2</v>
      </c>
      <c r="D18" s="467">
        <v>3.8</v>
      </c>
      <c r="E18" s="467">
        <v>-0.9</v>
      </c>
      <c r="F18" s="475">
        <f t="shared" si="5"/>
        <v>2.9</v>
      </c>
      <c r="G18" s="467">
        <f t="shared" si="6"/>
        <v>2.9499999999999997</v>
      </c>
      <c r="H18" s="905"/>
      <c r="I18" s="467">
        <v>500</v>
      </c>
      <c r="J18" s="463">
        <v>-21.7</v>
      </c>
      <c r="K18" s="474">
        <v>0.8</v>
      </c>
      <c r="L18" s="474">
        <v>2</v>
      </c>
      <c r="M18" s="475">
        <f t="shared" si="7"/>
        <v>0.6</v>
      </c>
      <c r="N18" s="467">
        <f t="shared" si="8"/>
        <v>2.9499999999999997</v>
      </c>
      <c r="O18" s="905"/>
      <c r="P18" s="467">
        <v>500</v>
      </c>
      <c r="Q18" s="474">
        <v>-18.8</v>
      </c>
      <c r="R18" s="474">
        <v>-1.1000000000000001</v>
      </c>
      <c r="S18" s="474">
        <v>2.9</v>
      </c>
      <c r="T18" s="475">
        <f t="shared" si="9"/>
        <v>10.85</v>
      </c>
      <c r="U18" s="467">
        <f t="shared" si="10"/>
        <v>2.9499999999999997</v>
      </c>
      <c r="V18" s="406"/>
      <c r="W18" s="406"/>
      <c r="X18" s="406"/>
      <c r="AB18" s="499"/>
    </row>
    <row r="19" spans="1:28" x14ac:dyDescent="0.25">
      <c r="A19" s="908"/>
      <c r="B19" s="467">
        <v>1000</v>
      </c>
      <c r="C19" s="467">
        <v>-26</v>
      </c>
      <c r="D19" s="467">
        <v>9.9999999999999995E-7</v>
      </c>
      <c r="E19" s="467">
        <v>9.9999999999999995E-7</v>
      </c>
      <c r="F19" s="475">
        <f t="shared" si="5"/>
        <v>13.000000500000001</v>
      </c>
      <c r="G19" s="467">
        <f t="shared" si="6"/>
        <v>5.8999999999999995</v>
      </c>
      <c r="H19" s="905"/>
      <c r="I19" s="467">
        <v>1000</v>
      </c>
      <c r="J19" s="489">
        <v>-6.7000000000000004E-2</v>
      </c>
      <c r="K19" s="467">
        <v>9.9999999999999995E-7</v>
      </c>
      <c r="L19" s="467">
        <v>9.9999999999999995E-7</v>
      </c>
      <c r="M19" s="475">
        <f t="shared" si="7"/>
        <v>0</v>
      </c>
      <c r="N19" s="467">
        <f t="shared" si="8"/>
        <v>5.8999999999999995</v>
      </c>
      <c r="O19" s="905"/>
      <c r="P19" s="467">
        <v>1000</v>
      </c>
      <c r="Q19" s="474">
        <v>-47</v>
      </c>
      <c r="R19" s="474">
        <v>3</v>
      </c>
      <c r="S19" s="474">
        <v>3</v>
      </c>
      <c r="T19" s="475">
        <f t="shared" si="9"/>
        <v>25</v>
      </c>
      <c r="U19" s="467">
        <f t="shared" si="10"/>
        <v>5.8999999999999995</v>
      </c>
      <c r="V19" s="406"/>
      <c r="W19" s="406"/>
      <c r="X19" s="406"/>
    </row>
    <row r="20" spans="1:28" ht="13" x14ac:dyDescent="0.25">
      <c r="A20" s="908"/>
      <c r="B20" s="904" t="s">
        <v>310</v>
      </c>
      <c r="C20" s="904"/>
      <c r="D20" s="904"/>
      <c r="E20" s="904"/>
      <c r="F20" s="903" t="s">
        <v>306</v>
      </c>
      <c r="G20" s="913" t="s">
        <v>240</v>
      </c>
      <c r="H20" s="905"/>
      <c r="I20" s="904" t="str">
        <f>B20</f>
        <v>Main-PE</v>
      </c>
      <c r="J20" s="904"/>
      <c r="K20" s="904"/>
      <c r="L20" s="904"/>
      <c r="M20" s="903" t="s">
        <v>306</v>
      </c>
      <c r="N20" s="903" t="s">
        <v>240</v>
      </c>
      <c r="O20" s="905"/>
      <c r="P20" s="904" t="str">
        <f>B20</f>
        <v>Main-PE</v>
      </c>
      <c r="Q20" s="904"/>
      <c r="R20" s="904"/>
      <c r="S20" s="904"/>
      <c r="T20" s="903" t="s">
        <v>306</v>
      </c>
      <c r="U20" s="903" t="s">
        <v>240</v>
      </c>
      <c r="V20" s="406"/>
      <c r="W20" s="406"/>
      <c r="X20" s="406"/>
    </row>
    <row r="21" spans="1:28" ht="14.5" x14ac:dyDescent="0.25">
      <c r="A21" s="908"/>
      <c r="B21" s="477" t="s">
        <v>311</v>
      </c>
      <c r="C21" s="476">
        <f>C5</f>
        <v>2022</v>
      </c>
      <c r="D21" s="476">
        <f>D5</f>
        <v>2020</v>
      </c>
      <c r="E21" s="476">
        <f>E5</f>
        <v>2019</v>
      </c>
      <c r="F21" s="903"/>
      <c r="G21" s="914"/>
      <c r="H21" s="905"/>
      <c r="I21" s="477" t="s">
        <v>311</v>
      </c>
      <c r="J21" s="476">
        <f>J5</f>
        <v>2022</v>
      </c>
      <c r="K21" s="476">
        <f>K5</f>
        <v>2019</v>
      </c>
      <c r="L21" s="476">
        <f>L5</f>
        <v>2017</v>
      </c>
      <c r="M21" s="903"/>
      <c r="N21" s="903"/>
      <c r="O21" s="905"/>
      <c r="P21" s="477" t="s">
        <v>311</v>
      </c>
      <c r="Q21" s="476">
        <f>Q5</f>
        <v>2022</v>
      </c>
      <c r="R21" s="476">
        <f>R5</f>
        <v>2021</v>
      </c>
      <c r="S21" s="476">
        <f>S5</f>
        <v>2018</v>
      </c>
      <c r="T21" s="903"/>
      <c r="U21" s="903"/>
      <c r="V21" s="406"/>
      <c r="W21" s="406"/>
      <c r="X21" s="406"/>
    </row>
    <row r="22" spans="1:28" x14ac:dyDescent="0.25">
      <c r="A22" s="908"/>
      <c r="B22" s="467">
        <v>10</v>
      </c>
      <c r="C22" s="467">
        <v>0</v>
      </c>
      <c r="D22" s="467">
        <v>-1E-3</v>
      </c>
      <c r="E22" s="467">
        <v>9.9999999999999995E-7</v>
      </c>
      <c r="F22" s="475">
        <f>0.5*(MAX(C22:E22)-MIN(C22:E22))</f>
        <v>5.0049999999999997E-4</v>
      </c>
      <c r="G22" s="467">
        <f>(1.7/100)*(B22-C22)</f>
        <v>0.17</v>
      </c>
      <c r="H22" s="905"/>
      <c r="I22" s="467">
        <v>10</v>
      </c>
      <c r="J22" s="463">
        <v>0</v>
      </c>
      <c r="K22" s="467">
        <v>0.1</v>
      </c>
      <c r="L22" s="467">
        <v>9.9999999999999995E-7</v>
      </c>
      <c r="M22" s="475">
        <f>0.5*(MAX(K22:L22)-MIN(K22:L22))</f>
        <v>4.9999500000000002E-2</v>
      </c>
      <c r="N22" s="467">
        <f>(1.7/100)*(I22-J22)</f>
        <v>0.17</v>
      </c>
      <c r="O22" s="905"/>
      <c r="P22" s="467">
        <v>5</v>
      </c>
      <c r="Q22" s="474">
        <v>9.9999999999999995E-7</v>
      </c>
      <c r="R22" s="474">
        <v>9.9999999999999995E-7</v>
      </c>
      <c r="S22" s="474">
        <v>9.9999999999999995E-7</v>
      </c>
      <c r="T22" s="475">
        <f>0.5*(MAX(Q22:S22)-MIN(Q22:S22))</f>
        <v>0</v>
      </c>
      <c r="U22" s="467">
        <f>(1.7/100)*P22</f>
        <v>8.5000000000000006E-2</v>
      </c>
      <c r="V22" s="406"/>
      <c r="W22" s="406"/>
      <c r="X22" s="406"/>
    </row>
    <row r="23" spans="1:28" x14ac:dyDescent="0.25">
      <c r="A23" s="908"/>
      <c r="B23" s="467">
        <v>20</v>
      </c>
      <c r="C23" s="467">
        <v>0.1</v>
      </c>
      <c r="D23" s="467">
        <v>9.9999999999999995E-7</v>
      </c>
      <c r="E23" s="467">
        <v>9.9999999999999995E-7</v>
      </c>
      <c r="F23" s="475">
        <f>0.5*(MAX(C23:E23)-MIN(C23:E23))</f>
        <v>4.9999500000000002E-2</v>
      </c>
      <c r="G23" s="467">
        <f>(1.7/100)*(B23-C23)</f>
        <v>0.33829999999999999</v>
      </c>
      <c r="H23" s="905"/>
      <c r="I23" s="467">
        <v>20</v>
      </c>
      <c r="J23" s="463">
        <v>0.1</v>
      </c>
      <c r="K23" s="467">
        <v>0.2</v>
      </c>
      <c r="L23" s="467">
        <v>0.1</v>
      </c>
      <c r="M23" s="475">
        <f>0.5*(MAX(K23:L23)-MIN(K23:L23))</f>
        <v>0.05</v>
      </c>
      <c r="N23" s="467">
        <f>(1.7/100)*(I23-J23)</f>
        <v>0.33829999999999999</v>
      </c>
      <c r="O23" s="905"/>
      <c r="P23" s="467">
        <v>10</v>
      </c>
      <c r="Q23" s="474">
        <v>9.9999999999999995E-7</v>
      </c>
      <c r="R23" s="474">
        <v>9.9999999999999995E-7</v>
      </c>
      <c r="S23" s="474">
        <v>9.9999999999999995E-7</v>
      </c>
      <c r="T23" s="475">
        <f>0.5*(MAX(Q23:S23)-MIN(Q23:S23))</f>
        <v>0</v>
      </c>
      <c r="U23" s="467">
        <f>(1.7/100)*P23</f>
        <v>0.17</v>
      </c>
      <c r="V23" s="406"/>
      <c r="W23" s="406"/>
      <c r="X23" s="406"/>
    </row>
    <row r="24" spans="1:28" x14ac:dyDescent="0.25">
      <c r="A24" s="908"/>
      <c r="B24" s="467">
        <v>50</v>
      </c>
      <c r="C24" s="467">
        <v>0.3</v>
      </c>
      <c r="D24" s="467">
        <v>9.9999999999999995E-7</v>
      </c>
      <c r="E24" s="467">
        <v>9.9999999999999995E-7</v>
      </c>
      <c r="F24" s="475">
        <f>0.5*(MAX(C24:E24)-MIN(C24:E24))</f>
        <v>0.14999950000000001</v>
      </c>
      <c r="G24" s="467">
        <f>(1.7/100)*(B24-C24)</f>
        <v>0.8449000000000001</v>
      </c>
      <c r="H24" s="905"/>
      <c r="I24" s="467">
        <v>50</v>
      </c>
      <c r="J24" s="463">
        <v>0.2</v>
      </c>
      <c r="K24" s="467">
        <v>0.3</v>
      </c>
      <c r="L24" s="467">
        <v>0.1</v>
      </c>
      <c r="M24" s="475">
        <f>0.5*(MAX(K24:L24)-MIN(K24:L24))</f>
        <v>9.9999999999999992E-2</v>
      </c>
      <c r="N24" s="467">
        <f>(1.7/100)*(I24-J24)</f>
        <v>0.84660000000000002</v>
      </c>
      <c r="O24" s="905"/>
      <c r="P24" s="467">
        <v>20</v>
      </c>
      <c r="Q24" s="474">
        <v>9.9999999999999995E-7</v>
      </c>
      <c r="R24" s="474">
        <v>0.4</v>
      </c>
      <c r="S24" s="474">
        <v>0.3</v>
      </c>
      <c r="T24" s="475">
        <f>0.5*(MAX(Q24:S24)-MIN(Q24:S24))</f>
        <v>0.19999950000000002</v>
      </c>
      <c r="U24" s="467">
        <f>(1.7/100)*P24</f>
        <v>0.34</v>
      </c>
      <c r="V24" s="406"/>
      <c r="W24" s="406"/>
      <c r="X24" s="406"/>
    </row>
    <row r="25" spans="1:28" x14ac:dyDescent="0.25">
      <c r="A25" s="908"/>
      <c r="B25" s="467">
        <v>100</v>
      </c>
      <c r="C25" s="467">
        <v>0.4</v>
      </c>
      <c r="D25" s="467">
        <v>9.9999999999999995E-7</v>
      </c>
      <c r="E25" s="467">
        <v>9.9999999999999995E-7</v>
      </c>
      <c r="F25" s="475">
        <f>0.5*(MAX(C25:E25)-MIN(C25:E25))</f>
        <v>0.19999950000000002</v>
      </c>
      <c r="G25" s="467">
        <f>(1.7/100)*(B25-C25)</f>
        <v>1.6932</v>
      </c>
      <c r="H25" s="905"/>
      <c r="I25" s="467">
        <v>100</v>
      </c>
      <c r="J25" s="463">
        <v>0.2</v>
      </c>
      <c r="K25" s="467">
        <v>0.3</v>
      </c>
      <c r="L25" s="467">
        <v>9.9999999999999995E-7</v>
      </c>
      <c r="M25" s="475">
        <f>0.5*(MAX(K25:L25)-MIN(K25:L25))</f>
        <v>0.14999950000000001</v>
      </c>
      <c r="N25" s="467">
        <f>(1.7/100)*(I25-J25)</f>
        <v>1.6966000000000001</v>
      </c>
      <c r="O25" s="905"/>
      <c r="P25" s="467">
        <v>50</v>
      </c>
      <c r="Q25" s="474">
        <v>0.1</v>
      </c>
      <c r="R25" s="474">
        <v>1.1000000000000001</v>
      </c>
      <c r="S25" s="474">
        <v>0.6</v>
      </c>
      <c r="T25" s="475">
        <f>0.5*(MAX(Q25:S25)-MIN(Q25:S25))</f>
        <v>0.5</v>
      </c>
      <c r="U25" s="467">
        <f>(1.7/100)*P25</f>
        <v>0.85000000000000009</v>
      </c>
      <c r="V25" s="406"/>
      <c r="W25" s="406"/>
      <c r="X25" s="406"/>
    </row>
    <row r="26" spans="1:28" ht="13" customHeight="1" x14ac:dyDescent="0.25">
      <c r="A26" s="908"/>
      <c r="B26" s="904" t="s">
        <v>312</v>
      </c>
      <c r="C26" s="904"/>
      <c r="D26" s="904"/>
      <c r="E26" s="904"/>
      <c r="F26" s="903" t="s">
        <v>306</v>
      </c>
      <c r="G26" s="913" t="s">
        <v>240</v>
      </c>
      <c r="H26" s="905"/>
      <c r="I26" s="904" t="str">
        <f>B26</f>
        <v>Resistance</v>
      </c>
      <c r="J26" s="904"/>
      <c r="K26" s="904"/>
      <c r="L26" s="904"/>
      <c r="M26" s="903" t="s">
        <v>306</v>
      </c>
      <c r="N26" s="903" t="s">
        <v>240</v>
      </c>
      <c r="O26" s="905"/>
      <c r="P26" s="904" t="str">
        <f>B26</f>
        <v>Resistance</v>
      </c>
      <c r="Q26" s="904"/>
      <c r="R26" s="904"/>
      <c r="S26" s="904"/>
      <c r="T26" s="903" t="s">
        <v>306</v>
      </c>
      <c r="U26" s="903" t="s">
        <v>240</v>
      </c>
      <c r="V26" s="406"/>
      <c r="W26" s="406"/>
      <c r="X26" s="406"/>
    </row>
    <row r="27" spans="1:28" ht="14.5" x14ac:dyDescent="0.25">
      <c r="A27" s="908"/>
      <c r="B27" s="477" t="s">
        <v>313</v>
      </c>
      <c r="C27" s="476">
        <f>C5</f>
        <v>2022</v>
      </c>
      <c r="D27" s="476">
        <f>D5</f>
        <v>2020</v>
      </c>
      <c r="E27" s="476">
        <f>E5</f>
        <v>2019</v>
      </c>
      <c r="F27" s="903"/>
      <c r="G27" s="914"/>
      <c r="H27" s="905"/>
      <c r="I27" s="477" t="s">
        <v>313</v>
      </c>
      <c r="J27" s="476">
        <f>J5</f>
        <v>2022</v>
      </c>
      <c r="K27" s="476">
        <f>K5</f>
        <v>2019</v>
      </c>
      <c r="L27" s="476">
        <f>L5</f>
        <v>2017</v>
      </c>
      <c r="M27" s="903"/>
      <c r="N27" s="903"/>
      <c r="O27" s="905"/>
      <c r="P27" s="477" t="s">
        <v>313</v>
      </c>
      <c r="Q27" s="476">
        <f>Q5</f>
        <v>2022</v>
      </c>
      <c r="R27" s="476">
        <f>R5</f>
        <v>2021</v>
      </c>
      <c r="S27" s="476">
        <f>S5</f>
        <v>2018</v>
      </c>
      <c r="T27" s="903"/>
      <c r="U27" s="903"/>
      <c r="V27" s="406"/>
      <c r="W27" s="406"/>
      <c r="X27" s="406"/>
    </row>
    <row r="28" spans="1:28" x14ac:dyDescent="0.25">
      <c r="A28" s="908"/>
      <c r="B28" s="467">
        <v>0</v>
      </c>
      <c r="C28" s="488">
        <v>-2E-3</v>
      </c>
      <c r="D28" s="488">
        <v>9.9999999999999995E-7</v>
      </c>
      <c r="E28" s="488">
        <v>9.9999999999999995E-7</v>
      </c>
      <c r="F28" s="475">
        <f>0.5*(MAX(C28:E28)-MIN(C28:E28))</f>
        <v>1.0005000000000001E-3</v>
      </c>
      <c r="G28" s="467">
        <f>(1.2/100)*(B28-C28)</f>
        <v>2.4000000000000001E-5</v>
      </c>
      <c r="H28" s="905"/>
      <c r="I28" s="467">
        <v>0.01</v>
      </c>
      <c r="J28" s="489">
        <v>0</v>
      </c>
      <c r="K28" s="488">
        <v>9.9999999999999995E-7</v>
      </c>
      <c r="L28" s="488">
        <v>9.9999999999999995E-7</v>
      </c>
      <c r="M28" s="475">
        <f>0.5*(MAX(K28:L28)-MIN(K28:L28))</f>
        <v>0</v>
      </c>
      <c r="N28" s="467">
        <f>(1.2/100)*(I28-J28)</f>
        <v>1.2E-4</v>
      </c>
      <c r="O28" s="905"/>
      <c r="P28" s="467">
        <v>0</v>
      </c>
      <c r="Q28" s="494">
        <v>-1E-3</v>
      </c>
      <c r="R28" s="494">
        <v>9.9999999999999995E-7</v>
      </c>
      <c r="S28" s="494">
        <v>9.9999999999999995E-7</v>
      </c>
      <c r="T28" s="475">
        <f>0.5*(MAX(Q28:S28)-MIN(Q28:S28))</f>
        <v>5.0049999999999997E-4</v>
      </c>
      <c r="U28" s="467">
        <f>(1.2/100)*P28</f>
        <v>0</v>
      </c>
      <c r="V28" s="406"/>
      <c r="W28" s="406"/>
      <c r="X28" s="406"/>
    </row>
    <row r="29" spans="1:28" x14ac:dyDescent="0.25">
      <c r="A29" s="908"/>
      <c r="B29" s="467">
        <v>0.1</v>
      </c>
      <c r="C29" s="488">
        <v>1E-3</v>
      </c>
      <c r="D29" s="488">
        <v>-1E-3</v>
      </c>
      <c r="E29" s="488">
        <v>2E-3</v>
      </c>
      <c r="F29" s="475">
        <f>0.5*(MAX(C29:E29)-MIN(C29:E29))</f>
        <v>1.5E-3</v>
      </c>
      <c r="G29" s="467">
        <f>(1.2/100)*(B29-C29)</f>
        <v>1.188E-3</v>
      </c>
      <c r="H29" s="905"/>
      <c r="I29" s="467">
        <v>0.1</v>
      </c>
      <c r="J29" s="489">
        <v>5.0000000000000001E-3</v>
      </c>
      <c r="K29" s="488">
        <v>6.0000000000000001E-3</v>
      </c>
      <c r="L29" s="488">
        <v>5.0000000000000001E-3</v>
      </c>
      <c r="M29" s="475">
        <f>0.5*(MAX(K29:L29)-MIN(K29:L29))</f>
        <v>5.0000000000000001E-4</v>
      </c>
      <c r="N29" s="467">
        <f>(1.2/100)*(I29-J29)</f>
        <v>1.14E-3</v>
      </c>
      <c r="O29" s="905"/>
      <c r="P29" s="467">
        <v>0.5</v>
      </c>
      <c r="Q29" s="494">
        <v>-2E-3</v>
      </c>
      <c r="R29" s="494">
        <v>-1E-3</v>
      </c>
      <c r="S29" s="494">
        <v>9.9999999999999995E-7</v>
      </c>
      <c r="T29" s="475">
        <f>0.5*(MAX(Q29:S29)-MIN(Q29:S29))</f>
        <v>1.0005000000000001E-3</v>
      </c>
      <c r="U29" s="467">
        <f>(1.2/100)*P29</f>
        <v>6.0000000000000001E-3</v>
      </c>
      <c r="V29" s="406"/>
      <c r="W29" s="406"/>
      <c r="X29" s="406"/>
    </row>
    <row r="30" spans="1:28" x14ac:dyDescent="0.25">
      <c r="A30" s="908"/>
      <c r="B30" s="467">
        <v>1</v>
      </c>
      <c r="C30" s="488">
        <v>4.0000000000000001E-3</v>
      </c>
      <c r="D30" s="488">
        <v>4.0000000000000001E-3</v>
      </c>
      <c r="E30" s="488">
        <v>1.2E-2</v>
      </c>
      <c r="F30" s="475">
        <f>0.5*(MAX(C30:E30)-MIN(C30:E30))</f>
        <v>4.0000000000000001E-3</v>
      </c>
      <c r="G30" s="467">
        <f>(1.2/100)*(B30-C30)</f>
        <v>1.1952000000000001E-2</v>
      </c>
      <c r="H30" s="905"/>
      <c r="I30" s="467">
        <v>1</v>
      </c>
      <c r="J30" s="489">
        <v>5.8000000000000003E-2</v>
      </c>
      <c r="K30" s="488">
        <v>4.4999999999999998E-2</v>
      </c>
      <c r="L30" s="488">
        <v>5.5E-2</v>
      </c>
      <c r="M30" s="475">
        <f>0.5*(MAX(K30:L30)-MIN(K30:L30))</f>
        <v>5.000000000000001E-3</v>
      </c>
      <c r="N30" s="467">
        <f>(1.2/100)*(I30-J30)</f>
        <v>1.1304E-2</v>
      </c>
      <c r="O30" s="905"/>
      <c r="P30" s="467">
        <v>1</v>
      </c>
      <c r="Q30" s="494">
        <v>-1.2E-2</v>
      </c>
      <c r="R30" s="494">
        <v>5.0000000000000001E-3</v>
      </c>
      <c r="S30" s="494">
        <v>9.9999999999999995E-7</v>
      </c>
      <c r="T30" s="475">
        <f>0.5*(MAX(Q30:S30)-MIN(Q30:S30))</f>
        <v>8.5000000000000006E-3</v>
      </c>
      <c r="U30" s="467">
        <f>(1.2/100)*P30</f>
        <v>1.2E-2</v>
      </c>
      <c r="V30" s="406"/>
      <c r="W30" s="406"/>
      <c r="X30" s="406"/>
    </row>
    <row r="31" spans="1:28" x14ac:dyDescent="0.25">
      <c r="A31" s="908"/>
      <c r="B31" s="467">
        <v>2</v>
      </c>
      <c r="C31" s="488">
        <v>1.2E-2</v>
      </c>
      <c r="D31" s="488">
        <v>7.0000000000000001E-3</v>
      </c>
      <c r="E31" s="488">
        <v>9.9999999999999995E-7</v>
      </c>
      <c r="F31" s="475">
        <f>0.5*(MAX(C31:E31)-MIN(C31:E31))</f>
        <v>5.9995000000000005E-3</v>
      </c>
      <c r="G31" s="467">
        <f>(1.2/100)*(B31-C31)</f>
        <v>2.3855999999999999E-2</v>
      </c>
      <c r="H31" s="905"/>
      <c r="I31" s="467">
        <v>2</v>
      </c>
      <c r="J31" s="489">
        <v>0.113</v>
      </c>
      <c r="K31" s="488">
        <v>9.9999999999999995E-7</v>
      </c>
      <c r="L31" s="488">
        <v>9.9999999999999995E-7</v>
      </c>
      <c r="M31" s="475">
        <f>0.5*(MAX(K31:L31)-MIN(K31:L31))</f>
        <v>0</v>
      </c>
      <c r="N31" s="467">
        <f>(1.2/100)*(I31-J31)</f>
        <v>2.2644000000000001E-2</v>
      </c>
      <c r="O31" s="905"/>
      <c r="P31" s="467">
        <v>2</v>
      </c>
      <c r="Q31" s="494">
        <v>-8.0000000000000002E-3</v>
      </c>
      <c r="R31" s="494">
        <v>1.4E-2</v>
      </c>
      <c r="S31" s="494">
        <v>9.9999999999999995E-7</v>
      </c>
      <c r="T31" s="475">
        <f>0.5*(MAX(Q31:S31)-MIN(Q31:S31))</f>
        <v>1.0999999999999999E-2</v>
      </c>
      <c r="U31" s="467">
        <f>(1.2/100)*P31</f>
        <v>2.4E-2</v>
      </c>
      <c r="V31" s="406"/>
      <c r="W31" s="406"/>
      <c r="X31" s="406"/>
    </row>
    <row r="32" spans="1:28" x14ac:dyDescent="0.25">
      <c r="A32" s="498"/>
      <c r="T32" s="491"/>
      <c r="V32" s="406"/>
      <c r="W32" s="406"/>
      <c r="X32" s="406"/>
    </row>
    <row r="33" spans="1:24" ht="14.5" x14ac:dyDescent="0.25">
      <c r="A33" s="908" t="s">
        <v>236</v>
      </c>
      <c r="B33" s="909" t="s">
        <v>314</v>
      </c>
      <c r="C33" s="909"/>
      <c r="D33" s="909"/>
      <c r="E33" s="909"/>
      <c r="F33" s="909"/>
      <c r="G33" s="909"/>
      <c r="H33" s="905" t="s">
        <v>237</v>
      </c>
      <c r="I33" s="906" t="s">
        <v>315</v>
      </c>
      <c r="J33" s="906"/>
      <c r="K33" s="906"/>
      <c r="L33" s="906"/>
      <c r="M33" s="906"/>
      <c r="N33" s="906"/>
      <c r="O33" s="905" t="s">
        <v>238</v>
      </c>
      <c r="P33" s="909" t="s">
        <v>316</v>
      </c>
      <c r="Q33" s="909"/>
      <c r="R33" s="909"/>
      <c r="S33" s="909"/>
      <c r="T33" s="909"/>
      <c r="U33" s="909"/>
      <c r="V33" s="406"/>
      <c r="W33" s="406"/>
      <c r="X33" s="406"/>
    </row>
    <row r="34" spans="1:24" ht="14" x14ac:dyDescent="0.3">
      <c r="A34" s="908"/>
      <c r="B34" s="910" t="s">
        <v>304</v>
      </c>
      <c r="C34" s="910"/>
      <c r="D34" s="910"/>
      <c r="E34" s="910"/>
      <c r="F34" s="910"/>
      <c r="G34" s="910"/>
      <c r="H34" s="905"/>
      <c r="I34" s="910" t="s">
        <v>304</v>
      </c>
      <c r="J34" s="910"/>
      <c r="K34" s="910"/>
      <c r="L34" s="910"/>
      <c r="M34" s="910"/>
      <c r="N34" s="910"/>
      <c r="O34" s="905"/>
      <c r="P34" s="910" t="s">
        <v>304</v>
      </c>
      <c r="Q34" s="910"/>
      <c r="R34" s="910"/>
      <c r="S34" s="910"/>
      <c r="T34" s="910"/>
      <c r="U34" s="910"/>
      <c r="V34" s="406"/>
      <c r="W34" s="406"/>
      <c r="X34" s="406"/>
    </row>
    <row r="35" spans="1:24" ht="13" x14ac:dyDescent="0.25">
      <c r="A35" s="908"/>
      <c r="B35" s="903" t="str">
        <f>B4</f>
        <v>Setting VAC</v>
      </c>
      <c r="C35" s="903"/>
      <c r="D35" s="903"/>
      <c r="E35" s="903"/>
      <c r="F35" s="903" t="s">
        <v>306</v>
      </c>
      <c r="G35" s="903" t="s">
        <v>240</v>
      </c>
      <c r="H35" s="905"/>
      <c r="I35" s="903" t="str">
        <f>B35</f>
        <v>Setting VAC</v>
      </c>
      <c r="J35" s="903"/>
      <c r="K35" s="903"/>
      <c r="L35" s="903"/>
      <c r="M35" s="903" t="s">
        <v>306</v>
      </c>
      <c r="N35" s="903" t="s">
        <v>240</v>
      </c>
      <c r="O35" s="905"/>
      <c r="P35" s="903" t="str">
        <f>I35</f>
        <v>Setting VAC</v>
      </c>
      <c r="Q35" s="903"/>
      <c r="R35" s="903"/>
      <c r="S35" s="903"/>
      <c r="T35" s="903" t="s">
        <v>306</v>
      </c>
      <c r="U35" s="903" t="s">
        <v>240</v>
      </c>
      <c r="V35" s="406"/>
      <c r="W35" s="406"/>
      <c r="X35" s="406"/>
    </row>
    <row r="36" spans="1:24" ht="14" x14ac:dyDescent="0.25">
      <c r="A36" s="908"/>
      <c r="B36" s="477" t="s">
        <v>307</v>
      </c>
      <c r="C36" s="476">
        <v>2022</v>
      </c>
      <c r="D36" s="476">
        <v>2021</v>
      </c>
      <c r="E36" s="476">
        <v>2019</v>
      </c>
      <c r="F36" s="903"/>
      <c r="G36" s="903"/>
      <c r="H36" s="905"/>
      <c r="I36" s="477" t="s">
        <v>307</v>
      </c>
      <c r="J36" s="476">
        <v>2022</v>
      </c>
      <c r="K36" s="476">
        <v>2021</v>
      </c>
      <c r="L36" s="476">
        <v>2019</v>
      </c>
      <c r="M36" s="903"/>
      <c r="N36" s="903"/>
      <c r="O36" s="905"/>
      <c r="P36" s="477" t="s">
        <v>307</v>
      </c>
      <c r="Q36" s="476">
        <v>2023</v>
      </c>
      <c r="R36" s="476">
        <v>2022</v>
      </c>
      <c r="S36" s="476">
        <v>2019</v>
      </c>
      <c r="T36" s="903"/>
      <c r="U36" s="903"/>
      <c r="V36" s="497"/>
      <c r="W36" s="497"/>
      <c r="X36" s="406"/>
    </row>
    <row r="37" spans="1:24" x14ac:dyDescent="0.25">
      <c r="A37" s="908"/>
      <c r="B37" s="467">
        <v>150</v>
      </c>
      <c r="C37" s="463">
        <v>0.08</v>
      </c>
      <c r="D37" s="474">
        <v>-0.05</v>
      </c>
      <c r="E37" s="474">
        <v>0.11</v>
      </c>
      <c r="F37" s="475">
        <f t="shared" ref="F37:F42" si="11">0.5*(MAX(D37:E37)-MIN(D37:E37))</f>
        <v>0.08</v>
      </c>
      <c r="G37" s="467">
        <f t="shared" ref="G37:G42" si="12">(1.2/100)*B37</f>
        <v>1.8</v>
      </c>
      <c r="H37" s="905"/>
      <c r="I37" s="467">
        <v>150</v>
      </c>
      <c r="J37" s="474">
        <v>0.02</v>
      </c>
      <c r="K37" s="474">
        <v>0.25</v>
      </c>
      <c r="L37" s="474">
        <v>0.02</v>
      </c>
      <c r="M37" s="475">
        <f t="shared" ref="M37:M42" si="13">0.5*(MAX(J37:L37)-MIN(J37:L37))</f>
        <v>0.115</v>
      </c>
      <c r="N37" s="467">
        <f t="shared" ref="N37:N42" si="14">(1.2/100)*I37</f>
        <v>1.8</v>
      </c>
      <c r="O37" s="905"/>
      <c r="P37" s="467">
        <v>150</v>
      </c>
      <c r="Q37" s="474">
        <v>0.14000000000000001</v>
      </c>
      <c r="R37" s="474">
        <v>0.15</v>
      </c>
      <c r="S37" s="474">
        <v>-0.15</v>
      </c>
      <c r="T37" s="475">
        <f t="shared" ref="T37:T42" si="15">0.5*(MAX(Q37:S37)-MIN(Q37:S37))</f>
        <v>0.15</v>
      </c>
      <c r="U37" s="467">
        <f>(1.2/100)*P37</f>
        <v>1.8</v>
      </c>
      <c r="V37" s="456"/>
      <c r="W37" s="496"/>
      <c r="X37" s="406"/>
    </row>
    <row r="38" spans="1:24" x14ac:dyDescent="0.25">
      <c r="A38" s="908"/>
      <c r="B38" s="467">
        <v>180</v>
      </c>
      <c r="C38" s="463">
        <v>0.11</v>
      </c>
      <c r="D38" s="474">
        <v>-0.04</v>
      </c>
      <c r="E38" s="474">
        <v>0.03</v>
      </c>
      <c r="F38" s="475">
        <f t="shared" si="11"/>
        <v>3.5000000000000003E-2</v>
      </c>
      <c r="G38" s="467">
        <f t="shared" si="12"/>
        <v>2.16</v>
      </c>
      <c r="H38" s="905"/>
      <c r="I38" s="467">
        <v>180</v>
      </c>
      <c r="J38" s="474">
        <v>-0.08</v>
      </c>
      <c r="K38" s="474">
        <v>0.09</v>
      </c>
      <c r="L38" s="474">
        <v>0.1</v>
      </c>
      <c r="M38" s="475">
        <f t="shared" si="13"/>
        <v>0.09</v>
      </c>
      <c r="N38" s="467">
        <f t="shared" si="14"/>
        <v>2.16</v>
      </c>
      <c r="O38" s="905"/>
      <c r="P38" s="467">
        <v>180</v>
      </c>
      <c r="Q38" s="474">
        <v>0.17</v>
      </c>
      <c r="R38" s="474">
        <v>0.17</v>
      </c>
      <c r="S38" s="474">
        <v>-0.11</v>
      </c>
      <c r="T38" s="475">
        <f t="shared" si="15"/>
        <v>0.14000000000000001</v>
      </c>
      <c r="U38" s="467">
        <f>(1.2/100)*P38</f>
        <v>2.16</v>
      </c>
      <c r="V38" s="456"/>
      <c r="W38" s="496"/>
      <c r="X38" s="406"/>
    </row>
    <row r="39" spans="1:24" x14ac:dyDescent="0.25">
      <c r="A39" s="908"/>
      <c r="B39" s="467">
        <v>200</v>
      </c>
      <c r="C39" s="463">
        <v>0.11</v>
      </c>
      <c r="D39" s="474">
        <v>-0.67</v>
      </c>
      <c r="E39" s="474">
        <v>0.05</v>
      </c>
      <c r="F39" s="475">
        <f t="shared" si="11"/>
        <v>0.36000000000000004</v>
      </c>
      <c r="G39" s="467">
        <f t="shared" si="12"/>
        <v>2.4</v>
      </c>
      <c r="H39" s="905"/>
      <c r="I39" s="467">
        <v>200</v>
      </c>
      <c r="J39" s="474">
        <v>-0.12</v>
      </c>
      <c r="K39" s="474">
        <v>0.18</v>
      </c>
      <c r="L39" s="474">
        <v>-0.03</v>
      </c>
      <c r="M39" s="475">
        <f t="shared" si="13"/>
        <v>0.15</v>
      </c>
      <c r="N39" s="467">
        <f t="shared" si="14"/>
        <v>2.4</v>
      </c>
      <c r="O39" s="905"/>
      <c r="P39" s="467">
        <v>200</v>
      </c>
      <c r="Q39" s="474">
        <v>0.08</v>
      </c>
      <c r="R39" s="474">
        <v>0.1</v>
      </c>
      <c r="S39" s="474">
        <v>-0.1</v>
      </c>
      <c r="T39" s="475">
        <f t="shared" si="15"/>
        <v>0.1</v>
      </c>
      <c r="U39" s="467">
        <f>(1.2/100)*P39</f>
        <v>2.4</v>
      </c>
      <c r="V39" s="456"/>
      <c r="W39" s="496"/>
      <c r="X39" s="406"/>
    </row>
    <row r="40" spans="1:24" x14ac:dyDescent="0.25">
      <c r="A40" s="908"/>
      <c r="B40" s="467">
        <v>220</v>
      </c>
      <c r="C40" s="463">
        <v>0.13</v>
      </c>
      <c r="D40" s="474">
        <v>9.9999999999999995E-7</v>
      </c>
      <c r="E40" s="474">
        <v>0.1</v>
      </c>
      <c r="F40" s="475">
        <f t="shared" si="11"/>
        <v>4.9999500000000002E-2</v>
      </c>
      <c r="G40" s="467">
        <f t="shared" si="12"/>
        <v>2.64</v>
      </c>
      <c r="H40" s="905"/>
      <c r="I40" s="467">
        <v>220</v>
      </c>
      <c r="J40" s="474">
        <v>-0.17</v>
      </c>
      <c r="K40" s="474">
        <v>0.56000000000000005</v>
      </c>
      <c r="L40" s="474">
        <v>0.38</v>
      </c>
      <c r="M40" s="475">
        <f t="shared" si="13"/>
        <v>0.36500000000000005</v>
      </c>
      <c r="N40" s="467">
        <f t="shared" si="14"/>
        <v>2.64</v>
      </c>
      <c r="O40" s="905"/>
      <c r="P40" s="467">
        <v>220</v>
      </c>
      <c r="Q40" s="474">
        <v>0.06</v>
      </c>
      <c r="R40" s="474">
        <v>7.0000000000000007E-2</v>
      </c>
      <c r="S40" s="474">
        <v>-0.13</v>
      </c>
      <c r="T40" s="475">
        <f t="shared" si="15"/>
        <v>0.1</v>
      </c>
      <c r="U40" s="467">
        <f>(1.2/100)*P40</f>
        <v>2.64</v>
      </c>
      <c r="V40" s="456"/>
      <c r="W40" s="496"/>
      <c r="X40" s="406"/>
    </row>
    <row r="41" spans="1:24" x14ac:dyDescent="0.25">
      <c r="A41" s="908"/>
      <c r="B41" s="467">
        <v>230</v>
      </c>
      <c r="C41" s="463">
        <v>0.11</v>
      </c>
      <c r="D41" s="474">
        <v>-0.11</v>
      </c>
      <c r="E41" s="474">
        <v>1.1100000000000001</v>
      </c>
      <c r="F41" s="475">
        <f t="shared" si="11"/>
        <v>0.6100000000000001</v>
      </c>
      <c r="G41" s="467">
        <f t="shared" si="12"/>
        <v>2.7600000000000002</v>
      </c>
      <c r="H41" s="905"/>
      <c r="I41" s="467">
        <v>230</v>
      </c>
      <c r="J41" s="474">
        <v>-0.14000000000000001</v>
      </c>
      <c r="K41" s="474">
        <v>0.73</v>
      </c>
      <c r="L41" s="474">
        <v>-0.16</v>
      </c>
      <c r="M41" s="475">
        <f t="shared" si="13"/>
        <v>0.44500000000000001</v>
      </c>
      <c r="N41" s="467">
        <f t="shared" si="14"/>
        <v>2.7600000000000002</v>
      </c>
      <c r="O41" s="905"/>
      <c r="P41" s="467">
        <v>230</v>
      </c>
      <c r="Q41" s="474">
        <v>0.04</v>
      </c>
      <c r="R41" s="474">
        <v>0.08</v>
      </c>
      <c r="S41" s="474">
        <v>-0.15</v>
      </c>
      <c r="T41" s="475">
        <f t="shared" si="15"/>
        <v>0.11499999999999999</v>
      </c>
      <c r="U41" s="467">
        <f>(1.2/100)*P41</f>
        <v>2.7600000000000002</v>
      </c>
      <c r="V41" s="456"/>
      <c r="W41" s="496"/>
      <c r="X41" s="406"/>
    </row>
    <row r="42" spans="1:24" x14ac:dyDescent="0.25">
      <c r="A42" s="908"/>
      <c r="B42" s="467">
        <v>250</v>
      </c>
      <c r="C42" s="463">
        <v>0</v>
      </c>
      <c r="D42" s="474">
        <v>9.9999999999999995E-7</v>
      </c>
      <c r="E42" s="474">
        <v>9.9999999999999995E-7</v>
      </c>
      <c r="F42" s="475">
        <f t="shared" si="11"/>
        <v>0</v>
      </c>
      <c r="G42" s="467">
        <f t="shared" si="12"/>
        <v>3</v>
      </c>
      <c r="H42" s="905"/>
      <c r="I42" s="467">
        <v>240</v>
      </c>
      <c r="J42" s="474">
        <v>-0.31</v>
      </c>
      <c r="K42" s="474">
        <v>9.9999999999999995E-7</v>
      </c>
      <c r="L42" s="474">
        <v>9.9999999999999995E-7</v>
      </c>
      <c r="M42" s="475">
        <f t="shared" si="13"/>
        <v>0.15500049999999999</v>
      </c>
      <c r="N42" s="467">
        <f t="shared" si="14"/>
        <v>2.88</v>
      </c>
      <c r="O42" s="905"/>
      <c r="P42" s="467">
        <v>250</v>
      </c>
      <c r="Q42" s="474">
        <v>0</v>
      </c>
      <c r="R42" s="474">
        <v>0</v>
      </c>
      <c r="S42" s="474">
        <v>9.9999999999999995E-7</v>
      </c>
      <c r="T42" s="475">
        <f t="shared" si="15"/>
        <v>4.9999999999999998E-7</v>
      </c>
      <c r="U42" s="467">
        <f>(0/100)*P42</f>
        <v>0</v>
      </c>
      <c r="V42" s="456"/>
      <c r="W42" s="496"/>
      <c r="X42" s="406"/>
    </row>
    <row r="43" spans="1:24" ht="12.75" customHeight="1" x14ac:dyDescent="0.25">
      <c r="A43" s="908"/>
      <c r="B43" s="904" t="str">
        <f>B12</f>
        <v>Current Leakage</v>
      </c>
      <c r="C43" s="904"/>
      <c r="D43" s="904"/>
      <c r="E43" s="904"/>
      <c r="F43" s="903" t="s">
        <v>306</v>
      </c>
      <c r="G43" s="903" t="s">
        <v>240</v>
      </c>
      <c r="H43" s="905"/>
      <c r="I43" s="904" t="str">
        <f>B43</f>
        <v>Current Leakage</v>
      </c>
      <c r="J43" s="904"/>
      <c r="K43" s="904"/>
      <c r="L43" s="904"/>
      <c r="M43" s="903" t="s">
        <v>306</v>
      </c>
      <c r="N43" s="903" t="s">
        <v>240</v>
      </c>
      <c r="O43" s="905"/>
      <c r="P43" s="904" t="str">
        <f>I43</f>
        <v>Current Leakage</v>
      </c>
      <c r="Q43" s="904"/>
      <c r="R43" s="904"/>
      <c r="S43" s="904"/>
      <c r="T43" s="903" t="s">
        <v>306</v>
      </c>
      <c r="U43" s="903" t="s">
        <v>240</v>
      </c>
      <c r="V43" s="406"/>
      <c r="W43" s="406"/>
      <c r="X43" s="406"/>
    </row>
    <row r="44" spans="1:24" ht="14" x14ac:dyDescent="0.25">
      <c r="A44" s="908"/>
      <c r="B44" s="477" t="s">
        <v>309</v>
      </c>
      <c r="C44" s="476">
        <f>C36</f>
        <v>2022</v>
      </c>
      <c r="D44" s="476">
        <f>D36</f>
        <v>2021</v>
      </c>
      <c r="E44" s="476">
        <f>E36</f>
        <v>2019</v>
      </c>
      <c r="F44" s="903"/>
      <c r="G44" s="903"/>
      <c r="H44" s="905"/>
      <c r="I44" s="477" t="s">
        <v>309</v>
      </c>
      <c r="J44" s="476">
        <f>J36</f>
        <v>2022</v>
      </c>
      <c r="K44" s="476">
        <f>K36</f>
        <v>2021</v>
      </c>
      <c r="L44" s="476">
        <f>L36</f>
        <v>2019</v>
      </c>
      <c r="M44" s="903"/>
      <c r="N44" s="903"/>
      <c r="O44" s="905"/>
      <c r="P44" s="477" t="s">
        <v>309</v>
      </c>
      <c r="Q44" s="476">
        <f>Q36</f>
        <v>2023</v>
      </c>
      <c r="R44" s="476">
        <f>R36</f>
        <v>2022</v>
      </c>
      <c r="S44" s="476">
        <f>S36</f>
        <v>2019</v>
      </c>
      <c r="T44" s="903"/>
      <c r="U44" s="903"/>
      <c r="V44" s="406"/>
      <c r="W44" s="406"/>
      <c r="X44" s="406"/>
    </row>
    <row r="45" spans="1:24" x14ac:dyDescent="0.25">
      <c r="A45" s="908"/>
      <c r="B45" s="467">
        <v>0</v>
      </c>
      <c r="C45" s="463">
        <v>0</v>
      </c>
      <c r="D45" s="474">
        <v>9.9999999999999995E-7</v>
      </c>
      <c r="E45" s="467">
        <v>9.9999999999999995E-7</v>
      </c>
      <c r="F45" s="475">
        <f t="shared" ref="F45:F50" si="16">0.5*(MAX(D45:E45)-MIN(D45:E45))</f>
        <v>0</v>
      </c>
      <c r="G45" s="467">
        <f t="shared" ref="G45:G50" si="17">(0.59/100)*B45</f>
        <v>0</v>
      </c>
      <c r="H45" s="905"/>
      <c r="I45" s="467">
        <v>0</v>
      </c>
      <c r="J45" s="474">
        <v>0</v>
      </c>
      <c r="K45" s="474">
        <v>9.9999999999999995E-7</v>
      </c>
      <c r="L45" s="474">
        <v>9.9999999999999995E-7</v>
      </c>
      <c r="M45" s="475">
        <f t="shared" ref="M45:M50" si="18">0.5*(MAX(J45:L45)-MIN(J45:L45))</f>
        <v>4.9999999999999998E-7</v>
      </c>
      <c r="N45" s="467">
        <f t="shared" ref="N45:N50" si="19">(0.59/100)*I45</f>
        <v>0</v>
      </c>
      <c r="O45" s="905"/>
      <c r="P45" s="467">
        <v>0</v>
      </c>
      <c r="Q45" s="463">
        <v>0</v>
      </c>
      <c r="R45" s="474">
        <v>0</v>
      </c>
      <c r="S45" s="474">
        <v>9.9999999999999995E-7</v>
      </c>
      <c r="T45" s="475">
        <f t="shared" ref="T45:T50" si="20">0.5*(MAX(R45:S45)-MIN(R45:S45))</f>
        <v>4.9999999999999998E-7</v>
      </c>
      <c r="U45" s="467">
        <f t="shared" ref="U45:U50" si="21">(0.59/100)*P45</f>
        <v>0</v>
      </c>
    </row>
    <row r="46" spans="1:24" x14ac:dyDescent="0.25">
      <c r="A46" s="908"/>
      <c r="B46" s="467">
        <v>50</v>
      </c>
      <c r="C46" s="463">
        <v>2.2999999999999998</v>
      </c>
      <c r="D46" s="474">
        <v>-0.3</v>
      </c>
      <c r="E46" s="474">
        <v>-0.28999999999999998</v>
      </c>
      <c r="F46" s="475">
        <f t="shared" si="16"/>
        <v>5.0000000000000044E-3</v>
      </c>
      <c r="G46" s="467">
        <f t="shared" si="17"/>
        <v>0.29499999999999998</v>
      </c>
      <c r="H46" s="905"/>
      <c r="I46" s="467">
        <v>50</v>
      </c>
      <c r="J46" s="474">
        <v>4.0999999999999996</v>
      </c>
      <c r="K46" s="474">
        <v>0.3</v>
      </c>
      <c r="L46" s="474">
        <v>-0.33</v>
      </c>
      <c r="M46" s="475">
        <f t="shared" si="18"/>
        <v>2.2149999999999999</v>
      </c>
      <c r="N46" s="467">
        <f t="shared" si="19"/>
        <v>0.29499999999999998</v>
      </c>
      <c r="O46" s="905"/>
      <c r="P46" s="467">
        <v>50</v>
      </c>
      <c r="Q46" s="463">
        <v>4.5</v>
      </c>
      <c r="R46" s="474">
        <v>19.100000000000001</v>
      </c>
      <c r="S46" s="474">
        <v>0.02</v>
      </c>
      <c r="T46" s="475">
        <f t="shared" si="20"/>
        <v>9.5400000000000009</v>
      </c>
      <c r="U46" s="467">
        <f t="shared" si="21"/>
        <v>0.29499999999999998</v>
      </c>
    </row>
    <row r="47" spans="1:24" x14ac:dyDescent="0.25">
      <c r="A47" s="908"/>
      <c r="B47" s="467">
        <v>100</v>
      </c>
      <c r="C47" s="463">
        <v>4.0999999999999996</v>
      </c>
      <c r="D47" s="474">
        <v>-0.4</v>
      </c>
      <c r="E47" s="474">
        <v>-0.35</v>
      </c>
      <c r="F47" s="475">
        <f t="shared" si="16"/>
        <v>2.5000000000000022E-2</v>
      </c>
      <c r="G47" s="467">
        <f t="shared" si="17"/>
        <v>0.59</v>
      </c>
      <c r="H47" s="905"/>
      <c r="I47" s="467">
        <v>100</v>
      </c>
      <c r="J47" s="474">
        <v>5</v>
      </c>
      <c r="K47" s="474">
        <v>-0.1</v>
      </c>
      <c r="L47" s="474">
        <v>-0.42</v>
      </c>
      <c r="M47" s="475">
        <f t="shared" si="18"/>
        <v>2.71</v>
      </c>
      <c r="N47" s="467">
        <f t="shared" si="19"/>
        <v>0.59</v>
      </c>
      <c r="O47" s="905"/>
      <c r="P47" s="467">
        <v>100</v>
      </c>
      <c r="Q47" s="463">
        <v>6.2</v>
      </c>
      <c r="R47" s="474">
        <v>18.399999999999999</v>
      </c>
      <c r="S47" s="474">
        <v>0.22</v>
      </c>
      <c r="T47" s="475">
        <f t="shared" si="20"/>
        <v>9.09</v>
      </c>
      <c r="U47" s="467">
        <f t="shared" si="21"/>
        <v>0.59</v>
      </c>
    </row>
    <row r="48" spans="1:24" x14ac:dyDescent="0.25">
      <c r="A48" s="908"/>
      <c r="B48" s="467">
        <v>200</v>
      </c>
      <c r="C48" s="463">
        <v>5</v>
      </c>
      <c r="D48" s="474">
        <v>0.3</v>
      </c>
      <c r="E48" s="474">
        <v>0.8</v>
      </c>
      <c r="F48" s="475">
        <f t="shared" si="16"/>
        <v>0.25</v>
      </c>
      <c r="G48" s="467">
        <f t="shared" si="17"/>
        <v>1.18</v>
      </c>
      <c r="H48" s="905"/>
      <c r="I48" s="467">
        <v>200</v>
      </c>
      <c r="J48" s="474">
        <v>7.7</v>
      </c>
      <c r="K48" s="474">
        <v>1.3</v>
      </c>
      <c r="L48" s="474">
        <v>1.3</v>
      </c>
      <c r="M48" s="475">
        <f t="shared" si="18"/>
        <v>3.2</v>
      </c>
      <c r="N48" s="467">
        <f t="shared" si="19"/>
        <v>1.18</v>
      </c>
      <c r="O48" s="905"/>
      <c r="P48" s="467">
        <v>200</v>
      </c>
      <c r="Q48" s="463">
        <v>9.4</v>
      </c>
      <c r="R48" s="474">
        <v>14.4</v>
      </c>
      <c r="S48" s="474">
        <v>0.8</v>
      </c>
      <c r="T48" s="475">
        <f t="shared" si="20"/>
        <v>6.8</v>
      </c>
      <c r="U48" s="467">
        <f t="shared" si="21"/>
        <v>1.18</v>
      </c>
    </row>
    <row r="49" spans="1:21" x14ac:dyDescent="0.25">
      <c r="A49" s="908"/>
      <c r="B49" s="467">
        <v>500</v>
      </c>
      <c r="C49" s="463">
        <v>3.5</v>
      </c>
      <c r="D49" s="474">
        <v>0.2</v>
      </c>
      <c r="E49" s="474">
        <v>1.2</v>
      </c>
      <c r="F49" s="475">
        <f t="shared" si="16"/>
        <v>0.5</v>
      </c>
      <c r="G49" s="467">
        <f t="shared" si="17"/>
        <v>2.9499999999999997</v>
      </c>
      <c r="H49" s="905"/>
      <c r="I49" s="467">
        <v>500</v>
      </c>
      <c r="J49" s="474">
        <v>5.7</v>
      </c>
      <c r="K49" s="474">
        <v>0.7</v>
      </c>
      <c r="L49" s="474">
        <v>0.7</v>
      </c>
      <c r="M49" s="475">
        <f t="shared" si="18"/>
        <v>2.5</v>
      </c>
      <c r="N49" s="467">
        <f t="shared" si="19"/>
        <v>2.9499999999999997</v>
      </c>
      <c r="O49" s="905"/>
      <c r="P49" s="467">
        <v>500</v>
      </c>
      <c r="Q49" s="463">
        <v>10.8</v>
      </c>
      <c r="R49" s="474">
        <v>6.2</v>
      </c>
      <c r="S49" s="474">
        <v>1.1000000000000001</v>
      </c>
      <c r="T49" s="475">
        <f t="shared" si="20"/>
        <v>2.5499999999999998</v>
      </c>
      <c r="U49" s="467">
        <f t="shared" si="21"/>
        <v>2.9499999999999997</v>
      </c>
    </row>
    <row r="50" spans="1:21" x14ac:dyDescent="0.25">
      <c r="A50" s="908"/>
      <c r="B50" s="467">
        <v>1000</v>
      </c>
      <c r="C50" s="463">
        <v>-1</v>
      </c>
      <c r="D50" s="474">
        <v>2</v>
      </c>
      <c r="E50" s="474">
        <v>2</v>
      </c>
      <c r="F50" s="475">
        <f t="shared" si="16"/>
        <v>0</v>
      </c>
      <c r="G50" s="467">
        <f t="shared" si="17"/>
        <v>5.8999999999999995</v>
      </c>
      <c r="H50" s="905"/>
      <c r="I50" s="467">
        <v>1000</v>
      </c>
      <c r="J50" s="474">
        <v>-88</v>
      </c>
      <c r="K50" s="474">
        <v>9.9999999999999995E-7</v>
      </c>
      <c r="L50" s="474">
        <v>9.9999999999999995E-7</v>
      </c>
      <c r="M50" s="475">
        <f t="shared" si="18"/>
        <v>44.000000499999999</v>
      </c>
      <c r="N50" s="467">
        <f t="shared" si="19"/>
        <v>5.8999999999999995</v>
      </c>
      <c r="O50" s="905"/>
      <c r="P50" s="467">
        <v>1000</v>
      </c>
      <c r="Q50" s="463">
        <v>-88</v>
      </c>
      <c r="R50" s="474">
        <v>0</v>
      </c>
      <c r="S50" s="474">
        <v>9.9999999999999995E-7</v>
      </c>
      <c r="T50" s="475">
        <f t="shared" si="20"/>
        <v>4.9999999999999998E-7</v>
      </c>
      <c r="U50" s="467">
        <f t="shared" si="21"/>
        <v>5.8999999999999995</v>
      </c>
    </row>
    <row r="51" spans="1:21" ht="13" x14ac:dyDescent="0.25">
      <c r="A51" s="908"/>
      <c r="B51" s="904" t="str">
        <f>B20</f>
        <v>Main-PE</v>
      </c>
      <c r="C51" s="904"/>
      <c r="D51" s="904"/>
      <c r="E51" s="904"/>
      <c r="F51" s="903" t="s">
        <v>306</v>
      </c>
      <c r="G51" s="903" t="s">
        <v>240</v>
      </c>
      <c r="H51" s="905"/>
      <c r="I51" s="904" t="str">
        <f>B51</f>
        <v>Main-PE</v>
      </c>
      <c r="J51" s="904"/>
      <c r="K51" s="904"/>
      <c r="L51" s="904"/>
      <c r="M51" s="903" t="s">
        <v>306</v>
      </c>
      <c r="N51" s="903" t="s">
        <v>240</v>
      </c>
      <c r="O51" s="905"/>
      <c r="P51" s="904" t="str">
        <f>I51</f>
        <v>Main-PE</v>
      </c>
      <c r="Q51" s="904"/>
      <c r="R51" s="904"/>
      <c r="S51" s="904"/>
      <c r="T51" s="903" t="s">
        <v>306</v>
      </c>
      <c r="U51" s="903" t="s">
        <v>240</v>
      </c>
    </row>
    <row r="52" spans="1:21" ht="14.5" x14ac:dyDescent="0.25">
      <c r="A52" s="908"/>
      <c r="B52" s="477" t="s">
        <v>311</v>
      </c>
      <c r="C52" s="476">
        <f>C36</f>
        <v>2022</v>
      </c>
      <c r="D52" s="476">
        <f>D36</f>
        <v>2021</v>
      </c>
      <c r="E52" s="476">
        <f>E36</f>
        <v>2019</v>
      </c>
      <c r="F52" s="903"/>
      <c r="G52" s="903"/>
      <c r="H52" s="905"/>
      <c r="I52" s="477" t="s">
        <v>311</v>
      </c>
      <c r="J52" s="476">
        <f>J36</f>
        <v>2022</v>
      </c>
      <c r="K52" s="476">
        <f>K36</f>
        <v>2021</v>
      </c>
      <c r="L52" s="476">
        <f>L36</f>
        <v>2019</v>
      </c>
      <c r="M52" s="903"/>
      <c r="N52" s="903"/>
      <c r="O52" s="905"/>
      <c r="P52" s="477" t="s">
        <v>311</v>
      </c>
      <c r="Q52" s="476">
        <f>Q36</f>
        <v>2023</v>
      </c>
      <c r="R52" s="476">
        <f>R36</f>
        <v>2022</v>
      </c>
      <c r="S52" s="476">
        <f>S36</f>
        <v>2019</v>
      </c>
      <c r="T52" s="903"/>
      <c r="U52" s="903"/>
    </row>
    <row r="53" spans="1:21" x14ac:dyDescent="0.25">
      <c r="A53" s="908"/>
      <c r="B53" s="467">
        <v>10</v>
      </c>
      <c r="C53" s="463">
        <v>0</v>
      </c>
      <c r="D53" s="474">
        <v>9.9999999999999995E-7</v>
      </c>
      <c r="E53" s="474">
        <v>0.1</v>
      </c>
      <c r="F53" s="475">
        <f>0.5*(MAX(D53:E53)-MIN(D53:E53))</f>
        <v>4.9999500000000002E-2</v>
      </c>
      <c r="G53" s="467">
        <f>(1.7/100)*(B53-C53)</f>
        <v>0.17</v>
      </c>
      <c r="H53" s="905"/>
      <c r="I53" s="467">
        <v>10</v>
      </c>
      <c r="J53" s="474">
        <v>0</v>
      </c>
      <c r="K53" s="474">
        <v>9.9999999999999995E-7</v>
      </c>
      <c r="L53" s="474">
        <v>0.1</v>
      </c>
      <c r="M53" s="475">
        <f>0.5*(MAX(J53:L53)-MIN(J53:L53))</f>
        <v>0.05</v>
      </c>
      <c r="N53" s="467">
        <f>(1.7/100)*(I53-J53)</f>
        <v>0.17</v>
      </c>
      <c r="O53" s="905"/>
      <c r="P53" s="467">
        <v>10</v>
      </c>
      <c r="Q53" s="463">
        <v>0</v>
      </c>
      <c r="R53" s="474">
        <v>0.1</v>
      </c>
      <c r="S53" s="474">
        <v>0.1</v>
      </c>
      <c r="T53" s="475">
        <f>0.5*(MAX(R53:S53)-MIN(R53:S53))</f>
        <v>0</v>
      </c>
      <c r="U53" s="467">
        <f>(1.7/100)*(P53-Q53)</f>
        <v>0.17</v>
      </c>
    </row>
    <row r="54" spans="1:21" x14ac:dyDescent="0.25">
      <c r="A54" s="908"/>
      <c r="B54" s="467">
        <v>20</v>
      </c>
      <c r="C54" s="463">
        <v>0.1</v>
      </c>
      <c r="D54" s="474">
        <v>0.1</v>
      </c>
      <c r="E54" s="474">
        <v>0.2</v>
      </c>
      <c r="F54" s="475">
        <f>0.5*(MAX(D54:E54)-MIN(D54:E54))</f>
        <v>0.05</v>
      </c>
      <c r="G54" s="467">
        <f>(1.7/100)*(B54-C54)</f>
        <v>0.33829999999999999</v>
      </c>
      <c r="H54" s="905"/>
      <c r="I54" s="467">
        <v>20</v>
      </c>
      <c r="J54" s="474">
        <v>0.1</v>
      </c>
      <c r="K54" s="474">
        <v>0.1</v>
      </c>
      <c r="L54" s="474">
        <v>0.1</v>
      </c>
      <c r="M54" s="475">
        <f>0.5*(MAX(J54:L54)-MIN(J54:L54))</f>
        <v>0</v>
      </c>
      <c r="N54" s="467">
        <f>(1.7/100)*(I54-J54)</f>
        <v>0.33829999999999999</v>
      </c>
      <c r="O54" s="905"/>
      <c r="P54" s="467">
        <v>20</v>
      </c>
      <c r="Q54" s="463">
        <v>0.1</v>
      </c>
      <c r="R54" s="474">
        <v>0.1</v>
      </c>
      <c r="S54" s="474">
        <v>0.1</v>
      </c>
      <c r="T54" s="475">
        <f>0.5*(MAX(R54:S54)-MIN(R54:S54))</f>
        <v>0</v>
      </c>
      <c r="U54" s="467">
        <f>(1.7/100)*(P54-Q54)</f>
        <v>0.33829999999999999</v>
      </c>
    </row>
    <row r="55" spans="1:21" x14ac:dyDescent="0.25">
      <c r="A55" s="908"/>
      <c r="B55" s="467">
        <v>50</v>
      </c>
      <c r="C55" s="463">
        <v>0.4</v>
      </c>
      <c r="D55" s="474">
        <v>0.4</v>
      </c>
      <c r="E55" s="474">
        <v>0.5</v>
      </c>
      <c r="F55" s="475">
        <f>0.5*(MAX(D55:E55)-MIN(D55:E55))</f>
        <v>4.9999999999999989E-2</v>
      </c>
      <c r="G55" s="467">
        <f>(1.7/100)*(B55-C55)</f>
        <v>0.84320000000000006</v>
      </c>
      <c r="H55" s="905"/>
      <c r="I55" s="467">
        <v>50</v>
      </c>
      <c r="J55" s="474">
        <v>0.3</v>
      </c>
      <c r="K55" s="474">
        <v>0.6</v>
      </c>
      <c r="L55" s="474">
        <v>0.4</v>
      </c>
      <c r="M55" s="475">
        <f>0.5*(MAX(J55:L55)-MIN(J55:L55))</f>
        <v>0.15</v>
      </c>
      <c r="N55" s="467">
        <f>(1.7/100)*(I55-J55)</f>
        <v>0.8449000000000001</v>
      </c>
      <c r="O55" s="905"/>
      <c r="P55" s="467">
        <v>50</v>
      </c>
      <c r="Q55" s="463">
        <v>0.1</v>
      </c>
      <c r="R55" s="474">
        <v>0.3</v>
      </c>
      <c r="S55" s="474">
        <v>0.3</v>
      </c>
      <c r="T55" s="475">
        <f>0.5*(MAX(R55:S55)-MIN(R55:S55))</f>
        <v>0</v>
      </c>
      <c r="U55" s="467">
        <f>(1.7/100)*(P55-Q55)</f>
        <v>0.84830000000000005</v>
      </c>
    </row>
    <row r="56" spans="1:21" x14ac:dyDescent="0.25">
      <c r="A56" s="908"/>
      <c r="B56" s="467">
        <v>100</v>
      </c>
      <c r="C56" s="463">
        <v>0.8</v>
      </c>
      <c r="D56" s="474">
        <v>1.4</v>
      </c>
      <c r="E56" s="474">
        <v>1</v>
      </c>
      <c r="F56" s="475">
        <f>0.5*(MAX(D56:E56)-MIN(D56:E56))</f>
        <v>0.19999999999999996</v>
      </c>
      <c r="G56" s="467">
        <f>(1.7/100)*(B56-C56)</f>
        <v>1.6864000000000001</v>
      </c>
      <c r="H56" s="905"/>
      <c r="I56" s="467">
        <v>100</v>
      </c>
      <c r="J56" s="474">
        <v>0.4</v>
      </c>
      <c r="K56" s="474">
        <v>1.5</v>
      </c>
      <c r="L56" s="474">
        <v>0.8</v>
      </c>
      <c r="M56" s="475">
        <f>0.5*(MAX(J56:L56)-MIN(J56:L56))</f>
        <v>0.55000000000000004</v>
      </c>
      <c r="N56" s="467">
        <f>(1.7/100)*(I56-J56)</f>
        <v>1.6932</v>
      </c>
      <c r="O56" s="905"/>
      <c r="P56" s="467">
        <v>100</v>
      </c>
      <c r="Q56" s="463">
        <v>2</v>
      </c>
      <c r="R56" s="474">
        <v>0.6</v>
      </c>
      <c r="S56" s="474">
        <v>0.6</v>
      </c>
      <c r="T56" s="475">
        <f>0.5*(MAX(R56:S56)-MIN(R56:S56))</f>
        <v>0</v>
      </c>
      <c r="U56" s="467">
        <f>(1.7/100)*(P56-Q56)</f>
        <v>1.6660000000000001</v>
      </c>
    </row>
    <row r="57" spans="1:21" ht="12.75" customHeight="1" x14ac:dyDescent="0.25">
      <c r="A57" s="908"/>
      <c r="B57" s="904" t="str">
        <f>B26</f>
        <v>Resistance</v>
      </c>
      <c r="C57" s="904"/>
      <c r="D57" s="904"/>
      <c r="E57" s="904"/>
      <c r="F57" s="903" t="s">
        <v>306</v>
      </c>
      <c r="G57" s="903" t="s">
        <v>240</v>
      </c>
      <c r="H57" s="905"/>
      <c r="I57" s="904" t="str">
        <f>B57</f>
        <v>Resistance</v>
      </c>
      <c r="J57" s="904"/>
      <c r="K57" s="904"/>
      <c r="L57" s="904"/>
      <c r="M57" s="903" t="s">
        <v>306</v>
      </c>
      <c r="N57" s="903" t="s">
        <v>240</v>
      </c>
      <c r="O57" s="905"/>
      <c r="P57" s="904" t="str">
        <f>I57</f>
        <v>Resistance</v>
      </c>
      <c r="Q57" s="904"/>
      <c r="R57" s="904"/>
      <c r="S57" s="904"/>
      <c r="T57" s="903" t="s">
        <v>306</v>
      </c>
      <c r="U57" s="903" t="s">
        <v>240</v>
      </c>
    </row>
    <row r="58" spans="1:21" ht="14.5" x14ac:dyDescent="0.25">
      <c r="A58" s="908"/>
      <c r="B58" s="477" t="s">
        <v>313</v>
      </c>
      <c r="C58" s="476">
        <f>C36</f>
        <v>2022</v>
      </c>
      <c r="D58" s="476">
        <f>D36</f>
        <v>2021</v>
      </c>
      <c r="E58" s="476">
        <f>E36</f>
        <v>2019</v>
      </c>
      <c r="F58" s="903"/>
      <c r="G58" s="903"/>
      <c r="H58" s="905"/>
      <c r="I58" s="477" t="s">
        <v>313</v>
      </c>
      <c r="J58" s="476">
        <f>J36</f>
        <v>2022</v>
      </c>
      <c r="K58" s="476">
        <f>K36</f>
        <v>2021</v>
      </c>
      <c r="L58" s="476">
        <f>L36</f>
        <v>2019</v>
      </c>
      <c r="M58" s="903"/>
      <c r="N58" s="903"/>
      <c r="O58" s="905"/>
      <c r="P58" s="477" t="s">
        <v>313</v>
      </c>
      <c r="Q58" s="476">
        <f>Q36</f>
        <v>2023</v>
      </c>
      <c r="R58" s="476">
        <f>R36</f>
        <v>2022</v>
      </c>
      <c r="S58" s="476">
        <f>S36</f>
        <v>2019</v>
      </c>
      <c r="T58" s="903"/>
      <c r="U58" s="903"/>
    </row>
    <row r="59" spans="1:21" x14ac:dyDescent="0.25">
      <c r="A59" s="908"/>
      <c r="B59" s="467">
        <v>0.01</v>
      </c>
      <c r="C59" s="489">
        <v>0</v>
      </c>
      <c r="D59" s="494">
        <v>9.9999999999999995E-7</v>
      </c>
      <c r="E59" s="494">
        <v>9.9999999999999995E-7</v>
      </c>
      <c r="F59" s="475">
        <f>0.5*(MAX(D59:E59)-MIN(D59:E59))</f>
        <v>0</v>
      </c>
      <c r="G59" s="467">
        <f>(1.2/100)*(B59-C59)</f>
        <v>1.2E-4</v>
      </c>
      <c r="H59" s="905"/>
      <c r="I59" s="467">
        <v>0.01</v>
      </c>
      <c r="J59" s="494">
        <v>0</v>
      </c>
      <c r="K59" s="494">
        <v>9.9999999999999995E-7</v>
      </c>
      <c r="L59" s="494">
        <v>9.9999999999999995E-7</v>
      </c>
      <c r="M59" s="475">
        <f>0.5*(MAX(J59:L59)-MIN(J59:L59))</f>
        <v>4.9999999999999998E-7</v>
      </c>
      <c r="N59" s="467">
        <f>(1.2/100)*(I59-J59)</f>
        <v>1.2E-4</v>
      </c>
      <c r="O59" s="905"/>
      <c r="P59" s="467">
        <v>0.01</v>
      </c>
      <c r="Q59" s="489">
        <v>0</v>
      </c>
      <c r="R59" s="494">
        <v>0</v>
      </c>
      <c r="S59" s="494">
        <v>9.9999999999999995E-7</v>
      </c>
      <c r="T59" s="475">
        <f>0.5*(MAX(R59:S59)-MIN(R59:S59))</f>
        <v>4.9999999999999998E-7</v>
      </c>
      <c r="U59" s="467">
        <f>(1.2/100)*(P59-Q59)</f>
        <v>1.2E-4</v>
      </c>
    </row>
    <row r="60" spans="1:21" x14ac:dyDescent="0.25">
      <c r="A60" s="908"/>
      <c r="B60" s="467">
        <v>0.1</v>
      </c>
      <c r="C60" s="489">
        <v>0</v>
      </c>
      <c r="D60" s="494">
        <v>-2E-3</v>
      </c>
      <c r="E60" s="494">
        <v>9.9999999999999995E-7</v>
      </c>
      <c r="F60" s="475">
        <f>0.5*(MAX(D60:E60)-MIN(D60:E60))</f>
        <v>1.0005000000000001E-3</v>
      </c>
      <c r="G60" s="467">
        <f>(1.2/100)*(B60-C60)</f>
        <v>1.2000000000000001E-3</v>
      </c>
      <c r="H60" s="905"/>
      <c r="I60" s="467">
        <v>0.1</v>
      </c>
      <c r="J60" s="494">
        <v>-6.0000000000000001E-3</v>
      </c>
      <c r="K60" s="494">
        <v>5.0000000000000001E-3</v>
      </c>
      <c r="L60" s="494">
        <v>2E-3</v>
      </c>
      <c r="M60" s="475">
        <f>0.5*(MAX(J60:L60)-MIN(J60:L60))</f>
        <v>5.4999999999999997E-3</v>
      </c>
      <c r="N60" s="467">
        <f>(1.2/100)*(I60-J60)</f>
        <v>1.2720000000000001E-3</v>
      </c>
      <c r="O60" s="905"/>
      <c r="P60" s="467">
        <v>0.1</v>
      </c>
      <c r="Q60" s="489">
        <v>0</v>
      </c>
      <c r="R60" s="494">
        <v>-3.0000000000000001E-3</v>
      </c>
      <c r="S60" s="494">
        <v>-2E-3</v>
      </c>
      <c r="T60" s="475">
        <f>0.5*(MAX(R60:S60)-MIN(R60:S60))</f>
        <v>5.0000000000000001E-4</v>
      </c>
      <c r="U60" s="467">
        <f>(1.2/100)*(P60-Q60)</f>
        <v>1.2000000000000001E-3</v>
      </c>
    </row>
    <row r="61" spans="1:21" x14ac:dyDescent="0.25">
      <c r="A61" s="908"/>
      <c r="B61" s="467">
        <v>1</v>
      </c>
      <c r="C61" s="489">
        <v>-2E-3</v>
      </c>
      <c r="D61" s="494">
        <v>-8.0000000000000002E-3</v>
      </c>
      <c r="E61" s="494">
        <v>-1E-3</v>
      </c>
      <c r="F61" s="475">
        <f>0.5*(MAX(D61:E61)-MIN(D61:E61))</f>
        <v>3.5000000000000001E-3</v>
      </c>
      <c r="G61" s="467">
        <f>(1.2/100)*(B61-C61)</f>
        <v>1.2024E-2</v>
      </c>
      <c r="H61" s="905"/>
      <c r="I61" s="467">
        <v>1</v>
      </c>
      <c r="J61" s="494">
        <v>-2E-3</v>
      </c>
      <c r="K61" s="494">
        <v>1.7999999999999999E-2</v>
      </c>
      <c r="L61" s="494">
        <v>1.2E-2</v>
      </c>
      <c r="M61" s="475">
        <f>0.5*(MAX(J61:L61)-MIN(J61:L61))</f>
        <v>9.9999999999999985E-3</v>
      </c>
      <c r="N61" s="467">
        <f>(1.2/100)*(I61-J61)</f>
        <v>1.2024E-2</v>
      </c>
      <c r="O61" s="905"/>
      <c r="P61" s="467">
        <v>1</v>
      </c>
      <c r="Q61" s="489">
        <v>-6.0000000000000001E-3</v>
      </c>
      <c r="R61" s="494">
        <v>-7.0000000000000001E-3</v>
      </c>
      <c r="S61" s="494">
        <v>-1E-3</v>
      </c>
      <c r="T61" s="475">
        <f>0.5*(MAX(R61:S61)-MIN(R61:S61))</f>
        <v>3.0000000000000001E-3</v>
      </c>
      <c r="U61" s="467">
        <f>(1.2/100)*(P61-Q61)</f>
        <v>1.2072000000000001E-2</v>
      </c>
    </row>
    <row r="62" spans="1:21" x14ac:dyDescent="0.25">
      <c r="A62" s="908"/>
      <c r="B62" s="467">
        <v>2</v>
      </c>
      <c r="C62" s="489">
        <v>-6.0000000000000001E-3</v>
      </c>
      <c r="D62" s="494">
        <v>-7.0000000000000001E-3</v>
      </c>
      <c r="E62" s="494">
        <v>9.9999999999999995E-7</v>
      </c>
      <c r="F62" s="475">
        <f>0.5*(MAX(D62:E62)-MIN(D62:E62))</f>
        <v>3.5005000000000001E-3</v>
      </c>
      <c r="G62" s="467">
        <f>(1.2/100)*(B62-C62)</f>
        <v>2.4071999999999996E-2</v>
      </c>
      <c r="H62" s="905"/>
      <c r="I62" s="486">
        <v>2</v>
      </c>
      <c r="J62" s="495">
        <v>-4.0000000000000001E-3</v>
      </c>
      <c r="K62" s="495">
        <v>0.113</v>
      </c>
      <c r="L62" s="495">
        <v>9.9999999999999995E-7</v>
      </c>
      <c r="M62" s="485">
        <f>0.5*(MAX(J62:L62)-MIN(J62:L62))</f>
        <v>5.8500000000000003E-2</v>
      </c>
      <c r="N62" s="467">
        <f>(1.2/100)*(I62-J62)</f>
        <v>2.4048E-2</v>
      </c>
      <c r="O62" s="905"/>
      <c r="P62" s="467">
        <v>2</v>
      </c>
      <c r="Q62" s="489">
        <v>-7.0000000000000001E-3</v>
      </c>
      <c r="R62" s="494">
        <v>-7.0000000000000001E-3</v>
      </c>
      <c r="S62" s="494">
        <v>9.9999999999999995E-7</v>
      </c>
      <c r="T62" s="475">
        <f>0.5*(MAX(R62:S62)-MIN(R62:S62))</f>
        <v>3.5005000000000001E-3</v>
      </c>
      <c r="U62" s="467">
        <f>(1.2/100)*(P62-Q62)</f>
        <v>2.4084000000000001E-2</v>
      </c>
    </row>
    <row r="63" spans="1:21" ht="15.5" x14ac:dyDescent="0.25">
      <c r="A63" s="493"/>
      <c r="B63" s="454"/>
      <c r="C63" s="454"/>
      <c r="D63" s="481"/>
      <c r="E63" s="481"/>
      <c r="F63" s="481"/>
      <c r="H63" s="482"/>
      <c r="I63" s="492"/>
      <c r="J63" s="454"/>
      <c r="K63" s="481"/>
      <c r="L63" s="481"/>
      <c r="M63" s="481"/>
      <c r="O63" s="482"/>
      <c r="P63" s="454"/>
      <c r="Q63" s="454"/>
      <c r="T63" s="491"/>
    </row>
    <row r="64" spans="1:21" ht="14.5" customHeight="1" x14ac:dyDescent="0.25">
      <c r="A64" s="908" t="s">
        <v>245</v>
      </c>
      <c r="B64" s="909" t="s">
        <v>317</v>
      </c>
      <c r="C64" s="909"/>
      <c r="D64" s="909"/>
      <c r="E64" s="909"/>
      <c r="F64" s="909"/>
      <c r="G64" s="909"/>
      <c r="H64" s="905" t="s">
        <v>246</v>
      </c>
      <c r="I64" s="909" t="s">
        <v>318</v>
      </c>
      <c r="J64" s="909"/>
      <c r="K64" s="909"/>
      <c r="L64" s="909"/>
      <c r="M64" s="909"/>
      <c r="N64" s="909"/>
      <c r="O64" s="905" t="s">
        <v>62</v>
      </c>
      <c r="P64" s="909" t="s">
        <v>319</v>
      </c>
      <c r="Q64" s="909"/>
      <c r="R64" s="909"/>
      <c r="S64" s="909"/>
      <c r="T64" s="909"/>
      <c r="U64" s="909"/>
    </row>
    <row r="65" spans="1:21" ht="14" x14ac:dyDescent="0.3">
      <c r="A65" s="908"/>
      <c r="B65" s="910" t="s">
        <v>304</v>
      </c>
      <c r="C65" s="910"/>
      <c r="D65" s="910"/>
      <c r="E65" s="910"/>
      <c r="F65" s="910"/>
      <c r="G65" s="910"/>
      <c r="H65" s="905"/>
      <c r="I65" s="907" t="s">
        <v>304</v>
      </c>
      <c r="J65" s="907"/>
      <c r="K65" s="907"/>
      <c r="L65" s="907"/>
      <c r="M65" s="907"/>
      <c r="N65" s="907"/>
      <c r="O65" s="905"/>
      <c r="P65" s="907" t="s">
        <v>304</v>
      </c>
      <c r="Q65" s="907"/>
      <c r="R65" s="907"/>
      <c r="S65" s="907"/>
      <c r="T65" s="907"/>
      <c r="U65" s="907"/>
    </row>
    <row r="66" spans="1:21" ht="13" x14ac:dyDescent="0.25">
      <c r="A66" s="908"/>
      <c r="B66" s="903" t="s">
        <v>305</v>
      </c>
      <c r="C66" s="903"/>
      <c r="D66" s="903"/>
      <c r="E66" s="903"/>
      <c r="F66" s="903" t="s">
        <v>306</v>
      </c>
      <c r="G66" s="903" t="s">
        <v>240</v>
      </c>
      <c r="H66" s="905"/>
      <c r="I66" s="903" t="str">
        <f>B66</f>
        <v>Setting VAC</v>
      </c>
      <c r="J66" s="903"/>
      <c r="K66" s="903"/>
      <c r="L66" s="903"/>
      <c r="M66" s="903" t="s">
        <v>306</v>
      </c>
      <c r="N66" s="903" t="s">
        <v>240</v>
      </c>
      <c r="O66" s="905"/>
      <c r="P66" s="903" t="str">
        <f>B66</f>
        <v>Setting VAC</v>
      </c>
      <c r="Q66" s="903"/>
      <c r="R66" s="903"/>
      <c r="S66" s="903"/>
      <c r="T66" s="903" t="s">
        <v>306</v>
      </c>
      <c r="U66" s="903" t="s">
        <v>240</v>
      </c>
    </row>
    <row r="67" spans="1:21" ht="14" x14ac:dyDescent="0.25">
      <c r="A67" s="908"/>
      <c r="B67" s="477" t="s">
        <v>307</v>
      </c>
      <c r="C67" s="476">
        <v>2023</v>
      </c>
      <c r="D67" s="476">
        <v>2022</v>
      </c>
      <c r="E67" s="476">
        <v>2020</v>
      </c>
      <c r="F67" s="903"/>
      <c r="G67" s="903"/>
      <c r="H67" s="905"/>
      <c r="I67" s="477" t="s">
        <v>307</v>
      </c>
      <c r="J67" s="476">
        <v>2022</v>
      </c>
      <c r="K67" s="476">
        <v>2020</v>
      </c>
      <c r="L67" s="476">
        <v>2016</v>
      </c>
      <c r="M67" s="903"/>
      <c r="N67" s="903"/>
      <c r="O67" s="905"/>
      <c r="P67" s="477" t="s">
        <v>307</v>
      </c>
      <c r="Q67" s="476">
        <v>2022</v>
      </c>
      <c r="R67" s="476">
        <v>2020</v>
      </c>
      <c r="S67" s="476">
        <v>2016</v>
      </c>
      <c r="T67" s="903"/>
      <c r="U67" s="903"/>
    </row>
    <row r="68" spans="1:21" ht="13" x14ac:dyDescent="0.25">
      <c r="A68" s="908"/>
      <c r="B68" s="467">
        <v>150</v>
      </c>
      <c r="C68" s="463">
        <v>0.14000000000000001</v>
      </c>
      <c r="D68" s="467">
        <v>0.36</v>
      </c>
      <c r="E68" s="467">
        <v>0.21</v>
      </c>
      <c r="F68" s="475">
        <f t="shared" ref="F68:F73" si="22">0.5*(MAX(D68:E68)-MIN(D68:E68))</f>
        <v>7.4999999999999997E-2</v>
      </c>
      <c r="G68" s="467">
        <f t="shared" ref="G68:G73" si="23">(1.2/100)*B68</f>
        <v>1.8</v>
      </c>
      <c r="H68" s="905"/>
      <c r="I68" s="467">
        <v>150</v>
      </c>
      <c r="J68" s="490">
        <v>-0.17</v>
      </c>
      <c r="K68" s="490">
        <v>-0.24</v>
      </c>
      <c r="L68" s="463"/>
      <c r="M68" s="475">
        <f t="shared" ref="M68:M73" si="24">0.5*(MAX(J68:L68)-MIN(J68:L68))</f>
        <v>3.4999999999999989E-2</v>
      </c>
      <c r="N68" s="467">
        <f t="shared" ref="N68:N73" si="25">(1.2/100)*I68</f>
        <v>1.8</v>
      </c>
      <c r="O68" s="905"/>
      <c r="P68" s="467">
        <v>150</v>
      </c>
      <c r="Q68" s="490">
        <v>-0.08</v>
      </c>
      <c r="R68" s="490">
        <v>-0.17</v>
      </c>
      <c r="S68" s="463"/>
      <c r="T68" s="475">
        <f t="shared" ref="T68:T73" si="26">0.5*(MAX(Q68:S68)-MIN(Q68:S68))</f>
        <v>4.5000000000000005E-2</v>
      </c>
      <c r="U68" s="467">
        <f t="shared" ref="U68:U73" si="27">(1.2/100)*P68</f>
        <v>1.8</v>
      </c>
    </row>
    <row r="69" spans="1:21" ht="13" x14ac:dyDescent="0.25">
      <c r="A69" s="908"/>
      <c r="B69" s="467">
        <v>180</v>
      </c>
      <c r="C69" s="463">
        <v>0.34</v>
      </c>
      <c r="D69" s="467">
        <v>0.46</v>
      </c>
      <c r="E69" s="467">
        <v>0.33</v>
      </c>
      <c r="F69" s="475">
        <f t="shared" si="22"/>
        <v>6.5000000000000002E-2</v>
      </c>
      <c r="G69" s="467">
        <f t="shared" si="23"/>
        <v>2.16</v>
      </c>
      <c r="H69" s="905"/>
      <c r="I69" s="467">
        <v>180</v>
      </c>
      <c r="J69" s="490">
        <v>-0.39</v>
      </c>
      <c r="K69" s="490">
        <v>-0.14000000000000001</v>
      </c>
      <c r="L69" s="463"/>
      <c r="M69" s="475">
        <f t="shared" si="24"/>
        <v>0.125</v>
      </c>
      <c r="N69" s="467">
        <f t="shared" si="25"/>
        <v>2.16</v>
      </c>
      <c r="O69" s="905"/>
      <c r="P69" s="467">
        <v>180</v>
      </c>
      <c r="Q69" s="490">
        <v>-0.2</v>
      </c>
      <c r="R69" s="490">
        <v>-0.22</v>
      </c>
      <c r="S69" s="463"/>
      <c r="T69" s="475">
        <f t="shared" si="26"/>
        <v>9.999999999999995E-3</v>
      </c>
      <c r="U69" s="467">
        <f t="shared" si="27"/>
        <v>2.16</v>
      </c>
    </row>
    <row r="70" spans="1:21" x14ac:dyDescent="0.25">
      <c r="A70" s="908"/>
      <c r="B70" s="467">
        <v>200</v>
      </c>
      <c r="C70" s="463">
        <v>0.42</v>
      </c>
      <c r="D70" s="467">
        <v>0.52</v>
      </c>
      <c r="E70" s="467">
        <v>0.34</v>
      </c>
      <c r="F70" s="475">
        <f t="shared" si="22"/>
        <v>0.09</v>
      </c>
      <c r="G70" s="467">
        <f t="shared" si="23"/>
        <v>2.4</v>
      </c>
      <c r="H70" s="905"/>
      <c r="I70" s="467">
        <v>200</v>
      </c>
      <c r="J70" s="467">
        <v>-0.23</v>
      </c>
      <c r="K70" s="467">
        <v>-0.33</v>
      </c>
      <c r="L70" s="463"/>
      <c r="M70" s="475">
        <f t="shared" si="24"/>
        <v>0.05</v>
      </c>
      <c r="N70" s="467">
        <f t="shared" si="25"/>
        <v>2.4</v>
      </c>
      <c r="O70" s="905"/>
      <c r="P70" s="467">
        <v>200</v>
      </c>
      <c r="Q70" s="467">
        <v>-0.25</v>
      </c>
      <c r="R70" s="467">
        <v>-0.33</v>
      </c>
      <c r="S70" s="463"/>
      <c r="T70" s="475">
        <f t="shared" si="26"/>
        <v>4.0000000000000008E-2</v>
      </c>
      <c r="U70" s="467">
        <f t="shared" si="27"/>
        <v>2.4</v>
      </c>
    </row>
    <row r="71" spans="1:21" x14ac:dyDescent="0.25">
      <c r="A71" s="908"/>
      <c r="B71" s="467">
        <v>220</v>
      </c>
      <c r="C71" s="463">
        <v>0.32</v>
      </c>
      <c r="D71" s="467">
        <v>0.57999999999999996</v>
      </c>
      <c r="E71" s="467">
        <v>0.37</v>
      </c>
      <c r="F71" s="475">
        <f t="shared" si="22"/>
        <v>0.10499999999999998</v>
      </c>
      <c r="G71" s="467">
        <f t="shared" si="23"/>
        <v>2.64</v>
      </c>
      <c r="H71" s="905"/>
      <c r="I71" s="467">
        <v>220</v>
      </c>
      <c r="J71" s="467">
        <v>-0.16</v>
      </c>
      <c r="K71" s="467">
        <v>-0.45</v>
      </c>
      <c r="L71" s="463"/>
      <c r="M71" s="475">
        <f t="shared" si="24"/>
        <v>0.14500000000000002</v>
      </c>
      <c r="N71" s="467">
        <f t="shared" si="25"/>
        <v>2.64</v>
      </c>
      <c r="O71" s="905"/>
      <c r="P71" s="467">
        <v>220</v>
      </c>
      <c r="Q71" s="467">
        <v>-0.28999999999999998</v>
      </c>
      <c r="R71" s="467">
        <v>-0.39</v>
      </c>
      <c r="S71" s="463"/>
      <c r="T71" s="475">
        <f t="shared" si="26"/>
        <v>5.0000000000000017E-2</v>
      </c>
      <c r="U71" s="467">
        <f t="shared" si="27"/>
        <v>2.64</v>
      </c>
    </row>
    <row r="72" spans="1:21" x14ac:dyDescent="0.25">
      <c r="A72" s="908"/>
      <c r="B72" s="467">
        <v>230</v>
      </c>
      <c r="C72" s="463">
        <v>0.38</v>
      </c>
      <c r="D72" s="467">
        <v>0.47</v>
      </c>
      <c r="E72" s="467">
        <v>0.47</v>
      </c>
      <c r="F72" s="475">
        <f t="shared" si="22"/>
        <v>0</v>
      </c>
      <c r="G72" s="467">
        <f t="shared" si="23"/>
        <v>2.7600000000000002</v>
      </c>
      <c r="H72" s="905"/>
      <c r="I72" s="467">
        <v>230</v>
      </c>
      <c r="J72" s="467">
        <v>-0.15</v>
      </c>
      <c r="K72" s="467">
        <v>-0.54</v>
      </c>
      <c r="L72" s="463"/>
      <c r="M72" s="475">
        <f t="shared" si="24"/>
        <v>0.19500000000000001</v>
      </c>
      <c r="N72" s="467">
        <f t="shared" si="25"/>
        <v>2.7600000000000002</v>
      </c>
      <c r="O72" s="905"/>
      <c r="P72" s="467">
        <v>230</v>
      </c>
      <c r="Q72" s="467">
        <v>-0.34</v>
      </c>
      <c r="R72" s="467">
        <v>-0.39</v>
      </c>
      <c r="S72" s="463"/>
      <c r="T72" s="475">
        <f t="shared" si="26"/>
        <v>2.4999999999999994E-2</v>
      </c>
      <c r="U72" s="467">
        <f t="shared" si="27"/>
        <v>2.7600000000000002</v>
      </c>
    </row>
    <row r="73" spans="1:21" x14ac:dyDescent="0.25">
      <c r="A73" s="908"/>
      <c r="B73" s="467">
        <v>240</v>
      </c>
      <c r="C73" s="463">
        <v>0.44</v>
      </c>
      <c r="D73" s="467">
        <v>0</v>
      </c>
      <c r="E73" s="467">
        <v>0.38</v>
      </c>
      <c r="F73" s="475">
        <f t="shared" si="22"/>
        <v>0.19</v>
      </c>
      <c r="G73" s="467">
        <f t="shared" si="23"/>
        <v>2.88</v>
      </c>
      <c r="H73" s="905"/>
      <c r="I73" s="467">
        <v>250</v>
      </c>
      <c r="J73" s="467">
        <v>9.9999999999999995E-7</v>
      </c>
      <c r="K73" s="467">
        <v>-0.49</v>
      </c>
      <c r="L73" s="463"/>
      <c r="M73" s="475">
        <f t="shared" si="24"/>
        <v>0.24500049999999998</v>
      </c>
      <c r="N73" s="467">
        <f t="shared" si="25"/>
        <v>3</v>
      </c>
      <c r="O73" s="905"/>
      <c r="P73" s="467">
        <v>250</v>
      </c>
      <c r="Q73" s="467">
        <v>0</v>
      </c>
      <c r="R73" s="467">
        <v>-0.39</v>
      </c>
      <c r="S73" s="463"/>
      <c r="T73" s="475">
        <f t="shared" si="26"/>
        <v>0.19500000000000001</v>
      </c>
      <c r="U73" s="467">
        <f t="shared" si="27"/>
        <v>3</v>
      </c>
    </row>
    <row r="74" spans="1:21" ht="12.75" customHeight="1" x14ac:dyDescent="0.25">
      <c r="A74" s="908"/>
      <c r="B74" s="904" t="s">
        <v>308</v>
      </c>
      <c r="C74" s="904"/>
      <c r="D74" s="904"/>
      <c r="E74" s="904"/>
      <c r="F74" s="903" t="s">
        <v>306</v>
      </c>
      <c r="G74" s="903" t="s">
        <v>240</v>
      </c>
      <c r="H74" s="905"/>
      <c r="I74" s="904" t="str">
        <f>B74</f>
        <v>Current Leakage</v>
      </c>
      <c r="J74" s="904"/>
      <c r="K74" s="904"/>
      <c r="L74" s="904"/>
      <c r="M74" s="903" t="s">
        <v>306</v>
      </c>
      <c r="N74" s="903" t="s">
        <v>240</v>
      </c>
      <c r="O74" s="905"/>
      <c r="P74" s="904" t="str">
        <f>B74</f>
        <v>Current Leakage</v>
      </c>
      <c r="Q74" s="904"/>
      <c r="R74" s="904"/>
      <c r="S74" s="904"/>
      <c r="T74" s="903" t="s">
        <v>306</v>
      </c>
      <c r="U74" s="903" t="s">
        <v>240</v>
      </c>
    </row>
    <row r="75" spans="1:21" ht="14" x14ac:dyDescent="0.25">
      <c r="A75" s="908"/>
      <c r="B75" s="477" t="s">
        <v>309</v>
      </c>
      <c r="C75" s="476">
        <f>C67</f>
        <v>2023</v>
      </c>
      <c r="D75" s="476">
        <f>D67</f>
        <v>2022</v>
      </c>
      <c r="E75" s="476">
        <f>E67</f>
        <v>2020</v>
      </c>
      <c r="F75" s="903"/>
      <c r="G75" s="903"/>
      <c r="H75" s="905"/>
      <c r="I75" s="477" t="s">
        <v>309</v>
      </c>
      <c r="J75" s="476">
        <f>J67</f>
        <v>2022</v>
      </c>
      <c r="K75" s="476">
        <f>K67</f>
        <v>2020</v>
      </c>
      <c r="L75" s="476">
        <f>L67</f>
        <v>2016</v>
      </c>
      <c r="M75" s="903"/>
      <c r="N75" s="903"/>
      <c r="O75" s="905"/>
      <c r="P75" s="477" t="s">
        <v>309</v>
      </c>
      <c r="Q75" s="476">
        <f>Q67</f>
        <v>2022</v>
      </c>
      <c r="R75" s="476">
        <f>R67</f>
        <v>2020</v>
      </c>
      <c r="S75" s="476">
        <f>S67</f>
        <v>2016</v>
      </c>
      <c r="T75" s="903"/>
      <c r="U75" s="903"/>
    </row>
    <row r="76" spans="1:21" x14ac:dyDescent="0.25">
      <c r="A76" s="908"/>
      <c r="B76" s="467">
        <v>0</v>
      </c>
      <c r="C76" s="463">
        <v>0</v>
      </c>
      <c r="D76" s="467">
        <v>0</v>
      </c>
      <c r="E76" s="467">
        <v>9.9999999999999995E-7</v>
      </c>
      <c r="F76" s="475">
        <f t="shared" ref="F76:F81" si="28">0.5*(MAX(D76:E76)-MIN(D76:E76))</f>
        <v>4.9999999999999998E-7</v>
      </c>
      <c r="G76" s="467">
        <f t="shared" ref="G76:G81" si="29">(0.59/100)*B76</f>
        <v>0</v>
      </c>
      <c r="H76" s="905"/>
      <c r="I76" s="467">
        <v>0</v>
      </c>
      <c r="J76" s="467">
        <v>9.9999999999999995E-7</v>
      </c>
      <c r="K76" s="467">
        <v>9.9999999999999995E-7</v>
      </c>
      <c r="L76" s="463"/>
      <c r="M76" s="475">
        <f t="shared" ref="M76:M81" si="30">0.5*(MAX(J76:L76)-MIN(J76:L76))</f>
        <v>0</v>
      </c>
      <c r="N76" s="467">
        <f t="shared" ref="N76:N81" si="31">(0.59/100)*I76</f>
        <v>0</v>
      </c>
      <c r="O76" s="905"/>
      <c r="P76" s="467">
        <v>0</v>
      </c>
      <c r="Q76" s="467">
        <v>0</v>
      </c>
      <c r="R76" s="467">
        <v>9.9999999999999995E-7</v>
      </c>
      <c r="S76" s="463"/>
      <c r="T76" s="475">
        <f t="shared" ref="T76:T81" si="32">0.5*(MAX(Q76:S76)-MIN(Q76:S76))</f>
        <v>4.9999999999999998E-7</v>
      </c>
      <c r="U76" s="467">
        <v>0.12</v>
      </c>
    </row>
    <row r="77" spans="1:21" x14ac:dyDescent="0.25">
      <c r="A77" s="908"/>
      <c r="B77" s="467">
        <v>50</v>
      </c>
      <c r="C77" s="463">
        <v>5</v>
      </c>
      <c r="D77" s="467">
        <v>1.9</v>
      </c>
      <c r="E77" s="467">
        <v>1.7</v>
      </c>
      <c r="F77" s="475">
        <f t="shared" si="28"/>
        <v>9.9999999999999978E-2</v>
      </c>
      <c r="G77" s="467">
        <f t="shared" si="29"/>
        <v>0.29499999999999998</v>
      </c>
      <c r="H77" s="905"/>
      <c r="I77" s="467">
        <v>20</v>
      </c>
      <c r="J77" s="467">
        <v>6.6</v>
      </c>
      <c r="K77" s="467">
        <v>0.9</v>
      </c>
      <c r="L77" s="463"/>
      <c r="M77" s="475">
        <f t="shared" si="30"/>
        <v>2.8499999999999996</v>
      </c>
      <c r="N77" s="467">
        <f t="shared" si="31"/>
        <v>0.11799999999999999</v>
      </c>
      <c r="O77" s="905"/>
      <c r="P77" s="467">
        <v>20</v>
      </c>
      <c r="Q77" s="467">
        <v>4.9000000000000004</v>
      </c>
      <c r="R77" s="467">
        <v>0.8</v>
      </c>
      <c r="S77" s="463"/>
      <c r="T77" s="475">
        <f t="shared" si="32"/>
        <v>2.0500000000000003</v>
      </c>
      <c r="U77" s="467">
        <f>(0.59/100)*P77</f>
        <v>0.11799999999999999</v>
      </c>
    </row>
    <row r="78" spans="1:21" x14ac:dyDescent="0.25">
      <c r="A78" s="908"/>
      <c r="B78" s="467">
        <v>100</v>
      </c>
      <c r="C78" s="463">
        <v>6.2</v>
      </c>
      <c r="D78" s="467">
        <v>1.7</v>
      </c>
      <c r="E78" s="467">
        <v>1.7</v>
      </c>
      <c r="F78" s="475">
        <f t="shared" si="28"/>
        <v>0</v>
      </c>
      <c r="G78" s="467">
        <f t="shared" si="29"/>
        <v>0.59</v>
      </c>
      <c r="H78" s="905"/>
      <c r="I78" s="467">
        <v>50</v>
      </c>
      <c r="J78" s="467">
        <v>5</v>
      </c>
      <c r="K78" s="467">
        <v>2.1</v>
      </c>
      <c r="L78" s="463"/>
      <c r="M78" s="475">
        <f t="shared" si="30"/>
        <v>1.45</v>
      </c>
      <c r="N78" s="467">
        <f t="shared" si="31"/>
        <v>0.29499999999999998</v>
      </c>
      <c r="O78" s="905"/>
      <c r="P78" s="467">
        <v>50</v>
      </c>
      <c r="Q78" s="467">
        <v>9.1999999999999993</v>
      </c>
      <c r="R78" s="467">
        <v>1.7</v>
      </c>
      <c r="S78" s="463"/>
      <c r="T78" s="475">
        <f t="shared" si="32"/>
        <v>3.7499999999999996</v>
      </c>
      <c r="U78" s="467">
        <f>(0.59/100)*P78</f>
        <v>0.29499999999999998</v>
      </c>
    </row>
    <row r="79" spans="1:21" x14ac:dyDescent="0.25">
      <c r="A79" s="908"/>
      <c r="B79" s="467">
        <v>200</v>
      </c>
      <c r="C79" s="463">
        <v>8.6</v>
      </c>
      <c r="D79" s="467">
        <v>1.5</v>
      </c>
      <c r="E79" s="467">
        <v>0.4</v>
      </c>
      <c r="F79" s="475">
        <f t="shared" si="28"/>
        <v>0.55000000000000004</v>
      </c>
      <c r="G79" s="467">
        <f t="shared" si="29"/>
        <v>1.18</v>
      </c>
      <c r="H79" s="905"/>
      <c r="I79" s="467">
        <v>200</v>
      </c>
      <c r="J79" s="467">
        <v>-8.1999999999999993</v>
      </c>
      <c r="K79" s="467">
        <v>3.7</v>
      </c>
      <c r="L79" s="463"/>
      <c r="M79" s="475">
        <f t="shared" si="30"/>
        <v>5.9499999999999993</v>
      </c>
      <c r="N79" s="467">
        <f t="shared" si="31"/>
        <v>1.18</v>
      </c>
      <c r="O79" s="905"/>
      <c r="P79" s="467">
        <v>200</v>
      </c>
      <c r="Q79" s="467">
        <v>-0.2</v>
      </c>
      <c r="R79" s="467">
        <v>3.4</v>
      </c>
      <c r="S79" s="463"/>
      <c r="T79" s="475">
        <f t="shared" si="32"/>
        <v>1.8</v>
      </c>
      <c r="U79" s="467">
        <f>(0.59/100)*P79</f>
        <v>1.18</v>
      </c>
    </row>
    <row r="80" spans="1:21" x14ac:dyDescent="0.25">
      <c r="A80" s="908"/>
      <c r="B80" s="467">
        <v>500</v>
      </c>
      <c r="C80" s="463">
        <v>9.3000000000000007</v>
      </c>
      <c r="D80" s="467">
        <v>0.9</v>
      </c>
      <c r="E80" s="467">
        <v>3</v>
      </c>
      <c r="F80" s="475">
        <f t="shared" si="28"/>
        <v>1.05</v>
      </c>
      <c r="G80" s="467">
        <f t="shared" si="29"/>
        <v>2.9499999999999997</v>
      </c>
      <c r="H80" s="905"/>
      <c r="I80" s="467">
        <v>500</v>
      </c>
      <c r="J80" s="467">
        <v>-31.8</v>
      </c>
      <c r="K80" s="467">
        <v>8.3000000000000007</v>
      </c>
      <c r="L80" s="463"/>
      <c r="M80" s="475">
        <f t="shared" si="30"/>
        <v>20.05</v>
      </c>
      <c r="N80" s="467">
        <f t="shared" si="31"/>
        <v>2.9499999999999997</v>
      </c>
      <c r="O80" s="905"/>
      <c r="P80" s="467">
        <v>500</v>
      </c>
      <c r="Q80" s="467">
        <v>-25.1</v>
      </c>
      <c r="R80" s="467">
        <v>7.2</v>
      </c>
      <c r="S80" s="463"/>
      <c r="T80" s="475">
        <f t="shared" si="32"/>
        <v>16.150000000000002</v>
      </c>
      <c r="U80" s="467">
        <f>(0.59/100)*P80</f>
        <v>2.9499999999999997</v>
      </c>
    </row>
    <row r="81" spans="1:21" x14ac:dyDescent="0.25">
      <c r="A81" s="908"/>
      <c r="B81" s="467">
        <v>1000</v>
      </c>
      <c r="C81" s="463">
        <v>-88</v>
      </c>
      <c r="D81" s="467">
        <v>0</v>
      </c>
      <c r="E81" s="467">
        <v>9.9999999999999995E-7</v>
      </c>
      <c r="F81" s="475">
        <f t="shared" si="28"/>
        <v>4.9999999999999998E-7</v>
      </c>
      <c r="G81" s="467">
        <f t="shared" si="29"/>
        <v>5.8999999999999995</v>
      </c>
      <c r="H81" s="905"/>
      <c r="I81" s="467">
        <v>1000</v>
      </c>
      <c r="J81" s="467">
        <v>-74</v>
      </c>
      <c r="K81" s="467">
        <v>9.9999999999999995E-7</v>
      </c>
      <c r="L81" s="463"/>
      <c r="M81" s="475">
        <f t="shared" si="30"/>
        <v>37.000000499999999</v>
      </c>
      <c r="N81" s="467">
        <f t="shared" si="31"/>
        <v>5.8999999999999995</v>
      </c>
      <c r="O81" s="905"/>
      <c r="P81" s="467">
        <v>1000</v>
      </c>
      <c r="Q81" s="467">
        <v>-6.6000000000000003E-2</v>
      </c>
      <c r="R81" s="467">
        <v>9.9999999999999995E-7</v>
      </c>
      <c r="S81" s="463"/>
      <c r="T81" s="475">
        <f t="shared" si="32"/>
        <v>3.3000500000000002E-2</v>
      </c>
      <c r="U81" s="467">
        <v>2.99</v>
      </c>
    </row>
    <row r="82" spans="1:21" ht="13" x14ac:dyDescent="0.25">
      <c r="A82" s="908"/>
      <c r="B82" s="904" t="s">
        <v>310</v>
      </c>
      <c r="C82" s="904"/>
      <c r="D82" s="904"/>
      <c r="E82" s="904"/>
      <c r="F82" s="903" t="s">
        <v>306</v>
      </c>
      <c r="G82" s="903" t="s">
        <v>240</v>
      </c>
      <c r="H82" s="905"/>
      <c r="I82" s="904" t="s">
        <v>310</v>
      </c>
      <c r="J82" s="904"/>
      <c r="K82" s="904"/>
      <c r="L82" s="904"/>
      <c r="M82" s="903" t="s">
        <v>306</v>
      </c>
      <c r="N82" s="903" t="s">
        <v>240</v>
      </c>
      <c r="O82" s="905"/>
      <c r="P82" s="904" t="str">
        <f>B82</f>
        <v>Main-PE</v>
      </c>
      <c r="Q82" s="904"/>
      <c r="R82" s="904"/>
      <c r="S82" s="904"/>
      <c r="T82" s="903" t="s">
        <v>306</v>
      </c>
      <c r="U82" s="903" t="s">
        <v>240</v>
      </c>
    </row>
    <row r="83" spans="1:21" ht="14.5" x14ac:dyDescent="0.25">
      <c r="A83" s="908"/>
      <c r="B83" s="477" t="s">
        <v>311</v>
      </c>
      <c r="C83" s="476">
        <f>C67</f>
        <v>2023</v>
      </c>
      <c r="D83" s="476">
        <f>D67</f>
        <v>2022</v>
      </c>
      <c r="E83" s="476">
        <f>E67</f>
        <v>2020</v>
      </c>
      <c r="F83" s="903"/>
      <c r="G83" s="903"/>
      <c r="H83" s="905"/>
      <c r="I83" s="477" t="s">
        <v>311</v>
      </c>
      <c r="J83" s="476">
        <f>J67</f>
        <v>2022</v>
      </c>
      <c r="K83" s="476">
        <f>K67</f>
        <v>2020</v>
      </c>
      <c r="L83" s="476">
        <f>L67</f>
        <v>2016</v>
      </c>
      <c r="M83" s="903"/>
      <c r="N83" s="903"/>
      <c r="O83" s="905"/>
      <c r="P83" s="477" t="s">
        <v>311</v>
      </c>
      <c r="Q83" s="476">
        <f>Q67</f>
        <v>2022</v>
      </c>
      <c r="R83" s="476">
        <f>R67</f>
        <v>2020</v>
      </c>
      <c r="S83" s="476">
        <f>S67</f>
        <v>2016</v>
      </c>
      <c r="T83" s="903"/>
      <c r="U83" s="903"/>
    </row>
    <row r="84" spans="1:21" x14ac:dyDescent="0.25">
      <c r="A84" s="908"/>
      <c r="B84" s="467">
        <v>10</v>
      </c>
      <c r="C84" s="463">
        <v>0</v>
      </c>
      <c r="D84" s="467">
        <v>0</v>
      </c>
      <c r="E84" s="467">
        <v>9.9999999999999995E-7</v>
      </c>
      <c r="F84" s="475">
        <f>0.5*(MAX(D84:E84)-MIN(D84:E84))</f>
        <v>4.9999999999999998E-7</v>
      </c>
      <c r="G84" s="467">
        <f>(1.7/100)*(B84-C84)</f>
        <v>0.17</v>
      </c>
      <c r="H84" s="905"/>
      <c r="I84" s="467">
        <v>10</v>
      </c>
      <c r="J84" s="467">
        <v>9.9999999999999995E-7</v>
      </c>
      <c r="K84" s="467">
        <v>9.9999999999999995E-7</v>
      </c>
      <c r="L84" s="463"/>
      <c r="M84" s="475">
        <f>0.5*(MAX(J84:L84)-MIN(J84:L84))</f>
        <v>0</v>
      </c>
      <c r="N84" s="467">
        <f>(1.7/100)*I84</f>
        <v>0.17</v>
      </c>
      <c r="O84" s="905"/>
      <c r="P84" s="467">
        <v>10</v>
      </c>
      <c r="Q84" s="467">
        <v>0</v>
      </c>
      <c r="R84" s="467">
        <v>9.9999999999999995E-7</v>
      </c>
      <c r="S84" s="463"/>
      <c r="T84" s="475">
        <f>0.5*(MAX(Q84:S84)-MIN(Q84:S84))</f>
        <v>4.9999999999999998E-7</v>
      </c>
      <c r="U84" s="467">
        <v>0</v>
      </c>
    </row>
    <row r="85" spans="1:21" x14ac:dyDescent="0.25">
      <c r="A85" s="908"/>
      <c r="B85" s="467">
        <v>20</v>
      </c>
      <c r="C85" s="463">
        <v>0.1</v>
      </c>
      <c r="D85" s="467">
        <v>0.1</v>
      </c>
      <c r="E85" s="467">
        <v>9.9999999999999995E-7</v>
      </c>
      <c r="F85" s="475">
        <f>0.5*(MAX(D85:E85)-MIN(D85:E85))</f>
        <v>4.9999500000000002E-2</v>
      </c>
      <c r="G85" s="467">
        <f>(1.7/100)*(B85-C85)</f>
        <v>0.33829999999999999</v>
      </c>
      <c r="H85" s="905"/>
      <c r="I85" s="467">
        <v>20</v>
      </c>
      <c r="J85" s="467">
        <v>9.9999999999999995E-7</v>
      </c>
      <c r="K85" s="467">
        <v>9.9999999999999995E-7</v>
      </c>
      <c r="L85" s="463"/>
      <c r="M85" s="475">
        <f>0.5*(MAX(J85:L85)-MIN(J85:L85))</f>
        <v>0</v>
      </c>
      <c r="N85" s="467">
        <f>(1.7/100)*I85</f>
        <v>0.34</v>
      </c>
      <c r="O85" s="905"/>
      <c r="P85" s="467">
        <v>20</v>
      </c>
      <c r="Q85" s="467">
        <v>0</v>
      </c>
      <c r="R85" s="467">
        <v>9.9999999999999995E-7</v>
      </c>
      <c r="S85" s="463"/>
      <c r="T85" s="475">
        <f>0.5*(MAX(Q85:S85)-MIN(Q85:S85))</f>
        <v>4.9999999999999998E-7</v>
      </c>
      <c r="U85" s="467">
        <v>0</v>
      </c>
    </row>
    <row r="86" spans="1:21" x14ac:dyDescent="0.25">
      <c r="A86" s="908"/>
      <c r="B86" s="467">
        <v>50</v>
      </c>
      <c r="C86" s="463">
        <v>0.3</v>
      </c>
      <c r="D86" s="467">
        <v>0.5</v>
      </c>
      <c r="E86" s="467">
        <v>9.9999999999999995E-7</v>
      </c>
      <c r="F86" s="475">
        <f>0.5*(MAX(D86:E86)-MIN(D86:E86))</f>
        <v>0.24999950000000001</v>
      </c>
      <c r="G86" s="467">
        <f>(1.7/100)*(B86-C86)</f>
        <v>0.8449000000000001</v>
      </c>
      <c r="H86" s="905"/>
      <c r="I86" s="467">
        <v>50</v>
      </c>
      <c r="J86" s="467">
        <v>0.2</v>
      </c>
      <c r="K86" s="467">
        <v>9.9999999999999995E-7</v>
      </c>
      <c r="L86" s="463"/>
      <c r="M86" s="475">
        <f>0.5*(MAX(J86:L86)-MIN(J86:L86))</f>
        <v>9.9999500000000005E-2</v>
      </c>
      <c r="N86" s="467">
        <f>(1.7/100)*I86</f>
        <v>0.85000000000000009</v>
      </c>
      <c r="O86" s="905"/>
      <c r="P86" s="467">
        <v>50</v>
      </c>
      <c r="Q86" s="467">
        <v>0.2</v>
      </c>
      <c r="R86" s="467">
        <v>9.9999999999999995E-7</v>
      </c>
      <c r="S86" s="463"/>
      <c r="T86" s="475">
        <f>0.5*(MAX(Q86:S86)-MIN(Q86:S86))</f>
        <v>9.9999500000000005E-2</v>
      </c>
      <c r="U86" s="467">
        <v>0</v>
      </c>
    </row>
    <row r="87" spans="1:21" x14ac:dyDescent="0.25">
      <c r="A87" s="908"/>
      <c r="B87" s="467">
        <v>100</v>
      </c>
      <c r="C87" s="463">
        <v>0.8</v>
      </c>
      <c r="D87" s="467">
        <v>0.9</v>
      </c>
      <c r="E87" s="467">
        <v>9.9999999999999995E-7</v>
      </c>
      <c r="F87" s="475">
        <f>0.5*(MAX(D87:E87)-MIN(D87:E87))</f>
        <v>0.4499995</v>
      </c>
      <c r="G87" s="467">
        <f>(1.7/100)*(B87-C87)</f>
        <v>1.6864000000000001</v>
      </c>
      <c r="H87" s="905"/>
      <c r="I87" s="467">
        <v>100</v>
      </c>
      <c r="J87" s="467">
        <v>0.4</v>
      </c>
      <c r="K87" s="467">
        <v>9.9999999999999995E-7</v>
      </c>
      <c r="L87" s="463"/>
      <c r="M87" s="475">
        <f>0.5*(MAX(J87:L87)-MIN(J87:L87))</f>
        <v>0.19999950000000002</v>
      </c>
      <c r="N87" s="467">
        <f>(1.7/100)*I87</f>
        <v>1.7000000000000002</v>
      </c>
      <c r="O87" s="905"/>
      <c r="P87" s="467">
        <v>100</v>
      </c>
      <c r="Q87" s="467">
        <v>0.6</v>
      </c>
      <c r="R87" s="467">
        <v>9.9999999999999995E-7</v>
      </c>
      <c r="S87" s="463"/>
      <c r="T87" s="475">
        <f>0.5*(MAX(Q87:S87)-MIN(Q87:S87))</f>
        <v>0.29999949999999997</v>
      </c>
      <c r="U87" s="467">
        <v>0</v>
      </c>
    </row>
    <row r="88" spans="1:21" ht="12.75" customHeight="1" x14ac:dyDescent="0.25">
      <c r="A88" s="908"/>
      <c r="B88" s="904" t="s">
        <v>312</v>
      </c>
      <c r="C88" s="904"/>
      <c r="D88" s="904"/>
      <c r="E88" s="904"/>
      <c r="F88" s="903" t="s">
        <v>306</v>
      </c>
      <c r="G88" s="903" t="s">
        <v>240</v>
      </c>
      <c r="H88" s="905"/>
      <c r="I88" s="904" t="s">
        <v>312</v>
      </c>
      <c r="J88" s="904"/>
      <c r="K88" s="904"/>
      <c r="L88" s="904"/>
      <c r="M88" s="903" t="s">
        <v>306</v>
      </c>
      <c r="N88" s="911" t="s">
        <v>240</v>
      </c>
      <c r="O88" s="905"/>
      <c r="P88" s="904" t="str">
        <f>B88</f>
        <v>Resistance</v>
      </c>
      <c r="Q88" s="904"/>
      <c r="R88" s="904"/>
      <c r="S88" s="904"/>
      <c r="T88" s="903" t="s">
        <v>306</v>
      </c>
      <c r="U88" s="903" t="s">
        <v>240</v>
      </c>
    </row>
    <row r="89" spans="1:21" ht="14.5" x14ac:dyDescent="0.25">
      <c r="A89" s="908"/>
      <c r="B89" s="477" t="s">
        <v>313</v>
      </c>
      <c r="C89" s="476">
        <f>C67</f>
        <v>2023</v>
      </c>
      <c r="D89" s="476">
        <f>D67</f>
        <v>2022</v>
      </c>
      <c r="E89" s="476">
        <f>E67</f>
        <v>2020</v>
      </c>
      <c r="F89" s="903"/>
      <c r="G89" s="903"/>
      <c r="H89" s="905"/>
      <c r="I89" s="477" t="s">
        <v>313</v>
      </c>
      <c r="J89" s="476">
        <f>J67</f>
        <v>2022</v>
      </c>
      <c r="K89" s="476">
        <f>K67</f>
        <v>2020</v>
      </c>
      <c r="L89" s="476">
        <f>L67</f>
        <v>2016</v>
      </c>
      <c r="M89" s="903"/>
      <c r="N89" s="912"/>
      <c r="O89" s="905"/>
      <c r="P89" s="477" t="s">
        <v>313</v>
      </c>
      <c r="Q89" s="476">
        <f>Q67</f>
        <v>2022</v>
      </c>
      <c r="R89" s="476">
        <f>R67</f>
        <v>2020</v>
      </c>
      <c r="S89" s="476">
        <f>S67</f>
        <v>2016</v>
      </c>
      <c r="T89" s="903"/>
      <c r="U89" s="903"/>
    </row>
    <row r="90" spans="1:21" x14ac:dyDescent="0.25">
      <c r="A90" s="908"/>
      <c r="B90" s="467">
        <v>0.01</v>
      </c>
      <c r="C90" s="489">
        <v>0</v>
      </c>
      <c r="D90" s="488">
        <v>0</v>
      </c>
      <c r="E90" s="488">
        <v>9.9999999999999995E-7</v>
      </c>
      <c r="F90" s="475">
        <f>0.5*(MAX(D90:E90)-MIN(D90:E90))</f>
        <v>4.9999999999999998E-7</v>
      </c>
      <c r="G90" s="467">
        <f>(1.2/100)*(B90-C90)</f>
        <v>1.2E-4</v>
      </c>
      <c r="H90" s="905"/>
      <c r="I90" s="467">
        <v>0.1</v>
      </c>
      <c r="J90" s="488">
        <v>-1E-3</v>
      </c>
      <c r="K90" s="488">
        <v>-1E-3</v>
      </c>
      <c r="L90" s="463"/>
      <c r="M90" s="487">
        <f>0.5*(MAX(J90:L90)-MIN(J90:L90))</f>
        <v>0</v>
      </c>
      <c r="N90" s="467">
        <f>(1.2/100)*I90</f>
        <v>1.2000000000000001E-3</v>
      </c>
      <c r="O90" s="905"/>
      <c r="P90" s="467">
        <v>1E-3</v>
      </c>
      <c r="Q90" s="467">
        <v>0</v>
      </c>
      <c r="R90" s="467">
        <v>-1E-3</v>
      </c>
      <c r="S90" s="463"/>
      <c r="T90" s="475">
        <f>0.5*(MAX(Q90:S90)-MIN(Q90:S90))</f>
        <v>5.0000000000000001E-4</v>
      </c>
      <c r="U90" s="467">
        <f>(1.2/100)*P90</f>
        <v>1.2E-5</v>
      </c>
    </row>
    <row r="91" spans="1:21" x14ac:dyDescent="0.25">
      <c r="A91" s="908"/>
      <c r="B91" s="467">
        <v>0.5</v>
      </c>
      <c r="C91" s="489">
        <v>8.0000000000000002E-3</v>
      </c>
      <c r="D91" s="488">
        <v>3.0000000000000001E-3</v>
      </c>
      <c r="E91" s="488">
        <v>9.9999999999999995E-7</v>
      </c>
      <c r="F91" s="475">
        <f>0.5*(MAX(D91:E91)-MIN(D91:E91))</f>
        <v>1.4995E-3</v>
      </c>
      <c r="G91" s="467">
        <f>(1.2/100)*(B91-C91)</f>
        <v>5.9040000000000004E-3</v>
      </c>
      <c r="H91" s="905"/>
      <c r="I91" s="467">
        <v>0.5</v>
      </c>
      <c r="J91" s="488">
        <v>4.0000000000000001E-3</v>
      </c>
      <c r="K91" s="488">
        <v>-3.0000000000000001E-3</v>
      </c>
      <c r="L91" s="463"/>
      <c r="M91" s="487">
        <f>0.5*(MAX(J91:L91)-MIN(J91:L91))</f>
        <v>3.5000000000000001E-3</v>
      </c>
      <c r="N91" s="467">
        <f>(1.2/100)*I91</f>
        <v>6.0000000000000001E-3</v>
      </c>
      <c r="O91" s="905"/>
      <c r="P91" s="467">
        <v>0.10199999999999999</v>
      </c>
      <c r="Q91" s="467">
        <v>1E-3</v>
      </c>
      <c r="R91" s="467">
        <v>-2E-3</v>
      </c>
      <c r="S91" s="463"/>
      <c r="T91" s="475">
        <f>0.5*(MAX(Q91:S91)-MIN(Q91:S91))</f>
        <v>1.5E-3</v>
      </c>
      <c r="U91" s="467">
        <f>(1.2/100)*P91</f>
        <v>1.224E-3</v>
      </c>
    </row>
    <row r="92" spans="1:21" x14ac:dyDescent="0.25">
      <c r="A92" s="908"/>
      <c r="B92" s="467">
        <v>1</v>
      </c>
      <c r="C92" s="489">
        <v>-6.0000000000000001E-3</v>
      </c>
      <c r="D92" s="488">
        <v>2E-3</v>
      </c>
      <c r="E92" s="488">
        <v>-2E-3</v>
      </c>
      <c r="F92" s="475">
        <f>0.5*(MAX(D92:E92)-MIN(D92:E92))</f>
        <v>2E-3</v>
      </c>
      <c r="G92" s="467">
        <f>(1.2/100)*(B92-C92)</f>
        <v>1.2072000000000001E-2</v>
      </c>
      <c r="H92" s="905"/>
      <c r="I92" s="467">
        <v>1</v>
      </c>
      <c r="J92" s="488">
        <v>5.0000000000000001E-3</v>
      </c>
      <c r="K92" s="488">
        <v>1E-3</v>
      </c>
      <c r="L92" s="463"/>
      <c r="M92" s="487">
        <f>0.5*(MAX(J92:L92)-MIN(J92:L92))</f>
        <v>2E-3</v>
      </c>
      <c r="N92" s="467">
        <f>(1.2/100)*I92</f>
        <v>1.2E-2</v>
      </c>
      <c r="O92" s="905"/>
      <c r="P92" s="467">
        <v>0.5</v>
      </c>
      <c r="Q92" s="467">
        <v>4.0000000000000001E-3</v>
      </c>
      <c r="R92" s="467">
        <v>9.9999999999999995E-7</v>
      </c>
      <c r="S92" s="463"/>
      <c r="T92" s="475">
        <f>0.5*(MAX(Q92:S92)-MIN(Q92:S92))</f>
        <v>1.9995E-3</v>
      </c>
      <c r="U92" s="467">
        <f>(1.2/100)*P92</f>
        <v>6.0000000000000001E-3</v>
      </c>
    </row>
    <row r="93" spans="1:21" x14ac:dyDescent="0.25">
      <c r="A93" s="908"/>
      <c r="B93" s="467">
        <v>2</v>
      </c>
      <c r="C93" s="489">
        <v>-8.0000000000000002E-3</v>
      </c>
      <c r="D93" s="488">
        <v>-1E-3</v>
      </c>
      <c r="E93" s="488">
        <v>9.9999999999999995E-7</v>
      </c>
      <c r="F93" s="475">
        <f>0.5*(MAX(D93:E93)-MIN(D93:E93))</f>
        <v>5.0049999999999997E-4</v>
      </c>
      <c r="G93" s="467">
        <f>(1.2/100)*(B93-C93)</f>
        <v>2.4095999999999999E-2</v>
      </c>
      <c r="H93" s="905"/>
      <c r="I93" s="467">
        <v>2</v>
      </c>
      <c r="J93" s="488">
        <v>5.0000000000000001E-3</v>
      </c>
      <c r="K93" s="488">
        <v>-1E-3</v>
      </c>
      <c r="L93" s="463"/>
      <c r="M93" s="487">
        <f>0.5*(MAX(J93:L93)-MIN(J93:L93))</f>
        <v>3.0000000000000001E-3</v>
      </c>
      <c r="N93" s="467">
        <f>(1.2/100)*I93</f>
        <v>2.4E-2</v>
      </c>
      <c r="O93" s="905"/>
      <c r="P93" s="486">
        <v>1</v>
      </c>
      <c r="Q93" s="486">
        <v>0</v>
      </c>
      <c r="R93" s="486">
        <v>-1E-3</v>
      </c>
      <c r="S93" s="463"/>
      <c r="T93" s="485">
        <f>0.5*(MAX(Q93:S93)-MIN(Q93:S93))</f>
        <v>5.0000000000000001E-4</v>
      </c>
      <c r="U93" s="467">
        <f>(1.2/100)*P93</f>
        <v>1.2E-2</v>
      </c>
    </row>
    <row r="94" spans="1:21" ht="15.5" x14ac:dyDescent="0.25">
      <c r="A94" s="484"/>
      <c r="B94" s="454"/>
      <c r="C94" s="454"/>
      <c r="D94" s="481"/>
      <c r="E94" s="483"/>
      <c r="F94" s="481"/>
      <c r="H94" s="482"/>
      <c r="I94" s="454"/>
      <c r="J94" s="454"/>
      <c r="K94" s="481"/>
      <c r="L94" s="481"/>
      <c r="M94" s="481"/>
      <c r="O94" s="482"/>
      <c r="P94" s="454"/>
      <c r="Q94" s="454"/>
      <c r="R94" s="481"/>
      <c r="S94" s="481"/>
      <c r="T94" s="481"/>
    </row>
    <row r="95" spans="1:21" ht="14.5" x14ac:dyDescent="0.25">
      <c r="A95" s="908" t="s">
        <v>248</v>
      </c>
      <c r="B95" s="909">
        <v>10</v>
      </c>
      <c r="C95" s="909"/>
      <c r="D95" s="909"/>
      <c r="E95" s="909"/>
      <c r="F95" s="909"/>
      <c r="G95" s="909"/>
      <c r="H95" s="905" t="s">
        <v>187</v>
      </c>
      <c r="I95" s="906">
        <v>11</v>
      </c>
      <c r="J95" s="906"/>
      <c r="K95" s="906"/>
      <c r="L95" s="906"/>
      <c r="M95" s="906"/>
      <c r="N95" s="906"/>
      <c r="O95" s="905" t="s">
        <v>253</v>
      </c>
      <c r="P95" s="906">
        <v>12</v>
      </c>
      <c r="Q95" s="906"/>
      <c r="R95" s="906"/>
      <c r="S95" s="906"/>
      <c r="T95" s="906"/>
      <c r="U95" s="906"/>
    </row>
    <row r="96" spans="1:21" ht="14" x14ac:dyDescent="0.3">
      <c r="A96" s="908"/>
      <c r="B96" s="910" t="s">
        <v>304</v>
      </c>
      <c r="C96" s="910"/>
      <c r="D96" s="910"/>
      <c r="E96" s="910"/>
      <c r="F96" s="910"/>
      <c r="G96" s="910"/>
      <c r="H96" s="905"/>
      <c r="I96" s="907" t="s">
        <v>304</v>
      </c>
      <c r="J96" s="907"/>
      <c r="K96" s="907"/>
      <c r="L96" s="907"/>
      <c r="M96" s="907"/>
      <c r="N96" s="907"/>
      <c r="O96" s="905"/>
      <c r="P96" s="907" t="s">
        <v>304</v>
      </c>
      <c r="Q96" s="907"/>
      <c r="R96" s="907"/>
      <c r="S96" s="907"/>
      <c r="T96" s="907"/>
      <c r="U96" s="907"/>
    </row>
    <row r="97" spans="1:21" ht="13" x14ac:dyDescent="0.25">
      <c r="A97" s="908"/>
      <c r="B97" s="903" t="s">
        <v>305</v>
      </c>
      <c r="C97" s="903"/>
      <c r="D97" s="903"/>
      <c r="E97" s="903"/>
      <c r="F97" s="903" t="s">
        <v>306</v>
      </c>
      <c r="G97" s="903" t="s">
        <v>240</v>
      </c>
      <c r="H97" s="905"/>
      <c r="I97" s="903" t="str">
        <f>B97</f>
        <v>Setting VAC</v>
      </c>
      <c r="J97" s="903"/>
      <c r="K97" s="903"/>
      <c r="L97" s="903"/>
      <c r="M97" s="903" t="s">
        <v>306</v>
      </c>
      <c r="N97" s="903" t="s">
        <v>240</v>
      </c>
      <c r="O97" s="905"/>
      <c r="P97" s="903" t="str">
        <f>B97</f>
        <v>Setting VAC</v>
      </c>
      <c r="Q97" s="903"/>
      <c r="R97" s="903"/>
      <c r="S97" s="903"/>
      <c r="T97" s="903" t="s">
        <v>306</v>
      </c>
      <c r="U97" s="903" t="s">
        <v>240</v>
      </c>
    </row>
    <row r="98" spans="1:21" ht="14" x14ac:dyDescent="0.25">
      <c r="A98" s="908"/>
      <c r="B98" s="477" t="s">
        <v>307</v>
      </c>
      <c r="C98" s="479">
        <v>2021</v>
      </c>
      <c r="D98" s="479" t="s">
        <v>115</v>
      </c>
      <c r="E98" s="476">
        <v>2016</v>
      </c>
      <c r="F98" s="903"/>
      <c r="G98" s="903"/>
      <c r="H98" s="905"/>
      <c r="I98" s="477" t="s">
        <v>307</v>
      </c>
      <c r="J98" s="479" t="s">
        <v>115</v>
      </c>
      <c r="K98" s="479" t="s">
        <v>115</v>
      </c>
      <c r="L98" s="476">
        <v>2016</v>
      </c>
      <c r="M98" s="903"/>
      <c r="N98" s="903"/>
      <c r="O98" s="905"/>
      <c r="P98" s="477" t="s">
        <v>307</v>
      </c>
      <c r="Q98" s="479" t="s">
        <v>115</v>
      </c>
      <c r="R98" s="479" t="s">
        <v>115</v>
      </c>
      <c r="S98" s="476">
        <v>2016</v>
      </c>
      <c r="T98" s="903"/>
      <c r="U98" s="903"/>
    </row>
    <row r="99" spans="1:21" ht="13" x14ac:dyDescent="0.25">
      <c r="A99" s="908"/>
      <c r="B99" s="467">
        <v>150</v>
      </c>
      <c r="C99" s="467">
        <v>-0.05</v>
      </c>
      <c r="D99" s="478" t="s">
        <v>115</v>
      </c>
      <c r="E99" s="463"/>
      <c r="F99" s="475">
        <f t="shared" ref="F99:F104" si="33">0.5*(MAX(C99:E99)-MIN(C99:E99))</f>
        <v>0</v>
      </c>
      <c r="G99" s="478" t="s">
        <v>115</v>
      </c>
      <c r="H99" s="905"/>
      <c r="I99" s="467">
        <v>150</v>
      </c>
      <c r="J99" s="467">
        <v>9.9999999999999995E-7</v>
      </c>
      <c r="K99" s="478" t="s">
        <v>115</v>
      </c>
      <c r="L99" s="463"/>
      <c r="M99" s="475">
        <f t="shared" ref="M99:M104" si="34">0.5*(MAX(J99:L99)-MIN(J99:L99))</f>
        <v>0</v>
      </c>
      <c r="N99" s="478" t="s">
        <v>115</v>
      </c>
      <c r="O99" s="905"/>
      <c r="P99" s="467">
        <v>150</v>
      </c>
      <c r="Q99" s="467">
        <v>9.9999999999999995E-7</v>
      </c>
      <c r="R99" s="478" t="s">
        <v>115</v>
      </c>
      <c r="S99" s="463"/>
      <c r="T99" s="475">
        <f t="shared" ref="T99:T104" si="35">0.5*(MAX(Q99:S99)-MIN(Q99:S99))</f>
        <v>0</v>
      </c>
      <c r="U99" s="478" t="s">
        <v>115</v>
      </c>
    </row>
    <row r="100" spans="1:21" ht="13" x14ac:dyDescent="0.25">
      <c r="A100" s="908"/>
      <c r="B100" s="467">
        <v>180</v>
      </c>
      <c r="C100" s="467">
        <v>-0.04</v>
      </c>
      <c r="D100" s="474" t="s">
        <v>115</v>
      </c>
      <c r="E100" s="463"/>
      <c r="F100" s="475">
        <f t="shared" si="33"/>
        <v>0</v>
      </c>
      <c r="G100" s="478" t="s">
        <v>115</v>
      </c>
      <c r="H100" s="905"/>
      <c r="I100" s="467">
        <v>180</v>
      </c>
      <c r="J100" s="467">
        <v>9.9999999999999995E-7</v>
      </c>
      <c r="K100" s="474" t="s">
        <v>115</v>
      </c>
      <c r="L100" s="463"/>
      <c r="M100" s="475">
        <f t="shared" si="34"/>
        <v>0</v>
      </c>
      <c r="N100" s="474" t="s">
        <v>115</v>
      </c>
      <c r="O100" s="905"/>
      <c r="P100" s="467">
        <v>180</v>
      </c>
      <c r="Q100" s="467">
        <v>9.9999999999999995E-7</v>
      </c>
      <c r="R100" s="474" t="s">
        <v>115</v>
      </c>
      <c r="S100" s="463"/>
      <c r="T100" s="475">
        <f t="shared" si="35"/>
        <v>0</v>
      </c>
      <c r="U100" s="474" t="s">
        <v>115</v>
      </c>
    </row>
    <row r="101" spans="1:21" ht="13" x14ac:dyDescent="0.25">
      <c r="A101" s="908"/>
      <c r="B101" s="467">
        <v>200</v>
      </c>
      <c r="C101" s="467">
        <v>-0.67</v>
      </c>
      <c r="D101" s="474" t="s">
        <v>115</v>
      </c>
      <c r="E101" s="463"/>
      <c r="F101" s="475">
        <f t="shared" si="33"/>
        <v>0</v>
      </c>
      <c r="G101" s="478" t="s">
        <v>115</v>
      </c>
      <c r="H101" s="905"/>
      <c r="I101" s="467">
        <v>200</v>
      </c>
      <c r="J101" s="467">
        <v>9.9999999999999995E-7</v>
      </c>
      <c r="K101" s="474" t="s">
        <v>115</v>
      </c>
      <c r="L101" s="463"/>
      <c r="M101" s="475">
        <f t="shared" si="34"/>
        <v>0</v>
      </c>
      <c r="N101" s="474" t="s">
        <v>115</v>
      </c>
      <c r="O101" s="905"/>
      <c r="P101" s="467">
        <v>200</v>
      </c>
      <c r="Q101" s="467">
        <v>9.9999999999999995E-7</v>
      </c>
      <c r="R101" s="474" t="s">
        <v>115</v>
      </c>
      <c r="S101" s="463"/>
      <c r="T101" s="475">
        <f t="shared" si="35"/>
        <v>0</v>
      </c>
      <c r="U101" s="474" t="s">
        <v>115</v>
      </c>
    </row>
    <row r="102" spans="1:21" ht="13" x14ac:dyDescent="0.25">
      <c r="A102" s="908"/>
      <c r="B102" s="467">
        <v>220</v>
      </c>
      <c r="C102" s="467">
        <v>9.9999999999999995E-7</v>
      </c>
      <c r="D102" s="474" t="s">
        <v>115</v>
      </c>
      <c r="E102" s="463"/>
      <c r="F102" s="475">
        <f t="shared" si="33"/>
        <v>0</v>
      </c>
      <c r="G102" s="478" t="s">
        <v>115</v>
      </c>
      <c r="H102" s="905"/>
      <c r="I102" s="467">
        <v>220</v>
      </c>
      <c r="J102" s="467">
        <v>9.9999999999999995E-7</v>
      </c>
      <c r="K102" s="474" t="s">
        <v>115</v>
      </c>
      <c r="L102" s="463"/>
      <c r="M102" s="475">
        <f t="shared" si="34"/>
        <v>0</v>
      </c>
      <c r="N102" s="474" t="s">
        <v>115</v>
      </c>
      <c r="O102" s="905"/>
      <c r="P102" s="467">
        <v>220</v>
      </c>
      <c r="Q102" s="467">
        <v>9.9999999999999995E-7</v>
      </c>
      <c r="R102" s="474" t="s">
        <v>115</v>
      </c>
      <c r="S102" s="463"/>
      <c r="T102" s="475">
        <f t="shared" si="35"/>
        <v>0</v>
      </c>
      <c r="U102" s="474" t="s">
        <v>115</v>
      </c>
    </row>
    <row r="103" spans="1:21" ht="13" x14ac:dyDescent="0.25">
      <c r="A103" s="908"/>
      <c r="B103" s="467">
        <v>230</v>
      </c>
      <c r="C103" s="467">
        <v>-0.11</v>
      </c>
      <c r="D103" s="474" t="s">
        <v>115</v>
      </c>
      <c r="E103" s="463"/>
      <c r="F103" s="475">
        <f t="shared" si="33"/>
        <v>0</v>
      </c>
      <c r="G103" s="478" t="s">
        <v>115</v>
      </c>
      <c r="H103" s="905"/>
      <c r="I103" s="467">
        <v>230</v>
      </c>
      <c r="J103" s="467">
        <v>9.9999999999999995E-7</v>
      </c>
      <c r="K103" s="474" t="s">
        <v>115</v>
      </c>
      <c r="L103" s="463"/>
      <c r="M103" s="475">
        <f t="shared" si="34"/>
        <v>0</v>
      </c>
      <c r="N103" s="474" t="s">
        <v>115</v>
      </c>
      <c r="O103" s="905"/>
      <c r="P103" s="467">
        <v>230</v>
      </c>
      <c r="Q103" s="467">
        <v>9.9999999999999995E-7</v>
      </c>
      <c r="R103" s="474" t="s">
        <v>115</v>
      </c>
      <c r="S103" s="463"/>
      <c r="T103" s="475">
        <f t="shared" si="35"/>
        <v>0</v>
      </c>
      <c r="U103" s="474" t="s">
        <v>115</v>
      </c>
    </row>
    <row r="104" spans="1:21" ht="13" x14ac:dyDescent="0.25">
      <c r="A104" s="908"/>
      <c r="B104" s="467">
        <v>250</v>
      </c>
      <c r="C104" s="467">
        <v>-0.11</v>
      </c>
      <c r="D104" s="474" t="s">
        <v>115</v>
      </c>
      <c r="E104" s="463"/>
      <c r="F104" s="475">
        <f t="shared" si="33"/>
        <v>0</v>
      </c>
      <c r="G104" s="478" t="s">
        <v>115</v>
      </c>
      <c r="H104" s="905"/>
      <c r="I104" s="467">
        <v>250</v>
      </c>
      <c r="J104" s="467">
        <v>9.9999999999999995E-7</v>
      </c>
      <c r="K104" s="474" t="s">
        <v>115</v>
      </c>
      <c r="L104" s="463"/>
      <c r="M104" s="475">
        <f t="shared" si="34"/>
        <v>0</v>
      </c>
      <c r="N104" s="474" t="s">
        <v>115</v>
      </c>
      <c r="O104" s="905"/>
      <c r="P104" s="467">
        <v>250</v>
      </c>
      <c r="Q104" s="467">
        <v>9.9999999999999995E-7</v>
      </c>
      <c r="R104" s="474" t="s">
        <v>115</v>
      </c>
      <c r="S104" s="463"/>
      <c r="T104" s="475">
        <f t="shared" si="35"/>
        <v>0</v>
      </c>
      <c r="U104" s="474" t="s">
        <v>115</v>
      </c>
    </row>
    <row r="105" spans="1:21" ht="13" customHeight="1" x14ac:dyDescent="0.25">
      <c r="A105" s="908"/>
      <c r="B105" s="904" t="s">
        <v>308</v>
      </c>
      <c r="C105" s="904"/>
      <c r="D105" s="904"/>
      <c r="E105" s="904"/>
      <c r="F105" s="903" t="s">
        <v>306</v>
      </c>
      <c r="G105" s="903" t="s">
        <v>240</v>
      </c>
      <c r="H105" s="905"/>
      <c r="I105" s="904" t="str">
        <f>B105</f>
        <v>Current Leakage</v>
      </c>
      <c r="J105" s="904"/>
      <c r="K105" s="904"/>
      <c r="L105" s="904"/>
      <c r="M105" s="903" t="s">
        <v>306</v>
      </c>
      <c r="N105" s="903" t="s">
        <v>240</v>
      </c>
      <c r="O105" s="905"/>
      <c r="P105" s="904" t="str">
        <f>B105</f>
        <v>Current Leakage</v>
      </c>
      <c r="Q105" s="904"/>
      <c r="R105" s="904"/>
      <c r="S105" s="904"/>
      <c r="T105" s="903" t="s">
        <v>306</v>
      </c>
      <c r="U105" s="903" t="s">
        <v>240</v>
      </c>
    </row>
    <row r="106" spans="1:21" ht="14" x14ac:dyDescent="0.25">
      <c r="A106" s="908"/>
      <c r="B106" s="477" t="s">
        <v>309</v>
      </c>
      <c r="C106" s="476">
        <f>C98</f>
        <v>2021</v>
      </c>
      <c r="D106" s="476" t="str">
        <f>D98</f>
        <v>-</v>
      </c>
      <c r="E106" s="476">
        <f>E98</f>
        <v>2016</v>
      </c>
      <c r="F106" s="903"/>
      <c r="G106" s="903"/>
      <c r="H106" s="905"/>
      <c r="I106" s="477" t="s">
        <v>309</v>
      </c>
      <c r="J106" s="476" t="str">
        <f>J98</f>
        <v>-</v>
      </c>
      <c r="K106" s="476" t="str">
        <f>K98</f>
        <v>-</v>
      </c>
      <c r="L106" s="476">
        <f>L98</f>
        <v>2016</v>
      </c>
      <c r="M106" s="903"/>
      <c r="N106" s="903"/>
      <c r="O106" s="905"/>
      <c r="P106" s="477" t="s">
        <v>309</v>
      </c>
      <c r="Q106" s="476" t="str">
        <f>Q98</f>
        <v>-</v>
      </c>
      <c r="R106" s="476" t="str">
        <f>R98</f>
        <v>-</v>
      </c>
      <c r="S106" s="476">
        <f>S98</f>
        <v>2016</v>
      </c>
      <c r="T106" s="903"/>
      <c r="U106" s="903"/>
    </row>
    <row r="107" spans="1:21" ht="13" x14ac:dyDescent="0.25">
      <c r="A107" s="908"/>
      <c r="B107" s="467">
        <v>0</v>
      </c>
      <c r="C107" s="467">
        <v>9.9999999999999995E-7</v>
      </c>
      <c r="D107" s="478" t="s">
        <v>115</v>
      </c>
      <c r="E107" s="463"/>
      <c r="F107" s="475">
        <f t="shared" ref="F107:F112" si="36">0.5*(MAX(C107:E107)-MIN(C107:E107))</f>
        <v>0</v>
      </c>
      <c r="G107" s="478" t="s">
        <v>115</v>
      </c>
      <c r="H107" s="905"/>
      <c r="I107" s="467">
        <v>0</v>
      </c>
      <c r="J107" s="467">
        <v>9.9999999999999995E-7</v>
      </c>
      <c r="K107" s="478" t="s">
        <v>115</v>
      </c>
      <c r="L107" s="463"/>
      <c r="M107" s="475">
        <f t="shared" ref="M107:M112" si="37">0.5*(MAX(J107:L107)-MIN(J107:L107))</f>
        <v>0</v>
      </c>
      <c r="N107" s="478" t="s">
        <v>115</v>
      </c>
      <c r="O107" s="905"/>
      <c r="P107" s="467">
        <v>0</v>
      </c>
      <c r="Q107" s="467">
        <v>9.9999999999999995E-7</v>
      </c>
      <c r="R107" s="478" t="s">
        <v>115</v>
      </c>
      <c r="S107" s="463"/>
      <c r="T107" s="475">
        <f t="shared" ref="T107:T112" si="38">0.5*(MAX(Q107:S107)-MIN(Q107:S107))</f>
        <v>0</v>
      </c>
      <c r="U107" s="478" t="s">
        <v>115</v>
      </c>
    </row>
    <row r="108" spans="1:21" ht="13" x14ac:dyDescent="0.25">
      <c r="A108" s="908"/>
      <c r="B108" s="467">
        <v>50</v>
      </c>
      <c r="C108" s="467">
        <v>0.4</v>
      </c>
      <c r="D108" s="474" t="s">
        <v>115</v>
      </c>
      <c r="E108" s="463"/>
      <c r="F108" s="475">
        <f t="shared" si="36"/>
        <v>0</v>
      </c>
      <c r="G108" s="478" t="s">
        <v>115</v>
      </c>
      <c r="H108" s="905"/>
      <c r="I108" s="467">
        <v>50</v>
      </c>
      <c r="J108" s="467">
        <v>9.9999999999999995E-7</v>
      </c>
      <c r="K108" s="474" t="s">
        <v>115</v>
      </c>
      <c r="L108" s="463"/>
      <c r="M108" s="475">
        <f t="shared" si="37"/>
        <v>0</v>
      </c>
      <c r="N108" s="474" t="s">
        <v>115</v>
      </c>
      <c r="O108" s="905"/>
      <c r="P108" s="467">
        <v>50</v>
      </c>
      <c r="Q108" s="467">
        <v>9.9999999999999995E-7</v>
      </c>
      <c r="R108" s="474" t="s">
        <v>115</v>
      </c>
      <c r="S108" s="463"/>
      <c r="T108" s="475">
        <f t="shared" si="38"/>
        <v>0</v>
      </c>
      <c r="U108" s="474" t="s">
        <v>115</v>
      </c>
    </row>
    <row r="109" spans="1:21" ht="13" x14ac:dyDescent="0.25">
      <c r="A109" s="908"/>
      <c r="B109" s="467">
        <v>100</v>
      </c>
      <c r="C109" s="467">
        <v>0.4</v>
      </c>
      <c r="D109" s="474" t="s">
        <v>115</v>
      </c>
      <c r="E109" s="463"/>
      <c r="F109" s="475">
        <f t="shared" si="36"/>
        <v>0</v>
      </c>
      <c r="G109" s="478" t="s">
        <v>115</v>
      </c>
      <c r="H109" s="905"/>
      <c r="I109" s="467">
        <v>100</v>
      </c>
      <c r="J109" s="467">
        <v>9.9999999999999995E-7</v>
      </c>
      <c r="K109" s="474" t="s">
        <v>115</v>
      </c>
      <c r="L109" s="463"/>
      <c r="M109" s="475">
        <f t="shared" si="37"/>
        <v>0</v>
      </c>
      <c r="N109" s="474" t="s">
        <v>115</v>
      </c>
      <c r="O109" s="905"/>
      <c r="P109" s="467">
        <v>100</v>
      </c>
      <c r="Q109" s="467">
        <v>9.9999999999999995E-7</v>
      </c>
      <c r="R109" s="474" t="s">
        <v>115</v>
      </c>
      <c r="S109" s="463"/>
      <c r="T109" s="475">
        <f t="shared" si="38"/>
        <v>0</v>
      </c>
      <c r="U109" s="474" t="s">
        <v>115</v>
      </c>
    </row>
    <row r="110" spans="1:21" ht="13" x14ac:dyDescent="0.25">
      <c r="A110" s="908"/>
      <c r="B110" s="467">
        <v>200</v>
      </c>
      <c r="C110" s="467">
        <v>0.4</v>
      </c>
      <c r="D110" s="474" t="s">
        <v>115</v>
      </c>
      <c r="E110" s="463"/>
      <c r="F110" s="475">
        <f t="shared" si="36"/>
        <v>0</v>
      </c>
      <c r="G110" s="478" t="s">
        <v>115</v>
      </c>
      <c r="H110" s="905"/>
      <c r="I110" s="467">
        <v>200</v>
      </c>
      <c r="J110" s="467">
        <v>9.9999999999999995E-7</v>
      </c>
      <c r="K110" s="474" t="s">
        <v>115</v>
      </c>
      <c r="L110" s="463"/>
      <c r="M110" s="475">
        <f t="shared" si="37"/>
        <v>0</v>
      </c>
      <c r="N110" s="474" t="s">
        <v>115</v>
      </c>
      <c r="O110" s="905"/>
      <c r="P110" s="467">
        <v>200</v>
      </c>
      <c r="Q110" s="467">
        <v>9.9999999999999995E-7</v>
      </c>
      <c r="R110" s="474" t="s">
        <v>115</v>
      </c>
      <c r="S110" s="463"/>
      <c r="T110" s="475">
        <f t="shared" si="38"/>
        <v>0</v>
      </c>
      <c r="U110" s="474" t="s">
        <v>115</v>
      </c>
    </row>
    <row r="111" spans="1:21" ht="13" x14ac:dyDescent="0.25">
      <c r="A111" s="908"/>
      <c r="B111" s="467">
        <v>500</v>
      </c>
      <c r="C111" s="467">
        <v>1.5</v>
      </c>
      <c r="D111" s="474" t="s">
        <v>115</v>
      </c>
      <c r="E111" s="463"/>
      <c r="F111" s="475">
        <f t="shared" si="36"/>
        <v>0</v>
      </c>
      <c r="G111" s="478" t="s">
        <v>115</v>
      </c>
      <c r="H111" s="905"/>
      <c r="I111" s="467">
        <v>500</v>
      </c>
      <c r="J111" s="467">
        <v>9.9999999999999995E-7</v>
      </c>
      <c r="K111" s="474" t="s">
        <v>115</v>
      </c>
      <c r="L111" s="463"/>
      <c r="M111" s="475">
        <f t="shared" si="37"/>
        <v>0</v>
      </c>
      <c r="N111" s="474" t="s">
        <v>115</v>
      </c>
      <c r="O111" s="905"/>
      <c r="P111" s="467">
        <v>500</v>
      </c>
      <c r="Q111" s="467">
        <v>9.9999999999999995E-7</v>
      </c>
      <c r="R111" s="474" t="s">
        <v>115</v>
      </c>
      <c r="S111" s="463"/>
      <c r="T111" s="475">
        <f t="shared" si="38"/>
        <v>0</v>
      </c>
      <c r="U111" s="474" t="s">
        <v>115</v>
      </c>
    </row>
    <row r="112" spans="1:21" ht="13" x14ac:dyDescent="0.25">
      <c r="A112" s="908"/>
      <c r="B112" s="467">
        <v>1000</v>
      </c>
      <c r="C112" s="467">
        <v>2</v>
      </c>
      <c r="D112" s="474" t="s">
        <v>115</v>
      </c>
      <c r="E112" s="463"/>
      <c r="F112" s="475">
        <f t="shared" si="36"/>
        <v>0</v>
      </c>
      <c r="G112" s="478" t="s">
        <v>115</v>
      </c>
      <c r="H112" s="905"/>
      <c r="I112" s="467">
        <v>1000</v>
      </c>
      <c r="J112" s="467">
        <v>9.9999999999999995E-7</v>
      </c>
      <c r="K112" s="474" t="s">
        <v>115</v>
      </c>
      <c r="L112" s="463"/>
      <c r="M112" s="475">
        <f t="shared" si="37"/>
        <v>0</v>
      </c>
      <c r="N112" s="474" t="s">
        <v>115</v>
      </c>
      <c r="O112" s="905"/>
      <c r="P112" s="467">
        <v>1000</v>
      </c>
      <c r="Q112" s="467">
        <v>9.9999999999999995E-7</v>
      </c>
      <c r="R112" s="474" t="s">
        <v>115</v>
      </c>
      <c r="S112" s="463"/>
      <c r="T112" s="475">
        <f t="shared" si="38"/>
        <v>0</v>
      </c>
      <c r="U112" s="474" t="s">
        <v>115</v>
      </c>
    </row>
    <row r="113" spans="1:21" ht="13" x14ac:dyDescent="0.25">
      <c r="A113" s="908"/>
      <c r="B113" s="904" t="s">
        <v>310</v>
      </c>
      <c r="C113" s="904"/>
      <c r="D113" s="904"/>
      <c r="E113" s="904"/>
      <c r="F113" s="903" t="s">
        <v>306</v>
      </c>
      <c r="G113" s="903" t="s">
        <v>240</v>
      </c>
      <c r="H113" s="905"/>
      <c r="I113" s="904" t="s">
        <v>310</v>
      </c>
      <c r="J113" s="904"/>
      <c r="K113" s="904"/>
      <c r="L113" s="904"/>
      <c r="M113" s="903" t="s">
        <v>306</v>
      </c>
      <c r="N113" s="903" t="s">
        <v>240</v>
      </c>
      <c r="O113" s="905"/>
      <c r="P113" s="904" t="str">
        <f>B113</f>
        <v>Main-PE</v>
      </c>
      <c r="Q113" s="904"/>
      <c r="R113" s="904"/>
      <c r="S113" s="904"/>
      <c r="T113" s="903" t="s">
        <v>306</v>
      </c>
      <c r="U113" s="903" t="s">
        <v>240</v>
      </c>
    </row>
    <row r="114" spans="1:21" ht="14.5" x14ac:dyDescent="0.25">
      <c r="A114" s="908"/>
      <c r="B114" s="477" t="s">
        <v>311</v>
      </c>
      <c r="C114" s="476">
        <f>C98</f>
        <v>2021</v>
      </c>
      <c r="D114" s="476" t="str">
        <f>D98</f>
        <v>-</v>
      </c>
      <c r="E114" s="476">
        <f>E98</f>
        <v>2016</v>
      </c>
      <c r="F114" s="903"/>
      <c r="G114" s="903"/>
      <c r="H114" s="905"/>
      <c r="I114" s="477" t="s">
        <v>311</v>
      </c>
      <c r="J114" s="476" t="str">
        <f>J98</f>
        <v>-</v>
      </c>
      <c r="K114" s="476" t="str">
        <f>K98</f>
        <v>-</v>
      </c>
      <c r="L114" s="476">
        <f>L98</f>
        <v>2016</v>
      </c>
      <c r="M114" s="903"/>
      <c r="N114" s="903"/>
      <c r="O114" s="905"/>
      <c r="P114" s="477" t="s">
        <v>311</v>
      </c>
      <c r="Q114" s="476" t="str">
        <f>Q98</f>
        <v>-</v>
      </c>
      <c r="R114" s="476" t="str">
        <f>R98</f>
        <v>-</v>
      </c>
      <c r="S114" s="476">
        <f>S98</f>
        <v>2016</v>
      </c>
      <c r="T114" s="903"/>
      <c r="U114" s="903"/>
    </row>
    <row r="115" spans="1:21" x14ac:dyDescent="0.25">
      <c r="A115" s="908"/>
      <c r="B115" s="467">
        <v>10</v>
      </c>
      <c r="C115" s="467">
        <v>9.9999999999999995E-7</v>
      </c>
      <c r="D115" s="474" t="s">
        <v>115</v>
      </c>
      <c r="E115" s="463"/>
      <c r="F115" s="475">
        <f>0.5*(MAX(C115:E115)-MIN(C115:E115))</f>
        <v>0</v>
      </c>
      <c r="G115" s="474" t="s">
        <v>115</v>
      </c>
      <c r="H115" s="905"/>
      <c r="I115" s="467">
        <v>10</v>
      </c>
      <c r="J115" s="467">
        <v>9.9999999999999995E-7</v>
      </c>
      <c r="K115" s="474" t="s">
        <v>115</v>
      </c>
      <c r="L115" s="463"/>
      <c r="M115" s="475">
        <f>0.5*(MAX(J115:L115)-MIN(J115:L115))</f>
        <v>0</v>
      </c>
      <c r="N115" s="474" t="s">
        <v>115</v>
      </c>
      <c r="O115" s="905"/>
      <c r="P115" s="467">
        <v>10</v>
      </c>
      <c r="Q115" s="467">
        <v>9.9999999999999995E-7</v>
      </c>
      <c r="R115" s="474" t="s">
        <v>115</v>
      </c>
      <c r="S115" s="463"/>
      <c r="T115" s="475">
        <f>0.5*(MAX(Q115:S115)-MIN(Q115:S115))</f>
        <v>0</v>
      </c>
      <c r="U115" s="474" t="s">
        <v>115</v>
      </c>
    </row>
    <row r="116" spans="1:21" x14ac:dyDescent="0.25">
      <c r="A116" s="908"/>
      <c r="B116" s="467">
        <v>20</v>
      </c>
      <c r="C116" s="467">
        <v>0.1</v>
      </c>
      <c r="D116" s="474" t="s">
        <v>115</v>
      </c>
      <c r="E116" s="463"/>
      <c r="F116" s="475">
        <f>0.5*(MAX(C116:E116)-MIN(C116:E116))</f>
        <v>0</v>
      </c>
      <c r="G116" s="474" t="s">
        <v>115</v>
      </c>
      <c r="H116" s="905"/>
      <c r="I116" s="467">
        <v>20</v>
      </c>
      <c r="J116" s="467">
        <v>9.9999999999999995E-7</v>
      </c>
      <c r="K116" s="474" t="s">
        <v>115</v>
      </c>
      <c r="L116" s="463"/>
      <c r="M116" s="475">
        <f>0.5*(MAX(J116:L116)-MIN(J116:L116))</f>
        <v>0</v>
      </c>
      <c r="N116" s="474" t="s">
        <v>115</v>
      </c>
      <c r="O116" s="905"/>
      <c r="P116" s="467">
        <v>20</v>
      </c>
      <c r="Q116" s="467">
        <v>9.9999999999999995E-7</v>
      </c>
      <c r="R116" s="474" t="s">
        <v>115</v>
      </c>
      <c r="S116" s="463"/>
      <c r="T116" s="475">
        <f>0.5*(MAX(Q116:S116)-MIN(Q116:S116))</f>
        <v>0</v>
      </c>
      <c r="U116" s="474" t="s">
        <v>115</v>
      </c>
    </row>
    <row r="117" spans="1:21" x14ac:dyDescent="0.25">
      <c r="A117" s="908"/>
      <c r="B117" s="467">
        <v>50</v>
      </c>
      <c r="C117" s="467">
        <v>0.4</v>
      </c>
      <c r="D117" s="474" t="s">
        <v>115</v>
      </c>
      <c r="E117" s="463"/>
      <c r="F117" s="475">
        <f>0.5*(MAX(C117:E117)-MIN(C117:E117))</f>
        <v>0</v>
      </c>
      <c r="G117" s="474" t="s">
        <v>115</v>
      </c>
      <c r="H117" s="905"/>
      <c r="I117" s="467">
        <v>50</v>
      </c>
      <c r="J117" s="467">
        <v>9.9999999999999995E-7</v>
      </c>
      <c r="K117" s="474" t="s">
        <v>115</v>
      </c>
      <c r="L117" s="463"/>
      <c r="M117" s="475">
        <f>0.5*(MAX(J117:L117)-MIN(J117:L117))</f>
        <v>0</v>
      </c>
      <c r="N117" s="474" t="s">
        <v>115</v>
      </c>
      <c r="O117" s="905"/>
      <c r="P117" s="467">
        <v>50</v>
      </c>
      <c r="Q117" s="467">
        <v>9.9999999999999995E-7</v>
      </c>
      <c r="R117" s="474" t="s">
        <v>115</v>
      </c>
      <c r="S117" s="463"/>
      <c r="T117" s="475">
        <f>0.5*(MAX(Q117:S117)-MIN(Q117:S117))</f>
        <v>0</v>
      </c>
      <c r="U117" s="474" t="s">
        <v>115</v>
      </c>
    </row>
    <row r="118" spans="1:21" x14ac:dyDescent="0.25">
      <c r="A118" s="908"/>
      <c r="B118" s="467">
        <v>100</v>
      </c>
      <c r="C118" s="467">
        <v>1.4</v>
      </c>
      <c r="D118" s="474" t="s">
        <v>115</v>
      </c>
      <c r="E118" s="463"/>
      <c r="F118" s="475">
        <f>0.5*(MAX(C118:E118)-MIN(C118:E118))</f>
        <v>0</v>
      </c>
      <c r="G118" s="474" t="s">
        <v>115</v>
      </c>
      <c r="H118" s="905"/>
      <c r="I118" s="467">
        <v>100</v>
      </c>
      <c r="J118" s="467">
        <v>9.9999999999999995E-7</v>
      </c>
      <c r="K118" s="474" t="s">
        <v>115</v>
      </c>
      <c r="L118" s="463"/>
      <c r="M118" s="475">
        <f>0.5*(MAX(J118:L118)-MIN(J118:L118))</f>
        <v>0</v>
      </c>
      <c r="N118" s="474" t="s">
        <v>115</v>
      </c>
      <c r="O118" s="905"/>
      <c r="P118" s="467">
        <v>100</v>
      </c>
      <c r="Q118" s="467">
        <v>9.9999999999999995E-7</v>
      </c>
      <c r="R118" s="474" t="s">
        <v>115</v>
      </c>
      <c r="S118" s="463"/>
      <c r="T118" s="475">
        <f>0.5*(MAX(Q118:S118)-MIN(Q118:S118))</f>
        <v>0</v>
      </c>
      <c r="U118" s="474" t="s">
        <v>115</v>
      </c>
    </row>
    <row r="119" spans="1:21" ht="13" customHeight="1" x14ac:dyDescent="0.25">
      <c r="A119" s="908"/>
      <c r="B119" s="904" t="s">
        <v>312</v>
      </c>
      <c r="C119" s="904"/>
      <c r="D119" s="904"/>
      <c r="E119" s="904"/>
      <c r="F119" s="903" t="s">
        <v>306</v>
      </c>
      <c r="G119" s="903" t="s">
        <v>240</v>
      </c>
      <c r="H119" s="905"/>
      <c r="I119" s="904" t="s">
        <v>312</v>
      </c>
      <c r="J119" s="904"/>
      <c r="K119" s="904"/>
      <c r="L119" s="904"/>
      <c r="M119" s="903" t="s">
        <v>306</v>
      </c>
      <c r="N119" s="903" t="s">
        <v>240</v>
      </c>
      <c r="O119" s="905"/>
      <c r="P119" s="904" t="str">
        <f>B119</f>
        <v>Resistance</v>
      </c>
      <c r="Q119" s="904"/>
      <c r="R119" s="904"/>
      <c r="S119" s="904"/>
      <c r="T119" s="903" t="s">
        <v>306</v>
      </c>
      <c r="U119" s="903" t="s">
        <v>240</v>
      </c>
    </row>
    <row r="120" spans="1:21" ht="14.5" x14ac:dyDescent="0.25">
      <c r="A120" s="908"/>
      <c r="B120" s="477" t="s">
        <v>313</v>
      </c>
      <c r="C120" s="476">
        <f>C98</f>
        <v>2021</v>
      </c>
      <c r="D120" s="476" t="str">
        <f>D98</f>
        <v>-</v>
      </c>
      <c r="E120" s="476">
        <f>E98</f>
        <v>2016</v>
      </c>
      <c r="F120" s="903"/>
      <c r="G120" s="903"/>
      <c r="H120" s="905"/>
      <c r="I120" s="477" t="s">
        <v>313</v>
      </c>
      <c r="J120" s="476" t="str">
        <f>J98</f>
        <v>-</v>
      </c>
      <c r="K120" s="476" t="str">
        <f>K98</f>
        <v>-</v>
      </c>
      <c r="L120" s="476">
        <f>L98</f>
        <v>2016</v>
      </c>
      <c r="M120" s="903"/>
      <c r="N120" s="903"/>
      <c r="O120" s="905"/>
      <c r="P120" s="477" t="s">
        <v>313</v>
      </c>
      <c r="Q120" s="476" t="str">
        <f>Q98</f>
        <v>-</v>
      </c>
      <c r="R120" s="476" t="str">
        <f>R98</f>
        <v>-</v>
      </c>
      <c r="S120" s="476">
        <f>S98</f>
        <v>2016</v>
      </c>
      <c r="T120" s="903"/>
      <c r="U120" s="903"/>
    </row>
    <row r="121" spans="1:21" x14ac:dyDescent="0.25">
      <c r="A121" s="908"/>
      <c r="B121" s="467">
        <v>0</v>
      </c>
      <c r="C121" s="467">
        <v>9.9999999999999995E-7</v>
      </c>
      <c r="D121" s="474" t="s">
        <v>115</v>
      </c>
      <c r="E121" s="463"/>
      <c r="F121" s="475">
        <f>0.5*(MAX(C121:E121)-MIN(C121:E121))</f>
        <v>0</v>
      </c>
      <c r="G121" s="474" t="s">
        <v>115</v>
      </c>
      <c r="H121" s="905"/>
      <c r="I121" s="467">
        <v>0.01</v>
      </c>
      <c r="J121" s="467">
        <v>9.9999999999999995E-7</v>
      </c>
      <c r="K121" s="474" t="s">
        <v>115</v>
      </c>
      <c r="L121" s="463"/>
      <c r="M121" s="475">
        <f>0.5*(MAX(J121:L121)-MIN(J121:L121))</f>
        <v>0</v>
      </c>
      <c r="N121" s="474" t="s">
        <v>115</v>
      </c>
      <c r="O121" s="905"/>
      <c r="P121" s="467">
        <v>0.01</v>
      </c>
      <c r="Q121" s="467">
        <v>9.9999999999999995E-7</v>
      </c>
      <c r="R121" s="474" t="s">
        <v>115</v>
      </c>
      <c r="S121" s="463"/>
      <c r="T121" s="475">
        <f>0.5*(MAX(Q121:S121)-MIN(Q121:S121))</f>
        <v>0</v>
      </c>
      <c r="U121" s="474" t="s">
        <v>115</v>
      </c>
    </row>
    <row r="122" spans="1:21" x14ac:dyDescent="0.25">
      <c r="A122" s="908"/>
      <c r="B122" s="467">
        <v>0.1</v>
      </c>
      <c r="C122" s="467">
        <v>-2E-3</v>
      </c>
      <c r="D122" s="474" t="s">
        <v>115</v>
      </c>
      <c r="E122" s="463"/>
      <c r="F122" s="475">
        <f>0.5*(MAX(C122:E122)-MIN(C122:E122))</f>
        <v>0</v>
      </c>
      <c r="G122" s="474" t="s">
        <v>115</v>
      </c>
      <c r="H122" s="905"/>
      <c r="I122" s="467">
        <v>0.1</v>
      </c>
      <c r="J122" s="467">
        <v>9.9999999999999995E-7</v>
      </c>
      <c r="K122" s="474" t="s">
        <v>115</v>
      </c>
      <c r="L122" s="463"/>
      <c r="M122" s="475">
        <f>0.5*(MAX(J122:L122)-MIN(J122:L122))</f>
        <v>0</v>
      </c>
      <c r="N122" s="474" t="s">
        <v>115</v>
      </c>
      <c r="O122" s="905"/>
      <c r="P122" s="467">
        <v>0.1</v>
      </c>
      <c r="Q122" s="467">
        <v>9.9999999999999995E-7</v>
      </c>
      <c r="R122" s="474" t="s">
        <v>115</v>
      </c>
      <c r="S122" s="463"/>
      <c r="T122" s="475">
        <f>0.5*(MAX(Q122:S122)-MIN(Q122:S122))</f>
        <v>0</v>
      </c>
      <c r="U122" s="474" t="s">
        <v>115</v>
      </c>
    </row>
    <row r="123" spans="1:21" x14ac:dyDescent="0.25">
      <c r="A123" s="908"/>
      <c r="B123" s="467">
        <v>1</v>
      </c>
      <c r="C123" s="467">
        <v>-8.0000000000000002E-3</v>
      </c>
      <c r="D123" s="474" t="s">
        <v>115</v>
      </c>
      <c r="E123" s="463"/>
      <c r="F123" s="475">
        <f>0.5*(MAX(C123:E123)-MIN(C123:E123))</f>
        <v>0</v>
      </c>
      <c r="G123" s="474" t="s">
        <v>115</v>
      </c>
      <c r="H123" s="905"/>
      <c r="I123" s="467">
        <v>1</v>
      </c>
      <c r="J123" s="467">
        <v>9.9999999999999995E-7</v>
      </c>
      <c r="K123" s="474" t="s">
        <v>115</v>
      </c>
      <c r="L123" s="463"/>
      <c r="M123" s="475">
        <f>0.5*(MAX(J123:L123)-MIN(J123:L123))</f>
        <v>0</v>
      </c>
      <c r="N123" s="474" t="s">
        <v>115</v>
      </c>
      <c r="O123" s="905"/>
      <c r="P123" s="467">
        <v>1</v>
      </c>
      <c r="Q123" s="467">
        <v>9.9999999999999995E-7</v>
      </c>
      <c r="R123" s="474" t="s">
        <v>115</v>
      </c>
      <c r="S123" s="463"/>
      <c r="T123" s="475">
        <f>0.5*(MAX(Q123:S123)-MIN(Q123:S123))</f>
        <v>0</v>
      </c>
      <c r="U123" s="474" t="s">
        <v>115</v>
      </c>
    </row>
    <row r="124" spans="1:21" x14ac:dyDescent="0.25">
      <c r="A124" s="908"/>
      <c r="B124" s="467">
        <v>2</v>
      </c>
      <c r="C124" s="467">
        <v>-7.0000000000000001E-3</v>
      </c>
      <c r="D124" s="474" t="s">
        <v>115</v>
      </c>
      <c r="E124" s="463"/>
      <c r="F124" s="475">
        <f>0.5*(MAX(C124:E124)-MIN(C124:E124))</f>
        <v>0</v>
      </c>
      <c r="G124" s="474" t="s">
        <v>115</v>
      </c>
      <c r="H124" s="905"/>
      <c r="I124" s="467">
        <v>2</v>
      </c>
      <c r="J124" s="467">
        <v>9.9999999999999995E-7</v>
      </c>
      <c r="K124" s="474" t="s">
        <v>115</v>
      </c>
      <c r="L124" s="463"/>
      <c r="M124" s="475">
        <f>0.5*(MAX(J124:L124)-MIN(J124:L124))</f>
        <v>0</v>
      </c>
      <c r="N124" s="474" t="s">
        <v>115</v>
      </c>
      <c r="O124" s="905"/>
      <c r="P124" s="467">
        <v>2</v>
      </c>
      <c r="Q124" s="467">
        <v>9.9999999999999995E-7</v>
      </c>
      <c r="R124" s="474" t="s">
        <v>115</v>
      </c>
      <c r="S124" s="463"/>
      <c r="T124" s="475">
        <f>0.5*(MAX(Q124:S124)-MIN(Q124:S124))</f>
        <v>0</v>
      </c>
      <c r="U124" s="474" t="s">
        <v>115</v>
      </c>
    </row>
    <row r="125" spans="1:21" ht="15.5" x14ac:dyDescent="0.25">
      <c r="A125" s="896"/>
      <c r="B125" s="897"/>
      <c r="C125" s="897"/>
      <c r="D125" s="897"/>
      <c r="E125" s="897"/>
      <c r="F125" s="897"/>
      <c r="G125" s="897"/>
      <c r="H125" s="897"/>
      <c r="I125" s="897"/>
      <c r="J125" s="897"/>
      <c r="K125" s="897"/>
      <c r="L125" s="897"/>
      <c r="M125" s="897"/>
      <c r="N125" s="897"/>
      <c r="O125" s="897"/>
      <c r="P125" s="897"/>
      <c r="Q125" s="897"/>
      <c r="R125" s="897"/>
      <c r="S125" s="897"/>
      <c r="T125" s="897"/>
      <c r="U125" s="897"/>
    </row>
    <row r="126" spans="1:21" ht="15.5" x14ac:dyDescent="0.25">
      <c r="A126" s="896"/>
      <c r="B126" s="897"/>
      <c r="C126" s="897"/>
      <c r="D126" s="897"/>
      <c r="E126" s="897"/>
      <c r="F126" s="897"/>
      <c r="G126" s="897"/>
      <c r="H126" s="897"/>
      <c r="I126" s="897"/>
      <c r="J126" s="897"/>
      <c r="K126" s="897"/>
      <c r="L126" s="897"/>
      <c r="M126" s="897"/>
      <c r="N126" s="897"/>
      <c r="O126" s="897"/>
      <c r="P126" s="897"/>
      <c r="Q126" s="897"/>
      <c r="R126" s="897"/>
      <c r="S126" s="897"/>
      <c r="T126" s="897"/>
      <c r="U126" s="897"/>
    </row>
    <row r="127" spans="1:21" x14ac:dyDescent="0.25">
      <c r="A127" s="455"/>
      <c r="B127" s="454"/>
      <c r="C127" s="454"/>
    </row>
    <row r="128" spans="1:21" ht="14" x14ac:dyDescent="0.3">
      <c r="A128" s="894" t="s">
        <v>320</v>
      </c>
      <c r="B128" s="891"/>
      <c r="C128" s="895" t="s">
        <v>304</v>
      </c>
      <c r="D128" s="895"/>
      <c r="E128" s="895"/>
      <c r="F128" s="895"/>
      <c r="G128" s="895"/>
      <c r="H128" s="895"/>
      <c r="J128" s="894" t="str">
        <f>A128</f>
        <v>No. Urut</v>
      </c>
      <c r="K128" s="891"/>
      <c r="L128" s="898" t="s">
        <v>304</v>
      </c>
      <c r="M128" s="899"/>
      <c r="N128" s="899"/>
      <c r="O128" s="900"/>
      <c r="P128" s="473"/>
      <c r="Q128" s="473"/>
    </row>
    <row r="129" spans="1:17" ht="13" customHeight="1" x14ac:dyDescent="0.25">
      <c r="A129" s="894"/>
      <c r="B129" s="891"/>
      <c r="C129" s="901" t="str">
        <f>B4</f>
        <v>Setting VAC</v>
      </c>
      <c r="D129" s="901"/>
      <c r="E129" s="901"/>
      <c r="F129" s="901"/>
      <c r="G129" s="465" t="s">
        <v>306</v>
      </c>
      <c r="H129" s="465" t="s">
        <v>240</v>
      </c>
      <c r="J129" s="894"/>
      <c r="K129" s="891"/>
      <c r="L129" s="902" t="str">
        <f>B12</f>
        <v>Current Leakage</v>
      </c>
      <c r="M129" s="902"/>
      <c r="N129" s="902"/>
      <c r="O129" s="902"/>
      <c r="P129" s="465" t="s">
        <v>306</v>
      </c>
      <c r="Q129" s="465" t="s">
        <v>240</v>
      </c>
    </row>
    <row r="130" spans="1:17" ht="14" x14ac:dyDescent="0.25">
      <c r="A130" s="894"/>
      <c r="B130" s="891"/>
      <c r="C130" s="466" t="s">
        <v>307</v>
      </c>
      <c r="D130" s="465"/>
      <c r="E130" s="465"/>
      <c r="F130" s="463"/>
      <c r="G130" s="465"/>
      <c r="H130" s="465"/>
      <c r="J130" s="894"/>
      <c r="K130" s="891"/>
      <c r="L130" s="466" t="s">
        <v>309</v>
      </c>
      <c r="M130" s="465"/>
      <c r="N130" s="465"/>
      <c r="O130" s="463"/>
      <c r="P130" s="465"/>
      <c r="Q130" s="465"/>
    </row>
    <row r="131" spans="1:17" ht="14" x14ac:dyDescent="0.25">
      <c r="A131" s="893" t="s">
        <v>62</v>
      </c>
      <c r="B131" s="461">
        <v>1</v>
      </c>
      <c r="C131" s="461">
        <f t="shared" ref="C131:H131" si="39">B6</f>
        <v>150</v>
      </c>
      <c r="D131" s="461">
        <f t="shared" si="39"/>
        <v>0.35</v>
      </c>
      <c r="E131" s="461">
        <f t="shared" si="39"/>
        <v>0.31</v>
      </c>
      <c r="F131" s="461">
        <f t="shared" si="39"/>
        <v>0.76</v>
      </c>
      <c r="G131" s="461">
        <f t="shared" si="39"/>
        <v>0.22500000000000001</v>
      </c>
      <c r="H131" s="461">
        <f t="shared" si="39"/>
        <v>1.8</v>
      </c>
      <c r="J131" s="893" t="s">
        <v>62</v>
      </c>
      <c r="K131" s="461">
        <v>1</v>
      </c>
      <c r="L131" s="471">
        <f t="shared" ref="L131:Q131" si="40">B14</f>
        <v>0</v>
      </c>
      <c r="M131" s="471">
        <f t="shared" si="40"/>
        <v>0</v>
      </c>
      <c r="N131" s="471">
        <f t="shared" si="40"/>
        <v>9.9999999999999995E-7</v>
      </c>
      <c r="O131" s="471">
        <f t="shared" si="40"/>
        <v>9.9999999999999995E-7</v>
      </c>
      <c r="P131" s="471">
        <f t="shared" si="40"/>
        <v>4.9999999999999998E-7</v>
      </c>
      <c r="Q131" s="471">
        <f t="shared" si="40"/>
        <v>0</v>
      </c>
    </row>
    <row r="132" spans="1:17" ht="14" x14ac:dyDescent="0.25">
      <c r="A132" s="893"/>
      <c r="B132" s="461">
        <v>2</v>
      </c>
      <c r="C132" s="472">
        <f>I6</f>
        <v>150</v>
      </c>
      <c r="D132" s="472">
        <f>K6</f>
        <v>0.15</v>
      </c>
      <c r="E132" s="472">
        <f>L6</f>
        <v>0.23</v>
      </c>
      <c r="F132" s="472">
        <v>9.9999999999999995E-7</v>
      </c>
      <c r="G132" s="472">
        <f>M6</f>
        <v>4.0000000000000008E-2</v>
      </c>
      <c r="H132" s="472">
        <f>N6</f>
        <v>1.8</v>
      </c>
      <c r="J132" s="893"/>
      <c r="K132" s="461">
        <v>2</v>
      </c>
      <c r="L132" s="471">
        <f>I14</f>
        <v>0</v>
      </c>
      <c r="M132" s="471">
        <f>K14</f>
        <v>9.9999999999999995E-7</v>
      </c>
      <c r="N132" s="471">
        <f>L14</f>
        <v>9.9999999999999995E-7</v>
      </c>
      <c r="O132" s="472">
        <v>9.9999999999999995E-7</v>
      </c>
      <c r="P132" s="471">
        <f>M14</f>
        <v>0</v>
      </c>
      <c r="Q132" s="471">
        <f>N14</f>
        <v>0</v>
      </c>
    </row>
    <row r="133" spans="1:17" ht="13" x14ac:dyDescent="0.25">
      <c r="A133" s="893"/>
      <c r="B133" s="458">
        <v>3</v>
      </c>
      <c r="C133" s="472">
        <f t="shared" ref="C133:H133" si="41">P6</f>
        <v>150</v>
      </c>
      <c r="D133" s="472">
        <f t="shared" si="41"/>
        <v>-1.43</v>
      </c>
      <c r="E133" s="472">
        <f t="shared" si="41"/>
        <v>-1.6</v>
      </c>
      <c r="F133" s="472">
        <f t="shared" si="41"/>
        <v>-7.0000000000000007E-2</v>
      </c>
      <c r="G133" s="472">
        <f t="shared" si="41"/>
        <v>0.76500000000000001</v>
      </c>
      <c r="H133" s="472">
        <f t="shared" si="41"/>
        <v>1.8</v>
      </c>
      <c r="J133" s="893"/>
      <c r="K133" s="458">
        <v>3</v>
      </c>
      <c r="L133" s="471">
        <f t="shared" ref="L133:Q133" si="42">P14</f>
        <v>9.9999999999999995E-7</v>
      </c>
      <c r="M133" s="471">
        <f t="shared" si="42"/>
        <v>9.9999999999999995E-7</v>
      </c>
      <c r="N133" s="471">
        <f t="shared" si="42"/>
        <v>9.9999999999999995E-7</v>
      </c>
      <c r="O133" s="471">
        <f t="shared" si="42"/>
        <v>9.9999999999999995E-7</v>
      </c>
      <c r="P133" s="471">
        <f t="shared" si="42"/>
        <v>0</v>
      </c>
      <c r="Q133" s="471">
        <f t="shared" si="42"/>
        <v>5.8999999999999999E-9</v>
      </c>
    </row>
    <row r="134" spans="1:17" ht="13" x14ac:dyDescent="0.25">
      <c r="A134" s="893"/>
      <c r="B134" s="458">
        <v>4</v>
      </c>
      <c r="C134" s="472">
        <f>B37</f>
        <v>150</v>
      </c>
      <c r="D134" s="472">
        <f>D37</f>
        <v>-0.05</v>
      </c>
      <c r="E134" s="472">
        <f>E37</f>
        <v>0.11</v>
      </c>
      <c r="F134" s="472">
        <v>9.9999999999999995E-7</v>
      </c>
      <c r="G134" s="472">
        <f>F37</f>
        <v>0.08</v>
      </c>
      <c r="H134" s="472">
        <f>G37</f>
        <v>1.8</v>
      </c>
      <c r="J134" s="893"/>
      <c r="K134" s="458">
        <v>4</v>
      </c>
      <c r="L134" s="471">
        <f>B45</f>
        <v>0</v>
      </c>
      <c r="M134" s="471">
        <f>D45</f>
        <v>9.9999999999999995E-7</v>
      </c>
      <c r="N134" s="471">
        <f>E45</f>
        <v>9.9999999999999995E-7</v>
      </c>
      <c r="O134" s="472">
        <v>9.9999999999999995E-7</v>
      </c>
      <c r="P134" s="471">
        <f>F45</f>
        <v>0</v>
      </c>
      <c r="Q134" s="471">
        <f>G45</f>
        <v>0</v>
      </c>
    </row>
    <row r="135" spans="1:17" ht="13" x14ac:dyDescent="0.25">
      <c r="A135" s="893"/>
      <c r="B135" s="458">
        <v>5</v>
      </c>
      <c r="C135" s="472">
        <f t="shared" ref="C135:H135" si="43">I37</f>
        <v>150</v>
      </c>
      <c r="D135" s="472">
        <f t="shared" si="43"/>
        <v>0.02</v>
      </c>
      <c r="E135" s="472">
        <f t="shared" si="43"/>
        <v>0.25</v>
      </c>
      <c r="F135" s="472">
        <f t="shared" si="43"/>
        <v>0.02</v>
      </c>
      <c r="G135" s="472">
        <f t="shared" si="43"/>
        <v>0.115</v>
      </c>
      <c r="H135" s="472">
        <f t="shared" si="43"/>
        <v>1.8</v>
      </c>
      <c r="J135" s="893"/>
      <c r="K135" s="458">
        <v>5</v>
      </c>
      <c r="L135" s="471">
        <f t="shared" ref="L135:Q135" si="44">I45</f>
        <v>0</v>
      </c>
      <c r="M135" s="471">
        <f t="shared" si="44"/>
        <v>0</v>
      </c>
      <c r="N135" s="471">
        <f t="shared" si="44"/>
        <v>9.9999999999999995E-7</v>
      </c>
      <c r="O135" s="471">
        <f t="shared" si="44"/>
        <v>9.9999999999999995E-7</v>
      </c>
      <c r="P135" s="471">
        <f t="shared" si="44"/>
        <v>4.9999999999999998E-7</v>
      </c>
      <c r="Q135" s="471">
        <f t="shared" si="44"/>
        <v>0</v>
      </c>
    </row>
    <row r="136" spans="1:17" ht="13" x14ac:dyDescent="0.25">
      <c r="A136" s="893"/>
      <c r="B136" s="458">
        <v>6</v>
      </c>
      <c r="C136" s="472">
        <f t="shared" ref="C136:H136" si="45">P37</f>
        <v>150</v>
      </c>
      <c r="D136" s="472">
        <f t="shared" si="45"/>
        <v>0.14000000000000001</v>
      </c>
      <c r="E136" s="472">
        <f t="shared" si="45"/>
        <v>0.15</v>
      </c>
      <c r="F136" s="472">
        <f t="shared" si="45"/>
        <v>-0.15</v>
      </c>
      <c r="G136" s="472">
        <f t="shared" si="45"/>
        <v>0.15</v>
      </c>
      <c r="H136" s="472">
        <f t="shared" si="45"/>
        <v>1.8</v>
      </c>
      <c r="J136" s="893"/>
      <c r="K136" s="458">
        <v>6</v>
      </c>
      <c r="L136" s="471">
        <f>P45</f>
        <v>0</v>
      </c>
      <c r="M136" s="471">
        <f>R45</f>
        <v>0</v>
      </c>
      <c r="N136" s="471">
        <f>S45</f>
        <v>9.9999999999999995E-7</v>
      </c>
      <c r="O136" s="472">
        <v>9.9999999999999995E-7</v>
      </c>
      <c r="P136" s="471">
        <f>T45</f>
        <v>4.9999999999999998E-7</v>
      </c>
      <c r="Q136" s="471">
        <f>U45</f>
        <v>0</v>
      </c>
    </row>
    <row r="137" spans="1:17" ht="13" x14ac:dyDescent="0.25">
      <c r="A137" s="893"/>
      <c r="B137" s="458">
        <v>7</v>
      </c>
      <c r="C137" s="472">
        <f>B68</f>
        <v>150</v>
      </c>
      <c r="D137" s="472">
        <f>D68</f>
        <v>0.36</v>
      </c>
      <c r="E137" s="472">
        <f>E68</f>
        <v>0.21</v>
      </c>
      <c r="F137" s="472">
        <v>9.9999999999999995E-7</v>
      </c>
      <c r="G137" s="472">
        <f>F68</f>
        <v>7.4999999999999997E-2</v>
      </c>
      <c r="H137" s="472">
        <f>G68</f>
        <v>1.8</v>
      </c>
      <c r="J137" s="893"/>
      <c r="K137" s="458">
        <v>7</v>
      </c>
      <c r="L137" s="471">
        <f>B76</f>
        <v>0</v>
      </c>
      <c r="M137" s="471">
        <f>D76</f>
        <v>0</v>
      </c>
      <c r="N137" s="471">
        <f>E76</f>
        <v>9.9999999999999995E-7</v>
      </c>
      <c r="O137" s="472">
        <v>9.9999999999999995E-7</v>
      </c>
      <c r="P137" s="471">
        <f>F76</f>
        <v>4.9999999999999998E-7</v>
      </c>
      <c r="Q137" s="471">
        <f>G76</f>
        <v>0</v>
      </c>
    </row>
    <row r="138" spans="1:17" ht="13" x14ac:dyDescent="0.25">
      <c r="A138" s="893"/>
      <c r="B138" s="458">
        <v>8</v>
      </c>
      <c r="C138" s="472">
        <f t="shared" ref="C138:H138" si="46">I68</f>
        <v>150</v>
      </c>
      <c r="D138" s="472">
        <f t="shared" si="46"/>
        <v>-0.17</v>
      </c>
      <c r="E138" s="472">
        <f t="shared" si="46"/>
        <v>-0.24</v>
      </c>
      <c r="F138" s="472">
        <f t="shared" si="46"/>
        <v>0</v>
      </c>
      <c r="G138" s="472">
        <f t="shared" si="46"/>
        <v>3.4999999999999989E-2</v>
      </c>
      <c r="H138" s="472">
        <f t="shared" si="46"/>
        <v>1.8</v>
      </c>
      <c r="J138" s="893"/>
      <c r="K138" s="458">
        <v>8</v>
      </c>
      <c r="L138" s="471">
        <f t="shared" ref="L138:Q138" si="47">I76</f>
        <v>0</v>
      </c>
      <c r="M138" s="471">
        <f t="shared" si="47"/>
        <v>9.9999999999999995E-7</v>
      </c>
      <c r="N138" s="471">
        <f t="shared" si="47"/>
        <v>9.9999999999999995E-7</v>
      </c>
      <c r="O138" s="471">
        <f t="shared" si="47"/>
        <v>0</v>
      </c>
      <c r="P138" s="471">
        <f t="shared" si="47"/>
        <v>0</v>
      </c>
      <c r="Q138" s="471">
        <f t="shared" si="47"/>
        <v>0</v>
      </c>
    </row>
    <row r="139" spans="1:17" ht="13" x14ac:dyDescent="0.25">
      <c r="A139" s="893"/>
      <c r="B139" s="458">
        <v>9</v>
      </c>
      <c r="C139" s="472">
        <f t="shared" ref="C139:H139" si="48">P68</f>
        <v>150</v>
      </c>
      <c r="D139" s="472">
        <f t="shared" si="48"/>
        <v>-0.08</v>
      </c>
      <c r="E139" s="472">
        <f t="shared" si="48"/>
        <v>-0.17</v>
      </c>
      <c r="F139" s="472">
        <f t="shared" si="48"/>
        <v>0</v>
      </c>
      <c r="G139" s="472">
        <f t="shared" si="48"/>
        <v>4.5000000000000005E-2</v>
      </c>
      <c r="H139" s="472">
        <f t="shared" si="48"/>
        <v>1.8</v>
      </c>
      <c r="J139" s="893"/>
      <c r="K139" s="458">
        <v>9</v>
      </c>
      <c r="L139" s="471">
        <f t="shared" ref="L139:Q139" si="49">P76</f>
        <v>0</v>
      </c>
      <c r="M139" s="471">
        <f t="shared" si="49"/>
        <v>0</v>
      </c>
      <c r="N139" s="471">
        <f t="shared" si="49"/>
        <v>9.9999999999999995E-7</v>
      </c>
      <c r="O139" s="471">
        <f t="shared" si="49"/>
        <v>0</v>
      </c>
      <c r="P139" s="471">
        <f t="shared" si="49"/>
        <v>4.9999999999999998E-7</v>
      </c>
      <c r="Q139" s="471">
        <f t="shared" si="49"/>
        <v>0.12</v>
      </c>
    </row>
    <row r="140" spans="1:17" ht="13" x14ac:dyDescent="0.25">
      <c r="A140" s="893"/>
      <c r="B140" s="458">
        <v>10</v>
      </c>
      <c r="C140" s="472">
        <f t="shared" ref="C140:H140" si="50">B99</f>
        <v>150</v>
      </c>
      <c r="D140" s="472">
        <f t="shared" si="50"/>
        <v>-0.05</v>
      </c>
      <c r="E140" s="472" t="str">
        <f t="shared" si="50"/>
        <v>-</v>
      </c>
      <c r="F140" s="472">
        <f t="shared" si="50"/>
        <v>0</v>
      </c>
      <c r="G140" s="472">
        <f t="shared" si="50"/>
        <v>0</v>
      </c>
      <c r="H140" s="472" t="str">
        <f t="shared" si="50"/>
        <v>-</v>
      </c>
      <c r="J140" s="893"/>
      <c r="K140" s="458">
        <v>10</v>
      </c>
      <c r="L140" s="471">
        <f t="shared" ref="L140:Q140" si="51">B107</f>
        <v>0</v>
      </c>
      <c r="M140" s="471">
        <f t="shared" si="51"/>
        <v>9.9999999999999995E-7</v>
      </c>
      <c r="N140" s="471" t="str">
        <f t="shared" si="51"/>
        <v>-</v>
      </c>
      <c r="O140" s="471">
        <f t="shared" si="51"/>
        <v>0</v>
      </c>
      <c r="P140" s="471">
        <f t="shared" si="51"/>
        <v>0</v>
      </c>
      <c r="Q140" s="471" t="str">
        <f t="shared" si="51"/>
        <v>-</v>
      </c>
    </row>
    <row r="141" spans="1:17" ht="13" x14ac:dyDescent="0.25">
      <c r="A141" s="893"/>
      <c r="B141" s="458">
        <v>11</v>
      </c>
      <c r="C141" s="472">
        <f t="shared" ref="C141:H141" si="52">I99</f>
        <v>150</v>
      </c>
      <c r="D141" s="472">
        <f t="shared" si="52"/>
        <v>9.9999999999999995E-7</v>
      </c>
      <c r="E141" s="472" t="str">
        <f t="shared" si="52"/>
        <v>-</v>
      </c>
      <c r="F141" s="472">
        <f t="shared" si="52"/>
        <v>0</v>
      </c>
      <c r="G141" s="472">
        <f t="shared" si="52"/>
        <v>0</v>
      </c>
      <c r="H141" s="472" t="str">
        <f t="shared" si="52"/>
        <v>-</v>
      </c>
      <c r="J141" s="893"/>
      <c r="K141" s="458">
        <v>11</v>
      </c>
      <c r="L141" s="471">
        <f t="shared" ref="L141:Q141" si="53">I107</f>
        <v>0</v>
      </c>
      <c r="M141" s="471">
        <f t="shared" si="53"/>
        <v>9.9999999999999995E-7</v>
      </c>
      <c r="N141" s="471" t="str">
        <f t="shared" si="53"/>
        <v>-</v>
      </c>
      <c r="O141" s="471">
        <f t="shared" si="53"/>
        <v>0</v>
      </c>
      <c r="P141" s="471">
        <f t="shared" si="53"/>
        <v>0</v>
      </c>
      <c r="Q141" s="471" t="str">
        <f t="shared" si="53"/>
        <v>-</v>
      </c>
    </row>
    <row r="142" spans="1:17" ht="13" x14ac:dyDescent="0.25">
      <c r="A142" s="893"/>
      <c r="B142" s="458">
        <v>12</v>
      </c>
      <c r="C142" s="472">
        <f t="shared" ref="C142:H142" si="54">P99</f>
        <v>150</v>
      </c>
      <c r="D142" s="472">
        <f t="shared" si="54"/>
        <v>9.9999999999999995E-7</v>
      </c>
      <c r="E142" s="472" t="str">
        <f t="shared" si="54"/>
        <v>-</v>
      </c>
      <c r="F142" s="472">
        <f t="shared" si="54"/>
        <v>0</v>
      </c>
      <c r="G142" s="472">
        <f t="shared" si="54"/>
        <v>0</v>
      </c>
      <c r="H142" s="472" t="str">
        <f t="shared" si="54"/>
        <v>-</v>
      </c>
      <c r="J142" s="893"/>
      <c r="K142" s="458">
        <v>12</v>
      </c>
      <c r="L142" s="471">
        <f t="shared" ref="L142:Q142" si="55">P107</f>
        <v>0</v>
      </c>
      <c r="M142" s="471">
        <f t="shared" si="55"/>
        <v>9.9999999999999995E-7</v>
      </c>
      <c r="N142" s="471" t="str">
        <f t="shared" si="55"/>
        <v>-</v>
      </c>
      <c r="O142" s="471">
        <f t="shared" si="55"/>
        <v>0</v>
      </c>
      <c r="P142" s="471">
        <f t="shared" si="55"/>
        <v>0</v>
      </c>
      <c r="Q142" s="471" t="str">
        <f t="shared" si="55"/>
        <v>-</v>
      </c>
    </row>
    <row r="143" spans="1:17" s="406" customFormat="1" ht="13" x14ac:dyDescent="0.25">
      <c r="A143" s="414"/>
      <c r="B143" s="414"/>
      <c r="C143" s="470"/>
      <c r="D143" s="470"/>
      <c r="E143" s="470"/>
      <c r="F143" s="459"/>
      <c r="G143" s="470"/>
      <c r="H143" s="470"/>
      <c r="J143" s="414"/>
      <c r="K143" s="414"/>
      <c r="L143" s="469"/>
      <c r="M143" s="469"/>
      <c r="N143" s="469"/>
      <c r="O143" s="459"/>
      <c r="P143" s="469"/>
      <c r="Q143" s="469"/>
    </row>
    <row r="144" spans="1:17" ht="14" x14ac:dyDescent="0.25">
      <c r="A144" s="893" t="s">
        <v>63</v>
      </c>
      <c r="B144" s="461">
        <v>1</v>
      </c>
      <c r="C144" s="461">
        <f t="shared" ref="C144:H144" si="56">B7</f>
        <v>180</v>
      </c>
      <c r="D144" s="461">
        <f t="shared" si="56"/>
        <v>-0.1</v>
      </c>
      <c r="E144" s="461">
        <f t="shared" si="56"/>
        <v>0.1</v>
      </c>
      <c r="F144" s="461">
        <f t="shared" si="56"/>
        <v>-0.03</v>
      </c>
      <c r="G144" s="461">
        <f t="shared" si="56"/>
        <v>0.1</v>
      </c>
      <c r="H144" s="461">
        <f t="shared" si="56"/>
        <v>2.16</v>
      </c>
      <c r="J144" s="893" t="s">
        <v>63</v>
      </c>
      <c r="K144" s="461">
        <v>1</v>
      </c>
      <c r="L144" s="458">
        <f t="shared" ref="L144:Q144" si="57">B15</f>
        <v>50</v>
      </c>
      <c r="M144" s="458">
        <f t="shared" si="57"/>
        <v>4</v>
      </c>
      <c r="N144" s="458">
        <f t="shared" si="57"/>
        <v>0.1</v>
      </c>
      <c r="O144" s="458">
        <f t="shared" si="57"/>
        <v>-0.06</v>
      </c>
      <c r="P144" s="458">
        <f t="shared" si="57"/>
        <v>2.0299999999999998</v>
      </c>
      <c r="Q144" s="458">
        <f t="shared" si="57"/>
        <v>0.29499999999999998</v>
      </c>
    </row>
    <row r="145" spans="1:17" ht="14" x14ac:dyDescent="0.25">
      <c r="A145" s="893"/>
      <c r="B145" s="461">
        <v>2</v>
      </c>
      <c r="C145" s="468">
        <f>I7</f>
        <v>180</v>
      </c>
      <c r="D145" s="468">
        <f>K7</f>
        <v>0.12</v>
      </c>
      <c r="E145" s="468">
        <f>L7</f>
        <v>-0.06</v>
      </c>
      <c r="F145" s="472">
        <v>9.9999999999999995E-7</v>
      </c>
      <c r="G145" s="468">
        <f>M7</f>
        <v>0.09</v>
      </c>
      <c r="H145" s="468">
        <f>N7</f>
        <v>2.16</v>
      </c>
      <c r="J145" s="893"/>
      <c r="K145" s="461">
        <v>2</v>
      </c>
      <c r="L145" s="468">
        <f>I15</f>
        <v>50</v>
      </c>
      <c r="M145" s="468">
        <f>K15</f>
        <v>-0.08</v>
      </c>
      <c r="N145" s="468">
        <f>L15</f>
        <v>0.1</v>
      </c>
      <c r="O145" s="472">
        <v>9.9999999999999995E-7</v>
      </c>
      <c r="P145" s="468">
        <f>M15</f>
        <v>0.09</v>
      </c>
      <c r="Q145" s="468">
        <f>N15</f>
        <v>0.29499999999999998</v>
      </c>
    </row>
    <row r="146" spans="1:17" x14ac:dyDescent="0.25">
      <c r="A146" s="893"/>
      <c r="B146" s="458">
        <v>3</v>
      </c>
      <c r="C146" s="468">
        <f t="shared" ref="C146:H146" si="58">P7</f>
        <v>180</v>
      </c>
      <c r="D146" s="468">
        <f t="shared" si="58"/>
        <v>-1.81</v>
      </c>
      <c r="E146" s="468">
        <f t="shared" si="58"/>
        <v>-1.9</v>
      </c>
      <c r="F146" s="468">
        <f t="shared" si="58"/>
        <v>-0.13</v>
      </c>
      <c r="G146" s="468">
        <f t="shared" si="58"/>
        <v>0.88500000000000001</v>
      </c>
      <c r="H146" s="468">
        <f t="shared" si="58"/>
        <v>2.16</v>
      </c>
      <c r="J146" s="893"/>
      <c r="K146" s="458">
        <v>3</v>
      </c>
      <c r="L146" s="458">
        <f t="shared" ref="L146:Q146" si="59">P15</f>
        <v>50</v>
      </c>
      <c r="M146" s="458">
        <f t="shared" si="59"/>
        <v>9.1</v>
      </c>
      <c r="N146" s="458">
        <f t="shared" si="59"/>
        <v>-0.62</v>
      </c>
      <c r="O146" s="458">
        <f t="shared" si="59"/>
        <v>2</v>
      </c>
      <c r="P146" s="458">
        <f t="shared" si="59"/>
        <v>4.8599999999999994</v>
      </c>
      <c r="Q146" s="458">
        <f t="shared" si="59"/>
        <v>0.29499999999999998</v>
      </c>
    </row>
    <row r="147" spans="1:17" ht="13" x14ac:dyDescent="0.25">
      <c r="A147" s="893"/>
      <c r="B147" s="458">
        <v>4</v>
      </c>
      <c r="C147" s="468">
        <f>B38</f>
        <v>180</v>
      </c>
      <c r="D147" s="468">
        <f>D38</f>
        <v>-0.04</v>
      </c>
      <c r="E147" s="468">
        <f>E38</f>
        <v>0.03</v>
      </c>
      <c r="F147" s="472">
        <v>9.9999999999999995E-7</v>
      </c>
      <c r="G147" s="468">
        <f>F38</f>
        <v>3.5000000000000003E-2</v>
      </c>
      <c r="H147" s="468">
        <f>G38</f>
        <v>2.16</v>
      </c>
      <c r="J147" s="893"/>
      <c r="K147" s="458">
        <v>4</v>
      </c>
      <c r="L147" s="468">
        <f>B46</f>
        <v>50</v>
      </c>
      <c r="M147" s="468">
        <f>D46</f>
        <v>-0.3</v>
      </c>
      <c r="N147" s="468">
        <f>E46</f>
        <v>-0.28999999999999998</v>
      </c>
      <c r="O147" s="472">
        <v>9.9999999999999995E-7</v>
      </c>
      <c r="P147" s="468">
        <f>F46</f>
        <v>5.0000000000000044E-3</v>
      </c>
      <c r="Q147" s="468">
        <f>G46</f>
        <v>0.29499999999999998</v>
      </c>
    </row>
    <row r="148" spans="1:17" x14ac:dyDescent="0.25">
      <c r="A148" s="893"/>
      <c r="B148" s="458">
        <v>5</v>
      </c>
      <c r="C148" s="468">
        <f t="shared" ref="C148:H148" si="60">I38</f>
        <v>180</v>
      </c>
      <c r="D148" s="468">
        <f t="shared" si="60"/>
        <v>-0.08</v>
      </c>
      <c r="E148" s="468">
        <f t="shared" si="60"/>
        <v>0.09</v>
      </c>
      <c r="F148" s="468">
        <f t="shared" si="60"/>
        <v>0.1</v>
      </c>
      <c r="G148" s="468">
        <f t="shared" si="60"/>
        <v>0.09</v>
      </c>
      <c r="H148" s="468">
        <f t="shared" si="60"/>
        <v>2.16</v>
      </c>
      <c r="J148" s="893"/>
      <c r="K148" s="458">
        <v>5</v>
      </c>
      <c r="L148" s="468">
        <f t="shared" ref="L148:Q148" si="61">I46</f>
        <v>50</v>
      </c>
      <c r="M148" s="468">
        <f t="shared" si="61"/>
        <v>4.0999999999999996</v>
      </c>
      <c r="N148" s="468">
        <f t="shared" si="61"/>
        <v>0.3</v>
      </c>
      <c r="O148" s="468">
        <f t="shared" si="61"/>
        <v>-0.33</v>
      </c>
      <c r="P148" s="468">
        <f t="shared" si="61"/>
        <v>2.2149999999999999</v>
      </c>
      <c r="Q148" s="468">
        <f t="shared" si="61"/>
        <v>0.29499999999999998</v>
      </c>
    </row>
    <row r="149" spans="1:17" ht="13" x14ac:dyDescent="0.25">
      <c r="A149" s="893"/>
      <c r="B149" s="458">
        <v>6</v>
      </c>
      <c r="C149" s="458">
        <f t="shared" ref="C149:H149" si="62">P38</f>
        <v>180</v>
      </c>
      <c r="D149" s="458">
        <f t="shared" si="62"/>
        <v>0.17</v>
      </c>
      <c r="E149" s="458">
        <f t="shared" si="62"/>
        <v>0.17</v>
      </c>
      <c r="F149" s="458">
        <f t="shared" si="62"/>
        <v>-0.11</v>
      </c>
      <c r="G149" s="458">
        <f t="shared" si="62"/>
        <v>0.14000000000000001</v>
      </c>
      <c r="H149" s="458">
        <f t="shared" si="62"/>
        <v>2.16</v>
      </c>
      <c r="J149" s="893"/>
      <c r="K149" s="458">
        <v>6</v>
      </c>
      <c r="L149" s="458">
        <f>P46</f>
        <v>50</v>
      </c>
      <c r="M149" s="458">
        <f>R46</f>
        <v>19.100000000000001</v>
      </c>
      <c r="N149" s="458">
        <f>S46</f>
        <v>0.02</v>
      </c>
      <c r="O149" s="472">
        <v>9.9999999999999995E-7</v>
      </c>
      <c r="P149" s="458">
        <f>T46</f>
        <v>9.5400000000000009</v>
      </c>
      <c r="Q149" s="458">
        <f>U46</f>
        <v>0.29499999999999998</v>
      </c>
    </row>
    <row r="150" spans="1:17" ht="13" x14ac:dyDescent="0.25">
      <c r="A150" s="893"/>
      <c r="B150" s="458">
        <v>7</v>
      </c>
      <c r="C150" s="458">
        <f>B69</f>
        <v>180</v>
      </c>
      <c r="D150" s="458">
        <f>D69</f>
        <v>0.46</v>
      </c>
      <c r="E150" s="458">
        <f>E69</f>
        <v>0.33</v>
      </c>
      <c r="F150" s="472">
        <v>9.9999999999999995E-7</v>
      </c>
      <c r="G150" s="458">
        <f>F69</f>
        <v>6.5000000000000002E-2</v>
      </c>
      <c r="H150" s="458">
        <f>G69</f>
        <v>2.16</v>
      </c>
      <c r="J150" s="893"/>
      <c r="K150" s="458">
        <v>7</v>
      </c>
      <c r="L150" s="458">
        <f>B77</f>
        <v>50</v>
      </c>
      <c r="M150" s="458">
        <f>D77</f>
        <v>1.9</v>
      </c>
      <c r="N150" s="458">
        <f>E77</f>
        <v>1.7</v>
      </c>
      <c r="O150" s="472">
        <v>9.9999999999999995E-7</v>
      </c>
      <c r="P150" s="458">
        <f>F77</f>
        <v>9.9999999999999978E-2</v>
      </c>
      <c r="Q150" s="458">
        <f>G77</f>
        <v>0.29499999999999998</v>
      </c>
    </row>
    <row r="151" spans="1:17" x14ac:dyDescent="0.25">
      <c r="A151" s="893"/>
      <c r="B151" s="458">
        <v>8</v>
      </c>
      <c r="C151" s="458">
        <f t="shared" ref="C151:H151" si="63">I69</f>
        <v>180</v>
      </c>
      <c r="D151" s="458">
        <f t="shared" si="63"/>
        <v>-0.39</v>
      </c>
      <c r="E151" s="458">
        <f t="shared" si="63"/>
        <v>-0.14000000000000001</v>
      </c>
      <c r="F151" s="458">
        <f t="shared" si="63"/>
        <v>0</v>
      </c>
      <c r="G151" s="458">
        <f t="shared" si="63"/>
        <v>0.125</v>
      </c>
      <c r="H151" s="458">
        <f t="shared" si="63"/>
        <v>2.16</v>
      </c>
      <c r="J151" s="893"/>
      <c r="K151" s="458">
        <v>8</v>
      </c>
      <c r="L151" s="458">
        <f t="shared" ref="L151:Q151" si="64">I77</f>
        <v>20</v>
      </c>
      <c r="M151" s="458">
        <f t="shared" si="64"/>
        <v>6.6</v>
      </c>
      <c r="N151" s="458">
        <f t="shared" si="64"/>
        <v>0.9</v>
      </c>
      <c r="O151" s="458">
        <f t="shared" si="64"/>
        <v>0</v>
      </c>
      <c r="P151" s="458">
        <f t="shared" si="64"/>
        <v>2.8499999999999996</v>
      </c>
      <c r="Q151" s="458">
        <f t="shared" si="64"/>
        <v>0.11799999999999999</v>
      </c>
    </row>
    <row r="152" spans="1:17" x14ac:dyDescent="0.25">
      <c r="A152" s="893"/>
      <c r="B152" s="458">
        <v>9</v>
      </c>
      <c r="C152" s="458">
        <f t="shared" ref="C152:H152" si="65">P69</f>
        <v>180</v>
      </c>
      <c r="D152" s="458">
        <f t="shared" si="65"/>
        <v>-0.2</v>
      </c>
      <c r="E152" s="458">
        <f t="shared" si="65"/>
        <v>-0.22</v>
      </c>
      <c r="F152" s="458">
        <f t="shared" si="65"/>
        <v>0</v>
      </c>
      <c r="G152" s="458">
        <f t="shared" si="65"/>
        <v>9.999999999999995E-3</v>
      </c>
      <c r="H152" s="458">
        <f t="shared" si="65"/>
        <v>2.16</v>
      </c>
      <c r="J152" s="893"/>
      <c r="K152" s="458">
        <v>9</v>
      </c>
      <c r="L152" s="458">
        <f t="shared" ref="L152:Q152" si="66">P77</f>
        <v>20</v>
      </c>
      <c r="M152" s="458">
        <f t="shared" si="66"/>
        <v>4.9000000000000004</v>
      </c>
      <c r="N152" s="458">
        <f t="shared" si="66"/>
        <v>0.8</v>
      </c>
      <c r="O152" s="458">
        <f t="shared" si="66"/>
        <v>0</v>
      </c>
      <c r="P152" s="458">
        <f t="shared" si="66"/>
        <v>2.0500000000000003</v>
      </c>
      <c r="Q152" s="458">
        <f t="shared" si="66"/>
        <v>0.11799999999999999</v>
      </c>
    </row>
    <row r="153" spans="1:17" x14ac:dyDescent="0.25">
      <c r="A153" s="893"/>
      <c r="B153" s="458">
        <v>10</v>
      </c>
      <c r="C153" s="458">
        <f t="shared" ref="C153:H153" si="67">B100</f>
        <v>180</v>
      </c>
      <c r="D153" s="458">
        <f t="shared" si="67"/>
        <v>-0.04</v>
      </c>
      <c r="E153" s="458" t="str">
        <f t="shared" si="67"/>
        <v>-</v>
      </c>
      <c r="F153" s="458">
        <f t="shared" si="67"/>
        <v>0</v>
      </c>
      <c r="G153" s="458">
        <f t="shared" si="67"/>
        <v>0</v>
      </c>
      <c r="H153" s="458" t="str">
        <f t="shared" si="67"/>
        <v>-</v>
      </c>
      <c r="J153" s="893"/>
      <c r="K153" s="458">
        <v>10</v>
      </c>
      <c r="L153" s="458">
        <f t="shared" ref="L153:Q153" si="68">B108</f>
        <v>50</v>
      </c>
      <c r="M153" s="458">
        <f t="shared" si="68"/>
        <v>0.4</v>
      </c>
      <c r="N153" s="458" t="str">
        <f t="shared" si="68"/>
        <v>-</v>
      </c>
      <c r="O153" s="458">
        <f t="shared" si="68"/>
        <v>0</v>
      </c>
      <c r="P153" s="458">
        <f t="shared" si="68"/>
        <v>0</v>
      </c>
      <c r="Q153" s="458" t="str">
        <f t="shared" si="68"/>
        <v>-</v>
      </c>
    </row>
    <row r="154" spans="1:17" x14ac:dyDescent="0.25">
      <c r="A154" s="893"/>
      <c r="B154" s="458">
        <v>11</v>
      </c>
      <c r="C154" s="458">
        <f t="shared" ref="C154:H154" si="69">I100</f>
        <v>180</v>
      </c>
      <c r="D154" s="458">
        <f t="shared" si="69"/>
        <v>9.9999999999999995E-7</v>
      </c>
      <c r="E154" s="458" t="str">
        <f t="shared" si="69"/>
        <v>-</v>
      </c>
      <c r="F154" s="458">
        <f t="shared" si="69"/>
        <v>0</v>
      </c>
      <c r="G154" s="458">
        <f t="shared" si="69"/>
        <v>0</v>
      </c>
      <c r="H154" s="458" t="str">
        <f t="shared" si="69"/>
        <v>-</v>
      </c>
      <c r="J154" s="893"/>
      <c r="K154" s="458">
        <v>11</v>
      </c>
      <c r="L154" s="458">
        <f t="shared" ref="L154:Q154" si="70">I108</f>
        <v>50</v>
      </c>
      <c r="M154" s="458">
        <f t="shared" si="70"/>
        <v>9.9999999999999995E-7</v>
      </c>
      <c r="N154" s="458" t="str">
        <f t="shared" si="70"/>
        <v>-</v>
      </c>
      <c r="O154" s="458">
        <f t="shared" si="70"/>
        <v>0</v>
      </c>
      <c r="P154" s="458">
        <f t="shared" si="70"/>
        <v>0</v>
      </c>
      <c r="Q154" s="458" t="str">
        <f t="shared" si="70"/>
        <v>-</v>
      </c>
    </row>
    <row r="155" spans="1:17" x14ac:dyDescent="0.25">
      <c r="A155" s="893"/>
      <c r="B155" s="458">
        <v>12</v>
      </c>
      <c r="C155" s="458">
        <f t="shared" ref="C155:H155" si="71">P100</f>
        <v>180</v>
      </c>
      <c r="D155" s="458">
        <f t="shared" si="71"/>
        <v>9.9999999999999995E-7</v>
      </c>
      <c r="E155" s="458" t="str">
        <f t="shared" si="71"/>
        <v>-</v>
      </c>
      <c r="F155" s="458">
        <f t="shared" si="71"/>
        <v>0</v>
      </c>
      <c r="G155" s="458">
        <f t="shared" si="71"/>
        <v>0</v>
      </c>
      <c r="H155" s="458" t="str">
        <f t="shared" si="71"/>
        <v>-</v>
      </c>
      <c r="J155" s="893"/>
      <c r="K155" s="458">
        <v>12</v>
      </c>
      <c r="L155" s="458">
        <f t="shared" ref="L155:Q155" si="72">P108</f>
        <v>50</v>
      </c>
      <c r="M155" s="458">
        <f t="shared" si="72"/>
        <v>9.9999999999999995E-7</v>
      </c>
      <c r="N155" s="458" t="str">
        <f t="shared" si="72"/>
        <v>-</v>
      </c>
      <c r="O155" s="458">
        <f t="shared" si="72"/>
        <v>0</v>
      </c>
      <c r="P155" s="458">
        <f t="shared" si="72"/>
        <v>0</v>
      </c>
      <c r="Q155" s="458" t="str">
        <f t="shared" si="72"/>
        <v>-</v>
      </c>
    </row>
    <row r="156" spans="1:17" s="406" customFormat="1" x14ac:dyDescent="0.25">
      <c r="A156" s="414"/>
      <c r="B156" s="414"/>
      <c r="C156" s="414"/>
      <c r="D156" s="414"/>
      <c r="E156" s="414"/>
      <c r="F156" s="459"/>
      <c r="G156" s="414"/>
      <c r="H156" s="414"/>
      <c r="J156" s="414"/>
      <c r="K156" s="414"/>
      <c r="L156" s="414"/>
      <c r="M156" s="414"/>
      <c r="N156" s="414"/>
      <c r="O156" s="459"/>
      <c r="P156" s="414"/>
      <c r="Q156" s="414"/>
    </row>
    <row r="157" spans="1:17" ht="14" x14ac:dyDescent="0.25">
      <c r="A157" s="893" t="s">
        <v>64</v>
      </c>
      <c r="B157" s="461">
        <v>1</v>
      </c>
      <c r="C157" s="461">
        <f t="shared" ref="C157:H157" si="73">B8</f>
        <v>200</v>
      </c>
      <c r="D157" s="461">
        <f t="shared" si="73"/>
        <v>-0.17</v>
      </c>
      <c r="E157" s="461">
        <f t="shared" si="73"/>
        <v>-0.04</v>
      </c>
      <c r="F157" s="461">
        <f t="shared" si="73"/>
        <v>-0.16</v>
      </c>
      <c r="G157" s="461">
        <f t="shared" si="73"/>
        <v>6.5000000000000002E-2</v>
      </c>
      <c r="H157" s="461">
        <f t="shared" si="73"/>
        <v>2.4</v>
      </c>
      <c r="J157" s="893" t="s">
        <v>64</v>
      </c>
      <c r="K157" s="461">
        <v>1</v>
      </c>
      <c r="L157" s="458">
        <f t="shared" ref="L157:Q157" si="74">B16</f>
        <v>100</v>
      </c>
      <c r="M157" s="458">
        <f t="shared" si="74"/>
        <v>3.6</v>
      </c>
      <c r="N157" s="458">
        <f t="shared" si="74"/>
        <v>0.2</v>
      </c>
      <c r="O157" s="458">
        <f t="shared" si="74"/>
        <v>-0.06</v>
      </c>
      <c r="P157" s="458">
        <f t="shared" si="74"/>
        <v>1.83</v>
      </c>
      <c r="Q157" s="458">
        <f t="shared" si="74"/>
        <v>0.59</v>
      </c>
    </row>
    <row r="158" spans="1:17" ht="14" x14ac:dyDescent="0.25">
      <c r="A158" s="893"/>
      <c r="B158" s="461">
        <v>2</v>
      </c>
      <c r="C158" s="461">
        <f>I8</f>
        <v>200</v>
      </c>
      <c r="D158" s="461">
        <f>K8</f>
        <v>0.06</v>
      </c>
      <c r="E158" s="461">
        <f>L8</f>
        <v>-0.18</v>
      </c>
      <c r="F158" s="458">
        <v>9.9999999999999995E-7</v>
      </c>
      <c r="G158" s="461">
        <f>M8</f>
        <v>0.12</v>
      </c>
      <c r="H158" s="461">
        <f>N8</f>
        <v>2.4</v>
      </c>
      <c r="J158" s="893"/>
      <c r="K158" s="461">
        <v>2</v>
      </c>
      <c r="L158" s="458">
        <f>I16</f>
        <v>100</v>
      </c>
      <c r="M158" s="458">
        <f>K16</f>
        <v>-7.0000000000000007E-2</v>
      </c>
      <c r="N158" s="458">
        <f>L16</f>
        <v>2.2000000000000002</v>
      </c>
      <c r="O158" s="458">
        <v>9.9999999999999995E-7</v>
      </c>
      <c r="P158" s="458">
        <f>M16</f>
        <v>1.135</v>
      </c>
      <c r="Q158" s="458">
        <f>N16</f>
        <v>0.59</v>
      </c>
    </row>
    <row r="159" spans="1:17" x14ac:dyDescent="0.25">
      <c r="A159" s="893"/>
      <c r="B159" s="458">
        <v>3</v>
      </c>
      <c r="C159" s="458">
        <f t="shared" ref="C159:H159" si="75">P8</f>
        <v>200</v>
      </c>
      <c r="D159" s="458">
        <f t="shared" si="75"/>
        <v>-2.0499999999999998</v>
      </c>
      <c r="E159" s="458">
        <f t="shared" si="75"/>
        <v>-2.14</v>
      </c>
      <c r="F159" s="458">
        <f t="shared" si="75"/>
        <v>-0.26</v>
      </c>
      <c r="G159" s="458">
        <f t="shared" si="75"/>
        <v>0.94000000000000006</v>
      </c>
      <c r="H159" s="458">
        <f t="shared" si="75"/>
        <v>2.4</v>
      </c>
      <c r="J159" s="893"/>
      <c r="K159" s="458">
        <v>3</v>
      </c>
      <c r="L159" s="458">
        <f t="shared" ref="L159:Q159" si="76">P16</f>
        <v>100</v>
      </c>
      <c r="M159" s="458">
        <f t="shared" si="76"/>
        <v>6</v>
      </c>
      <c r="N159" s="458">
        <f t="shared" si="76"/>
        <v>-0.22</v>
      </c>
      <c r="O159" s="458">
        <f t="shared" si="76"/>
        <v>2</v>
      </c>
      <c r="P159" s="458">
        <f t="shared" si="76"/>
        <v>3.11</v>
      </c>
      <c r="Q159" s="458">
        <f t="shared" si="76"/>
        <v>0.59</v>
      </c>
    </row>
    <row r="160" spans="1:17" x14ac:dyDescent="0.25">
      <c r="A160" s="893"/>
      <c r="B160" s="458">
        <v>4</v>
      </c>
      <c r="C160" s="458">
        <f>B39</f>
        <v>200</v>
      </c>
      <c r="D160" s="458">
        <f>D39</f>
        <v>-0.67</v>
      </c>
      <c r="E160" s="458">
        <f>E39</f>
        <v>0.05</v>
      </c>
      <c r="F160" s="458">
        <v>9.9999999999999995E-7</v>
      </c>
      <c r="G160" s="458">
        <f>F39</f>
        <v>0.36000000000000004</v>
      </c>
      <c r="H160" s="458">
        <f>G39</f>
        <v>2.4</v>
      </c>
      <c r="J160" s="893"/>
      <c r="K160" s="458">
        <v>4</v>
      </c>
      <c r="L160" s="458">
        <f>B47</f>
        <v>100</v>
      </c>
      <c r="M160" s="458">
        <f>D47</f>
        <v>-0.4</v>
      </c>
      <c r="N160" s="458">
        <f>E47</f>
        <v>-0.35</v>
      </c>
      <c r="O160" s="458">
        <v>9.9999999999999995E-7</v>
      </c>
      <c r="P160" s="458">
        <f>F47</f>
        <v>2.5000000000000022E-2</v>
      </c>
      <c r="Q160" s="458">
        <f>G47</f>
        <v>0.59</v>
      </c>
    </row>
    <row r="161" spans="1:17" x14ac:dyDescent="0.25">
      <c r="A161" s="893"/>
      <c r="B161" s="458">
        <v>5</v>
      </c>
      <c r="C161" s="458">
        <f t="shared" ref="C161:H161" si="77">I39</f>
        <v>200</v>
      </c>
      <c r="D161" s="458">
        <f t="shared" si="77"/>
        <v>-0.12</v>
      </c>
      <c r="E161" s="458">
        <f t="shared" si="77"/>
        <v>0.18</v>
      </c>
      <c r="F161" s="458">
        <f t="shared" si="77"/>
        <v>-0.03</v>
      </c>
      <c r="G161" s="458">
        <f t="shared" si="77"/>
        <v>0.15</v>
      </c>
      <c r="H161" s="458">
        <f t="shared" si="77"/>
        <v>2.4</v>
      </c>
      <c r="J161" s="893"/>
      <c r="K161" s="458">
        <v>5</v>
      </c>
      <c r="L161" s="458">
        <f t="shared" ref="L161:Q161" si="78">I47</f>
        <v>100</v>
      </c>
      <c r="M161" s="458">
        <f t="shared" si="78"/>
        <v>5</v>
      </c>
      <c r="N161" s="458">
        <f t="shared" si="78"/>
        <v>-0.1</v>
      </c>
      <c r="O161" s="458">
        <f t="shared" si="78"/>
        <v>-0.42</v>
      </c>
      <c r="P161" s="458">
        <f t="shared" si="78"/>
        <v>2.71</v>
      </c>
      <c r="Q161" s="458">
        <f t="shared" si="78"/>
        <v>0.59</v>
      </c>
    </row>
    <row r="162" spans="1:17" x14ac:dyDescent="0.25">
      <c r="A162" s="893"/>
      <c r="B162" s="458">
        <v>6</v>
      </c>
      <c r="C162" s="458">
        <f t="shared" ref="C162:H162" si="79">P39</f>
        <v>200</v>
      </c>
      <c r="D162" s="458">
        <f t="shared" si="79"/>
        <v>0.08</v>
      </c>
      <c r="E162" s="458">
        <f t="shared" si="79"/>
        <v>0.1</v>
      </c>
      <c r="F162" s="458">
        <f t="shared" si="79"/>
        <v>-0.1</v>
      </c>
      <c r="G162" s="458">
        <f t="shared" si="79"/>
        <v>0.1</v>
      </c>
      <c r="H162" s="458">
        <f t="shared" si="79"/>
        <v>2.4</v>
      </c>
      <c r="J162" s="893"/>
      <c r="K162" s="458">
        <v>6</v>
      </c>
      <c r="L162" s="458">
        <f>P47</f>
        <v>100</v>
      </c>
      <c r="M162" s="458">
        <f>R47</f>
        <v>18.399999999999999</v>
      </c>
      <c r="N162" s="458">
        <f>S47</f>
        <v>0.22</v>
      </c>
      <c r="O162" s="458">
        <v>9.9999999999999995E-7</v>
      </c>
      <c r="P162" s="458">
        <f>T47</f>
        <v>9.09</v>
      </c>
      <c r="Q162" s="458">
        <f>U47</f>
        <v>0.59</v>
      </c>
    </row>
    <row r="163" spans="1:17" x14ac:dyDescent="0.25">
      <c r="A163" s="893"/>
      <c r="B163" s="458">
        <v>7</v>
      </c>
      <c r="C163" s="458">
        <f>B70</f>
        <v>200</v>
      </c>
      <c r="D163" s="458">
        <f>D70</f>
        <v>0.52</v>
      </c>
      <c r="E163" s="458">
        <f>E70</f>
        <v>0.34</v>
      </c>
      <c r="F163" s="458">
        <v>9.9999999999999995E-7</v>
      </c>
      <c r="G163" s="458">
        <f>F70</f>
        <v>0.09</v>
      </c>
      <c r="H163" s="458">
        <f>G70</f>
        <v>2.4</v>
      </c>
      <c r="J163" s="893"/>
      <c r="K163" s="458">
        <v>7</v>
      </c>
      <c r="L163" s="458">
        <f>B78</f>
        <v>100</v>
      </c>
      <c r="M163" s="458">
        <f>D78</f>
        <v>1.7</v>
      </c>
      <c r="N163" s="458">
        <f>E78</f>
        <v>1.7</v>
      </c>
      <c r="O163" s="458">
        <v>9.9999999999999995E-7</v>
      </c>
      <c r="P163" s="458">
        <f>F78</f>
        <v>0</v>
      </c>
      <c r="Q163" s="458">
        <f>G78</f>
        <v>0.59</v>
      </c>
    </row>
    <row r="164" spans="1:17" x14ac:dyDescent="0.25">
      <c r="A164" s="893"/>
      <c r="B164" s="458">
        <v>8</v>
      </c>
      <c r="C164" s="458">
        <f t="shared" ref="C164:H164" si="80">I70</f>
        <v>200</v>
      </c>
      <c r="D164" s="458">
        <f t="shared" si="80"/>
        <v>-0.23</v>
      </c>
      <c r="E164" s="458">
        <f t="shared" si="80"/>
        <v>-0.33</v>
      </c>
      <c r="F164" s="458">
        <f t="shared" si="80"/>
        <v>0</v>
      </c>
      <c r="G164" s="458">
        <f t="shared" si="80"/>
        <v>0.05</v>
      </c>
      <c r="H164" s="458">
        <f t="shared" si="80"/>
        <v>2.4</v>
      </c>
      <c r="J164" s="893"/>
      <c r="K164" s="458">
        <v>8</v>
      </c>
      <c r="L164" s="458">
        <f t="shared" ref="L164:Q164" si="81">I78</f>
        <v>50</v>
      </c>
      <c r="M164" s="458">
        <f t="shared" si="81"/>
        <v>5</v>
      </c>
      <c r="N164" s="458">
        <f t="shared" si="81"/>
        <v>2.1</v>
      </c>
      <c r="O164" s="458">
        <f t="shared" si="81"/>
        <v>0</v>
      </c>
      <c r="P164" s="458">
        <f t="shared" si="81"/>
        <v>1.45</v>
      </c>
      <c r="Q164" s="458">
        <f t="shared" si="81"/>
        <v>0.29499999999999998</v>
      </c>
    </row>
    <row r="165" spans="1:17" x14ac:dyDescent="0.25">
      <c r="A165" s="893"/>
      <c r="B165" s="458">
        <v>9</v>
      </c>
      <c r="C165" s="458">
        <f t="shared" ref="C165:H165" si="82">P70</f>
        <v>200</v>
      </c>
      <c r="D165" s="458">
        <f t="shared" si="82"/>
        <v>-0.25</v>
      </c>
      <c r="E165" s="458">
        <f t="shared" si="82"/>
        <v>-0.33</v>
      </c>
      <c r="F165" s="458">
        <f t="shared" si="82"/>
        <v>0</v>
      </c>
      <c r="G165" s="458">
        <f t="shared" si="82"/>
        <v>4.0000000000000008E-2</v>
      </c>
      <c r="H165" s="458">
        <f t="shared" si="82"/>
        <v>2.4</v>
      </c>
      <c r="J165" s="893"/>
      <c r="K165" s="458">
        <v>9</v>
      </c>
      <c r="L165" s="458">
        <f t="shared" ref="L165:Q165" si="83">P78</f>
        <v>50</v>
      </c>
      <c r="M165" s="458">
        <f t="shared" si="83"/>
        <v>9.1999999999999993</v>
      </c>
      <c r="N165" s="458">
        <f t="shared" si="83"/>
        <v>1.7</v>
      </c>
      <c r="O165" s="458">
        <f t="shared" si="83"/>
        <v>0</v>
      </c>
      <c r="P165" s="458">
        <f t="shared" si="83"/>
        <v>3.7499999999999996</v>
      </c>
      <c r="Q165" s="458">
        <f t="shared" si="83"/>
        <v>0.29499999999999998</v>
      </c>
    </row>
    <row r="166" spans="1:17" x14ac:dyDescent="0.25">
      <c r="A166" s="893"/>
      <c r="B166" s="458">
        <v>10</v>
      </c>
      <c r="C166" s="458">
        <f t="shared" ref="C166:H166" si="84">B101</f>
        <v>200</v>
      </c>
      <c r="D166" s="458">
        <f t="shared" si="84"/>
        <v>-0.67</v>
      </c>
      <c r="E166" s="458" t="str">
        <f t="shared" si="84"/>
        <v>-</v>
      </c>
      <c r="F166" s="458">
        <f t="shared" si="84"/>
        <v>0</v>
      </c>
      <c r="G166" s="458">
        <f t="shared" si="84"/>
        <v>0</v>
      </c>
      <c r="H166" s="458" t="str">
        <f t="shared" si="84"/>
        <v>-</v>
      </c>
      <c r="J166" s="893"/>
      <c r="K166" s="458">
        <v>10</v>
      </c>
      <c r="L166" s="458">
        <f t="shared" ref="L166:Q166" si="85">B109</f>
        <v>100</v>
      </c>
      <c r="M166" s="458">
        <f t="shared" si="85"/>
        <v>0.4</v>
      </c>
      <c r="N166" s="458" t="str">
        <f t="shared" si="85"/>
        <v>-</v>
      </c>
      <c r="O166" s="458">
        <f t="shared" si="85"/>
        <v>0</v>
      </c>
      <c r="P166" s="458">
        <f t="shared" si="85"/>
        <v>0</v>
      </c>
      <c r="Q166" s="458" t="str">
        <f t="shared" si="85"/>
        <v>-</v>
      </c>
    </row>
    <row r="167" spans="1:17" x14ac:dyDescent="0.25">
      <c r="A167" s="893"/>
      <c r="B167" s="458">
        <v>11</v>
      </c>
      <c r="C167" s="458">
        <f t="shared" ref="C167:H167" si="86">I101</f>
        <v>200</v>
      </c>
      <c r="D167" s="458">
        <f t="shared" si="86"/>
        <v>9.9999999999999995E-7</v>
      </c>
      <c r="E167" s="458" t="str">
        <f t="shared" si="86"/>
        <v>-</v>
      </c>
      <c r="F167" s="458">
        <f t="shared" si="86"/>
        <v>0</v>
      </c>
      <c r="G167" s="458">
        <f t="shared" si="86"/>
        <v>0</v>
      </c>
      <c r="H167" s="458" t="str">
        <f t="shared" si="86"/>
        <v>-</v>
      </c>
      <c r="J167" s="893"/>
      <c r="K167" s="458">
        <v>11</v>
      </c>
      <c r="L167" s="458">
        <f t="shared" ref="L167:Q167" si="87">I109</f>
        <v>100</v>
      </c>
      <c r="M167" s="458">
        <f t="shared" si="87"/>
        <v>9.9999999999999995E-7</v>
      </c>
      <c r="N167" s="458" t="str">
        <f t="shared" si="87"/>
        <v>-</v>
      </c>
      <c r="O167" s="458">
        <f t="shared" si="87"/>
        <v>0</v>
      </c>
      <c r="P167" s="458">
        <f t="shared" si="87"/>
        <v>0</v>
      </c>
      <c r="Q167" s="458" t="str">
        <f t="shared" si="87"/>
        <v>-</v>
      </c>
    </row>
    <row r="168" spans="1:17" x14ac:dyDescent="0.25">
      <c r="A168" s="893"/>
      <c r="B168" s="458">
        <v>12</v>
      </c>
      <c r="C168" s="458">
        <f t="shared" ref="C168:H168" si="88">P101</f>
        <v>200</v>
      </c>
      <c r="D168" s="458">
        <f t="shared" si="88"/>
        <v>9.9999999999999995E-7</v>
      </c>
      <c r="E168" s="458" t="str">
        <f t="shared" si="88"/>
        <v>-</v>
      </c>
      <c r="F168" s="458">
        <f t="shared" si="88"/>
        <v>0</v>
      </c>
      <c r="G168" s="458">
        <f t="shared" si="88"/>
        <v>0</v>
      </c>
      <c r="H168" s="458" t="str">
        <f t="shared" si="88"/>
        <v>-</v>
      </c>
      <c r="J168" s="893"/>
      <c r="K168" s="458">
        <v>12</v>
      </c>
      <c r="L168" s="458">
        <f t="shared" ref="L168:Q168" si="89">P109</f>
        <v>100</v>
      </c>
      <c r="M168" s="458">
        <f t="shared" si="89"/>
        <v>9.9999999999999995E-7</v>
      </c>
      <c r="N168" s="458" t="str">
        <f t="shared" si="89"/>
        <v>-</v>
      </c>
      <c r="O168" s="458">
        <f t="shared" si="89"/>
        <v>0</v>
      </c>
      <c r="P168" s="458">
        <f t="shared" si="89"/>
        <v>0</v>
      </c>
      <c r="Q168" s="458" t="str">
        <f t="shared" si="89"/>
        <v>-</v>
      </c>
    </row>
    <row r="169" spans="1:17" s="406" customFormat="1" x14ac:dyDescent="0.25">
      <c r="A169" s="414"/>
      <c r="B169" s="414"/>
      <c r="C169" s="414"/>
      <c r="D169" s="414"/>
      <c r="E169" s="414"/>
      <c r="F169" s="459"/>
      <c r="G169" s="414"/>
      <c r="H169" s="414"/>
      <c r="J169" s="414"/>
      <c r="K169" s="414"/>
      <c r="L169" s="414"/>
      <c r="M169" s="414"/>
      <c r="N169" s="414"/>
      <c r="O169" s="459"/>
      <c r="P169" s="414"/>
      <c r="Q169" s="414"/>
    </row>
    <row r="170" spans="1:17" ht="14" x14ac:dyDescent="0.25">
      <c r="A170" s="893" t="s">
        <v>65</v>
      </c>
      <c r="B170" s="461">
        <v>1</v>
      </c>
      <c r="C170" s="461">
        <f t="shared" ref="C170:H170" si="90">B9</f>
        <v>220</v>
      </c>
      <c r="D170" s="461">
        <f t="shared" si="90"/>
        <v>-0.27</v>
      </c>
      <c r="E170" s="461">
        <f t="shared" si="90"/>
        <v>-0.28000000000000003</v>
      </c>
      <c r="F170" s="461">
        <f t="shared" si="90"/>
        <v>-0.18</v>
      </c>
      <c r="G170" s="461">
        <f t="shared" si="90"/>
        <v>5.0000000000000017E-2</v>
      </c>
      <c r="H170" s="461">
        <f t="shared" si="90"/>
        <v>2.64</v>
      </c>
      <c r="J170" s="893" t="s">
        <v>65</v>
      </c>
      <c r="K170" s="461">
        <v>1</v>
      </c>
      <c r="L170" s="458">
        <f t="shared" ref="L170:Q170" si="91">B17</f>
        <v>200</v>
      </c>
      <c r="M170" s="458">
        <f t="shared" si="91"/>
        <v>2.2000000000000002</v>
      </c>
      <c r="N170" s="458">
        <f t="shared" si="91"/>
        <v>0.4</v>
      </c>
      <c r="O170" s="458">
        <f t="shared" si="91"/>
        <v>9.9999999999999995E-7</v>
      </c>
      <c r="P170" s="458">
        <f t="shared" si="91"/>
        <v>1.0999995</v>
      </c>
      <c r="Q170" s="458">
        <f t="shared" si="91"/>
        <v>1.18</v>
      </c>
    </row>
    <row r="171" spans="1:17" ht="14" x14ac:dyDescent="0.25">
      <c r="A171" s="893"/>
      <c r="B171" s="461">
        <v>2</v>
      </c>
      <c r="C171" s="458">
        <f>I9</f>
        <v>220</v>
      </c>
      <c r="D171" s="458">
        <f>K9</f>
        <v>0.05</v>
      </c>
      <c r="E171" s="458">
        <f>L9</f>
        <v>-0.03</v>
      </c>
      <c r="F171" s="472">
        <v>9.9999999999999995E-7</v>
      </c>
      <c r="G171" s="458">
        <f>M9</f>
        <v>0.04</v>
      </c>
      <c r="H171" s="458">
        <f>N9</f>
        <v>2.64</v>
      </c>
      <c r="J171" s="893"/>
      <c r="K171" s="461">
        <v>2</v>
      </c>
      <c r="L171" s="458">
        <f>I17</f>
        <v>200</v>
      </c>
      <c r="M171" s="458">
        <f>K17</f>
        <v>-0.1</v>
      </c>
      <c r="N171" s="458">
        <f>L17</f>
        <v>3.3</v>
      </c>
      <c r="O171" s="472">
        <v>9.9999999999999995E-7</v>
      </c>
      <c r="P171" s="458">
        <f>M17</f>
        <v>1.7</v>
      </c>
      <c r="Q171" s="458">
        <f>N17</f>
        <v>1.18</v>
      </c>
    </row>
    <row r="172" spans="1:17" x14ac:dyDescent="0.25">
      <c r="A172" s="893"/>
      <c r="B172" s="458">
        <v>3</v>
      </c>
      <c r="C172" s="458">
        <f t="shared" ref="C172:H172" si="92">P9</f>
        <v>220</v>
      </c>
      <c r="D172" s="458">
        <f t="shared" si="92"/>
        <v>-2.29</v>
      </c>
      <c r="E172" s="458">
        <f t="shared" si="92"/>
        <v>-3.44</v>
      </c>
      <c r="F172" s="458">
        <f t="shared" si="92"/>
        <v>-0.28999999999999998</v>
      </c>
      <c r="G172" s="458">
        <f t="shared" si="92"/>
        <v>1.575</v>
      </c>
      <c r="H172" s="458">
        <f t="shared" si="92"/>
        <v>2.64</v>
      </c>
      <c r="J172" s="893"/>
      <c r="K172" s="458">
        <v>3</v>
      </c>
      <c r="L172" s="458">
        <f t="shared" ref="L172:Q172" si="93">P17</f>
        <v>200</v>
      </c>
      <c r="M172" s="458">
        <f t="shared" si="93"/>
        <v>-3.6</v>
      </c>
      <c r="N172" s="458">
        <f t="shared" si="93"/>
        <v>-0.1</v>
      </c>
      <c r="O172" s="458">
        <f t="shared" si="93"/>
        <v>3.6</v>
      </c>
      <c r="P172" s="458">
        <f t="shared" si="93"/>
        <v>3.6</v>
      </c>
      <c r="Q172" s="458">
        <f t="shared" si="93"/>
        <v>1.18</v>
      </c>
    </row>
    <row r="173" spans="1:17" ht="13" x14ac:dyDescent="0.25">
      <c r="A173" s="893"/>
      <c r="B173" s="458">
        <v>4</v>
      </c>
      <c r="C173" s="458">
        <f>B40</f>
        <v>220</v>
      </c>
      <c r="D173" s="458">
        <f>D40</f>
        <v>9.9999999999999995E-7</v>
      </c>
      <c r="E173" s="458">
        <f>E40</f>
        <v>0.1</v>
      </c>
      <c r="F173" s="472">
        <v>9.9999999999999995E-7</v>
      </c>
      <c r="G173" s="458">
        <f>F40</f>
        <v>4.9999500000000002E-2</v>
      </c>
      <c r="H173" s="458">
        <f>G40</f>
        <v>2.64</v>
      </c>
      <c r="J173" s="893"/>
      <c r="K173" s="458">
        <v>4</v>
      </c>
      <c r="L173" s="458">
        <f>B48</f>
        <v>200</v>
      </c>
      <c r="M173" s="458">
        <f>D48</f>
        <v>0.3</v>
      </c>
      <c r="N173" s="458">
        <f>E48</f>
        <v>0.8</v>
      </c>
      <c r="O173" s="472">
        <v>9.9999999999999995E-7</v>
      </c>
      <c r="P173" s="458">
        <f>F48</f>
        <v>0.25</v>
      </c>
      <c r="Q173" s="458">
        <f>G48</f>
        <v>1.18</v>
      </c>
    </row>
    <row r="174" spans="1:17" x14ac:dyDescent="0.25">
      <c r="A174" s="893"/>
      <c r="B174" s="458">
        <v>5</v>
      </c>
      <c r="C174" s="458">
        <f t="shared" ref="C174:H174" si="94">I40</f>
        <v>220</v>
      </c>
      <c r="D174" s="458">
        <f t="shared" si="94"/>
        <v>-0.17</v>
      </c>
      <c r="E174" s="458">
        <f t="shared" si="94"/>
        <v>0.56000000000000005</v>
      </c>
      <c r="F174" s="458">
        <f t="shared" si="94"/>
        <v>0.38</v>
      </c>
      <c r="G174" s="458">
        <f t="shared" si="94"/>
        <v>0.36500000000000005</v>
      </c>
      <c r="H174" s="458">
        <f t="shared" si="94"/>
        <v>2.64</v>
      </c>
      <c r="J174" s="893"/>
      <c r="K174" s="458">
        <v>5</v>
      </c>
      <c r="L174" s="458">
        <f t="shared" ref="L174:Q174" si="95">I48</f>
        <v>200</v>
      </c>
      <c r="M174" s="458">
        <f t="shared" si="95"/>
        <v>7.7</v>
      </c>
      <c r="N174" s="458">
        <f t="shared" si="95"/>
        <v>1.3</v>
      </c>
      <c r="O174" s="458">
        <f t="shared" si="95"/>
        <v>1.3</v>
      </c>
      <c r="P174" s="458">
        <f t="shared" si="95"/>
        <v>3.2</v>
      </c>
      <c r="Q174" s="458">
        <f t="shared" si="95"/>
        <v>1.18</v>
      </c>
    </row>
    <row r="175" spans="1:17" ht="13" x14ac:dyDescent="0.25">
      <c r="A175" s="893"/>
      <c r="B175" s="458">
        <v>6</v>
      </c>
      <c r="C175" s="458">
        <f t="shared" ref="C175:H175" si="96">P40</f>
        <v>220</v>
      </c>
      <c r="D175" s="458">
        <f t="shared" si="96"/>
        <v>0.06</v>
      </c>
      <c r="E175" s="458">
        <f t="shared" si="96"/>
        <v>7.0000000000000007E-2</v>
      </c>
      <c r="F175" s="458">
        <f t="shared" si="96"/>
        <v>-0.13</v>
      </c>
      <c r="G175" s="458">
        <f t="shared" si="96"/>
        <v>0.1</v>
      </c>
      <c r="H175" s="458">
        <f t="shared" si="96"/>
        <v>2.64</v>
      </c>
      <c r="J175" s="893"/>
      <c r="K175" s="458">
        <v>6</v>
      </c>
      <c r="L175" s="458">
        <f>P48</f>
        <v>200</v>
      </c>
      <c r="M175" s="458">
        <f>R48</f>
        <v>14.4</v>
      </c>
      <c r="N175" s="458">
        <f>S48</f>
        <v>0.8</v>
      </c>
      <c r="O175" s="472">
        <v>9.9999999999999995E-7</v>
      </c>
      <c r="P175" s="458">
        <f>T48</f>
        <v>6.8</v>
      </c>
      <c r="Q175" s="458">
        <f>U48</f>
        <v>1.18</v>
      </c>
    </row>
    <row r="176" spans="1:17" ht="13" x14ac:dyDescent="0.25">
      <c r="A176" s="893"/>
      <c r="B176" s="458">
        <v>7</v>
      </c>
      <c r="C176" s="458">
        <f>B71</f>
        <v>220</v>
      </c>
      <c r="D176" s="458">
        <f>D71</f>
        <v>0.57999999999999996</v>
      </c>
      <c r="E176" s="458">
        <f>E71</f>
        <v>0.37</v>
      </c>
      <c r="F176" s="472">
        <v>9.9999999999999995E-7</v>
      </c>
      <c r="G176" s="458">
        <f>F71</f>
        <v>0.10499999999999998</v>
      </c>
      <c r="H176" s="458">
        <f>G71</f>
        <v>2.64</v>
      </c>
      <c r="J176" s="893"/>
      <c r="K176" s="458">
        <v>7</v>
      </c>
      <c r="L176" s="458">
        <f>B79</f>
        <v>200</v>
      </c>
      <c r="M176" s="458">
        <f>D79</f>
        <v>1.5</v>
      </c>
      <c r="N176" s="458">
        <f>E79</f>
        <v>0.4</v>
      </c>
      <c r="O176" s="472">
        <v>9.9999999999999995E-7</v>
      </c>
      <c r="P176" s="458">
        <f>F79</f>
        <v>0.55000000000000004</v>
      </c>
      <c r="Q176" s="458">
        <f>G79</f>
        <v>1.18</v>
      </c>
    </row>
    <row r="177" spans="1:17" x14ac:dyDescent="0.25">
      <c r="A177" s="893"/>
      <c r="B177" s="458">
        <v>8</v>
      </c>
      <c r="C177" s="458">
        <f t="shared" ref="C177:H177" si="97">I71</f>
        <v>220</v>
      </c>
      <c r="D177" s="458">
        <f t="shared" si="97"/>
        <v>-0.16</v>
      </c>
      <c r="E177" s="458">
        <f t="shared" si="97"/>
        <v>-0.45</v>
      </c>
      <c r="F177" s="458">
        <f t="shared" si="97"/>
        <v>0</v>
      </c>
      <c r="G177" s="458">
        <f t="shared" si="97"/>
        <v>0.14500000000000002</v>
      </c>
      <c r="H177" s="458">
        <f t="shared" si="97"/>
        <v>2.64</v>
      </c>
      <c r="J177" s="893"/>
      <c r="K177" s="458">
        <v>8</v>
      </c>
      <c r="L177" s="458">
        <f t="shared" ref="L177:Q177" si="98">I79</f>
        <v>200</v>
      </c>
      <c r="M177" s="458">
        <f t="shared" si="98"/>
        <v>-8.1999999999999993</v>
      </c>
      <c r="N177" s="458">
        <f t="shared" si="98"/>
        <v>3.7</v>
      </c>
      <c r="O177" s="458">
        <f t="shared" si="98"/>
        <v>0</v>
      </c>
      <c r="P177" s="458">
        <f t="shared" si="98"/>
        <v>5.9499999999999993</v>
      </c>
      <c r="Q177" s="458">
        <f t="shared" si="98"/>
        <v>1.18</v>
      </c>
    </row>
    <row r="178" spans="1:17" x14ac:dyDescent="0.25">
      <c r="A178" s="893"/>
      <c r="B178" s="458">
        <v>9</v>
      </c>
      <c r="C178" s="458">
        <f t="shared" ref="C178:H178" si="99">P71</f>
        <v>220</v>
      </c>
      <c r="D178" s="458">
        <f t="shared" si="99"/>
        <v>-0.28999999999999998</v>
      </c>
      <c r="E178" s="458">
        <f t="shared" si="99"/>
        <v>-0.39</v>
      </c>
      <c r="F178" s="458">
        <f t="shared" si="99"/>
        <v>0</v>
      </c>
      <c r="G178" s="458">
        <f t="shared" si="99"/>
        <v>5.0000000000000017E-2</v>
      </c>
      <c r="H178" s="458">
        <f t="shared" si="99"/>
        <v>2.64</v>
      </c>
      <c r="J178" s="893"/>
      <c r="K178" s="458">
        <v>9</v>
      </c>
      <c r="L178" s="458">
        <f t="shared" ref="L178:Q178" si="100">P79</f>
        <v>200</v>
      </c>
      <c r="M178" s="458">
        <f t="shared" si="100"/>
        <v>-0.2</v>
      </c>
      <c r="N178" s="458">
        <f t="shared" si="100"/>
        <v>3.4</v>
      </c>
      <c r="O178" s="458">
        <f t="shared" si="100"/>
        <v>0</v>
      </c>
      <c r="P178" s="458">
        <f t="shared" si="100"/>
        <v>1.8</v>
      </c>
      <c r="Q178" s="458">
        <f t="shared" si="100"/>
        <v>1.18</v>
      </c>
    </row>
    <row r="179" spans="1:17" x14ac:dyDescent="0.25">
      <c r="A179" s="893"/>
      <c r="B179" s="458">
        <v>10</v>
      </c>
      <c r="C179" s="458">
        <f t="shared" ref="C179:H179" si="101">B102</f>
        <v>220</v>
      </c>
      <c r="D179" s="458">
        <f t="shared" si="101"/>
        <v>9.9999999999999995E-7</v>
      </c>
      <c r="E179" s="458" t="str">
        <f t="shared" si="101"/>
        <v>-</v>
      </c>
      <c r="F179" s="458">
        <f t="shared" si="101"/>
        <v>0</v>
      </c>
      <c r="G179" s="458">
        <f t="shared" si="101"/>
        <v>0</v>
      </c>
      <c r="H179" s="458" t="str">
        <f t="shared" si="101"/>
        <v>-</v>
      </c>
      <c r="J179" s="893"/>
      <c r="K179" s="458">
        <v>10</v>
      </c>
      <c r="L179" s="458">
        <f t="shared" ref="L179:Q179" si="102">B110</f>
        <v>200</v>
      </c>
      <c r="M179" s="458">
        <f t="shared" si="102"/>
        <v>0.4</v>
      </c>
      <c r="N179" s="458" t="str">
        <f t="shared" si="102"/>
        <v>-</v>
      </c>
      <c r="O179" s="458">
        <f t="shared" si="102"/>
        <v>0</v>
      </c>
      <c r="P179" s="458">
        <f t="shared" si="102"/>
        <v>0</v>
      </c>
      <c r="Q179" s="458" t="str">
        <f t="shared" si="102"/>
        <v>-</v>
      </c>
    </row>
    <row r="180" spans="1:17" x14ac:dyDescent="0.25">
      <c r="A180" s="893"/>
      <c r="B180" s="458">
        <v>11</v>
      </c>
      <c r="C180" s="458">
        <f t="shared" ref="C180:H180" si="103">I102</f>
        <v>220</v>
      </c>
      <c r="D180" s="458">
        <f t="shared" si="103"/>
        <v>9.9999999999999995E-7</v>
      </c>
      <c r="E180" s="458" t="str">
        <f t="shared" si="103"/>
        <v>-</v>
      </c>
      <c r="F180" s="458">
        <f t="shared" si="103"/>
        <v>0</v>
      </c>
      <c r="G180" s="458">
        <f t="shared" si="103"/>
        <v>0</v>
      </c>
      <c r="H180" s="458" t="str">
        <f t="shared" si="103"/>
        <v>-</v>
      </c>
      <c r="J180" s="893"/>
      <c r="K180" s="458">
        <v>11</v>
      </c>
      <c r="L180" s="458">
        <f t="shared" ref="L180:Q180" si="104">I110</f>
        <v>200</v>
      </c>
      <c r="M180" s="458">
        <f t="shared" si="104"/>
        <v>9.9999999999999995E-7</v>
      </c>
      <c r="N180" s="458" t="str">
        <f t="shared" si="104"/>
        <v>-</v>
      </c>
      <c r="O180" s="458">
        <f t="shared" si="104"/>
        <v>0</v>
      </c>
      <c r="P180" s="458">
        <f t="shared" si="104"/>
        <v>0</v>
      </c>
      <c r="Q180" s="458" t="str">
        <f t="shared" si="104"/>
        <v>-</v>
      </c>
    </row>
    <row r="181" spans="1:17" x14ac:dyDescent="0.25">
      <c r="A181" s="893"/>
      <c r="B181" s="458">
        <v>12</v>
      </c>
      <c r="C181" s="458">
        <f t="shared" ref="C181:H181" si="105">P102</f>
        <v>220</v>
      </c>
      <c r="D181" s="458">
        <f t="shared" si="105"/>
        <v>9.9999999999999995E-7</v>
      </c>
      <c r="E181" s="458" t="str">
        <f t="shared" si="105"/>
        <v>-</v>
      </c>
      <c r="F181" s="458">
        <f t="shared" si="105"/>
        <v>0</v>
      </c>
      <c r="G181" s="458">
        <f t="shared" si="105"/>
        <v>0</v>
      </c>
      <c r="H181" s="458" t="str">
        <f t="shared" si="105"/>
        <v>-</v>
      </c>
      <c r="J181" s="893"/>
      <c r="K181" s="458">
        <v>12</v>
      </c>
      <c r="L181" s="458">
        <f t="shared" ref="L181:Q181" si="106">P110</f>
        <v>200</v>
      </c>
      <c r="M181" s="458">
        <f t="shared" si="106"/>
        <v>9.9999999999999995E-7</v>
      </c>
      <c r="N181" s="458" t="str">
        <f t="shared" si="106"/>
        <v>-</v>
      </c>
      <c r="O181" s="458">
        <f t="shared" si="106"/>
        <v>0</v>
      </c>
      <c r="P181" s="458">
        <f t="shared" si="106"/>
        <v>0</v>
      </c>
      <c r="Q181" s="458" t="str">
        <f t="shared" si="106"/>
        <v>-</v>
      </c>
    </row>
    <row r="182" spans="1:17" s="406" customFormat="1" x14ac:dyDescent="0.25">
      <c r="A182" s="414"/>
      <c r="B182" s="414"/>
      <c r="C182" s="414"/>
      <c r="D182" s="414"/>
      <c r="E182" s="414"/>
      <c r="F182" s="459"/>
      <c r="G182" s="414"/>
      <c r="H182" s="414"/>
      <c r="J182" s="414"/>
      <c r="K182" s="414"/>
      <c r="L182" s="414"/>
      <c r="M182" s="414"/>
      <c r="N182" s="414"/>
      <c r="O182" s="459"/>
      <c r="P182" s="414"/>
      <c r="Q182" s="414"/>
    </row>
    <row r="183" spans="1:17" ht="14" x14ac:dyDescent="0.25">
      <c r="A183" s="893" t="s">
        <v>66</v>
      </c>
      <c r="B183" s="461">
        <v>1</v>
      </c>
      <c r="C183" s="461">
        <f t="shared" ref="C183:H183" si="107">B10</f>
        <v>230</v>
      </c>
      <c r="D183" s="461">
        <f t="shared" si="107"/>
        <v>0.64</v>
      </c>
      <c r="E183" s="461">
        <f t="shared" si="107"/>
        <v>-0.2</v>
      </c>
      <c r="F183" s="461">
        <f t="shared" si="107"/>
        <v>-0.26</v>
      </c>
      <c r="G183" s="461">
        <f t="shared" si="107"/>
        <v>0.45</v>
      </c>
      <c r="H183" s="461">
        <f t="shared" si="107"/>
        <v>2.7600000000000002</v>
      </c>
      <c r="J183" s="893" t="s">
        <v>66</v>
      </c>
      <c r="K183" s="461">
        <v>1</v>
      </c>
      <c r="L183" s="458">
        <f t="shared" ref="L183:Q183" si="108">B18</f>
        <v>500</v>
      </c>
      <c r="M183" s="458">
        <f t="shared" si="108"/>
        <v>-2</v>
      </c>
      <c r="N183" s="458">
        <f t="shared" si="108"/>
        <v>3.8</v>
      </c>
      <c r="O183" s="458">
        <f t="shared" si="108"/>
        <v>-0.9</v>
      </c>
      <c r="P183" s="458">
        <f t="shared" si="108"/>
        <v>2.9</v>
      </c>
      <c r="Q183" s="458">
        <f t="shared" si="108"/>
        <v>2.9499999999999997</v>
      </c>
    </row>
    <row r="184" spans="1:17" ht="14" x14ac:dyDescent="0.25">
      <c r="A184" s="893"/>
      <c r="B184" s="461">
        <v>2</v>
      </c>
      <c r="C184" s="458">
        <f>I10</f>
        <v>230</v>
      </c>
      <c r="D184" s="458">
        <f>K10</f>
        <v>9.9999999999999995E-7</v>
      </c>
      <c r="E184" s="458">
        <f>L10</f>
        <v>0.05</v>
      </c>
      <c r="F184" s="472">
        <v>9.9999999999999995E-7</v>
      </c>
      <c r="G184" s="458">
        <f>M10</f>
        <v>2.4999500000000001E-2</v>
      </c>
      <c r="H184" s="458">
        <f>N10</f>
        <v>2.7600000000000002</v>
      </c>
      <c r="J184" s="893"/>
      <c r="K184" s="461">
        <v>2</v>
      </c>
      <c r="L184" s="458">
        <f>I18</f>
        <v>500</v>
      </c>
      <c r="M184" s="458">
        <f>K18</f>
        <v>0.8</v>
      </c>
      <c r="N184" s="458">
        <f>L18</f>
        <v>2</v>
      </c>
      <c r="O184" s="472">
        <v>9.9999999999999995E-7</v>
      </c>
      <c r="P184" s="458">
        <f>M18</f>
        <v>0.6</v>
      </c>
      <c r="Q184" s="458">
        <f>N18</f>
        <v>2.9499999999999997</v>
      </c>
    </row>
    <row r="185" spans="1:17" x14ac:dyDescent="0.25">
      <c r="A185" s="893"/>
      <c r="B185" s="458">
        <v>3</v>
      </c>
      <c r="C185" s="458">
        <f t="shared" ref="C185:H185" si="109">P10</f>
        <v>230</v>
      </c>
      <c r="D185" s="458">
        <f t="shared" si="109"/>
        <v>-11.79</v>
      </c>
      <c r="E185" s="458">
        <f t="shared" si="109"/>
        <v>-2.52</v>
      </c>
      <c r="F185" s="458">
        <f t="shared" si="109"/>
        <v>-0.23</v>
      </c>
      <c r="G185" s="458">
        <f t="shared" si="109"/>
        <v>5.7799999999999994</v>
      </c>
      <c r="H185" s="458">
        <f t="shared" si="109"/>
        <v>2.7600000000000002</v>
      </c>
      <c r="J185" s="893"/>
      <c r="K185" s="458">
        <v>3</v>
      </c>
      <c r="L185" s="458">
        <f t="shared" ref="L185:Q185" si="110">P18</f>
        <v>500</v>
      </c>
      <c r="M185" s="458">
        <f t="shared" si="110"/>
        <v>-18.8</v>
      </c>
      <c r="N185" s="458">
        <f t="shared" si="110"/>
        <v>-1.1000000000000001</v>
      </c>
      <c r="O185" s="458">
        <f t="shared" si="110"/>
        <v>2.9</v>
      </c>
      <c r="P185" s="458">
        <f t="shared" si="110"/>
        <v>10.85</v>
      </c>
      <c r="Q185" s="458">
        <f t="shared" si="110"/>
        <v>2.9499999999999997</v>
      </c>
    </row>
    <row r="186" spans="1:17" ht="13" x14ac:dyDescent="0.25">
      <c r="A186" s="893"/>
      <c r="B186" s="458">
        <v>4</v>
      </c>
      <c r="C186" s="458">
        <f>B41</f>
        <v>230</v>
      </c>
      <c r="D186" s="458">
        <f>D41</f>
        <v>-0.11</v>
      </c>
      <c r="E186" s="458">
        <f>E41</f>
        <v>1.1100000000000001</v>
      </c>
      <c r="F186" s="472">
        <v>9.9999999999999995E-7</v>
      </c>
      <c r="G186" s="458">
        <f>F41</f>
        <v>0.6100000000000001</v>
      </c>
      <c r="H186" s="458">
        <f>G41</f>
        <v>2.7600000000000002</v>
      </c>
      <c r="J186" s="893"/>
      <c r="K186" s="458">
        <v>4</v>
      </c>
      <c r="L186" s="458">
        <f>B49</f>
        <v>500</v>
      </c>
      <c r="M186" s="458">
        <f>D49</f>
        <v>0.2</v>
      </c>
      <c r="N186" s="458">
        <f>E49</f>
        <v>1.2</v>
      </c>
      <c r="O186" s="472">
        <v>9.9999999999999995E-7</v>
      </c>
      <c r="P186" s="458">
        <f>F49</f>
        <v>0.5</v>
      </c>
      <c r="Q186" s="458">
        <f>G49</f>
        <v>2.9499999999999997</v>
      </c>
    </row>
    <row r="187" spans="1:17" x14ac:dyDescent="0.25">
      <c r="A187" s="893"/>
      <c r="B187" s="458">
        <v>5</v>
      </c>
      <c r="C187" s="458">
        <f t="shared" ref="C187:H187" si="111">I41</f>
        <v>230</v>
      </c>
      <c r="D187" s="458">
        <f t="shared" si="111"/>
        <v>-0.14000000000000001</v>
      </c>
      <c r="E187" s="458">
        <f t="shared" si="111"/>
        <v>0.73</v>
      </c>
      <c r="F187" s="458">
        <f t="shared" si="111"/>
        <v>-0.16</v>
      </c>
      <c r="G187" s="458">
        <f t="shared" si="111"/>
        <v>0.44500000000000001</v>
      </c>
      <c r="H187" s="458">
        <f t="shared" si="111"/>
        <v>2.7600000000000002</v>
      </c>
      <c r="J187" s="893"/>
      <c r="K187" s="458">
        <v>5</v>
      </c>
      <c r="L187" s="458">
        <f t="shared" ref="L187:Q187" si="112">I49</f>
        <v>500</v>
      </c>
      <c r="M187" s="458">
        <f t="shared" si="112"/>
        <v>5.7</v>
      </c>
      <c r="N187" s="458">
        <f t="shared" si="112"/>
        <v>0.7</v>
      </c>
      <c r="O187" s="458">
        <f t="shared" si="112"/>
        <v>0.7</v>
      </c>
      <c r="P187" s="458">
        <f t="shared" si="112"/>
        <v>2.5</v>
      </c>
      <c r="Q187" s="458">
        <f t="shared" si="112"/>
        <v>2.9499999999999997</v>
      </c>
    </row>
    <row r="188" spans="1:17" ht="13" x14ac:dyDescent="0.25">
      <c r="A188" s="893"/>
      <c r="B188" s="458">
        <v>6</v>
      </c>
      <c r="C188" s="458">
        <f t="shared" ref="C188:H188" si="113">P41</f>
        <v>230</v>
      </c>
      <c r="D188" s="458">
        <f t="shared" si="113"/>
        <v>0.04</v>
      </c>
      <c r="E188" s="458">
        <f t="shared" si="113"/>
        <v>0.08</v>
      </c>
      <c r="F188" s="458">
        <f t="shared" si="113"/>
        <v>-0.15</v>
      </c>
      <c r="G188" s="458">
        <f t="shared" si="113"/>
        <v>0.11499999999999999</v>
      </c>
      <c r="H188" s="458">
        <f t="shared" si="113"/>
        <v>2.7600000000000002</v>
      </c>
      <c r="J188" s="893"/>
      <c r="K188" s="458">
        <v>6</v>
      </c>
      <c r="L188" s="458">
        <f>P49</f>
        <v>500</v>
      </c>
      <c r="M188" s="458">
        <f>R49</f>
        <v>6.2</v>
      </c>
      <c r="N188" s="458">
        <f>S49</f>
        <v>1.1000000000000001</v>
      </c>
      <c r="O188" s="472">
        <v>9.9999999999999995E-7</v>
      </c>
      <c r="P188" s="458">
        <f>T49</f>
        <v>2.5499999999999998</v>
      </c>
      <c r="Q188" s="458">
        <f>U49</f>
        <v>2.9499999999999997</v>
      </c>
    </row>
    <row r="189" spans="1:17" ht="13" x14ac:dyDescent="0.25">
      <c r="A189" s="893"/>
      <c r="B189" s="458">
        <v>7</v>
      </c>
      <c r="C189" s="458">
        <f>B72</f>
        <v>230</v>
      </c>
      <c r="D189" s="458">
        <f>D72</f>
        <v>0.47</v>
      </c>
      <c r="E189" s="458">
        <f>E72</f>
        <v>0.47</v>
      </c>
      <c r="F189" s="472">
        <v>9.9999999999999995E-7</v>
      </c>
      <c r="G189" s="458">
        <f>F72</f>
        <v>0</v>
      </c>
      <c r="H189" s="458">
        <f>G72</f>
        <v>2.7600000000000002</v>
      </c>
      <c r="J189" s="893"/>
      <c r="K189" s="458">
        <v>7</v>
      </c>
      <c r="L189" s="458">
        <f>B80</f>
        <v>500</v>
      </c>
      <c r="M189" s="458">
        <f>D80</f>
        <v>0.9</v>
      </c>
      <c r="N189" s="458">
        <f>E80</f>
        <v>3</v>
      </c>
      <c r="O189" s="472">
        <v>9.9999999999999995E-7</v>
      </c>
      <c r="P189" s="458">
        <f>F80</f>
        <v>1.05</v>
      </c>
      <c r="Q189" s="458">
        <f>G80</f>
        <v>2.9499999999999997</v>
      </c>
    </row>
    <row r="190" spans="1:17" x14ac:dyDescent="0.25">
      <c r="A190" s="893"/>
      <c r="B190" s="458">
        <v>8</v>
      </c>
      <c r="C190" s="458">
        <f t="shared" ref="C190:H190" si="114">I72</f>
        <v>230</v>
      </c>
      <c r="D190" s="458">
        <f t="shared" si="114"/>
        <v>-0.15</v>
      </c>
      <c r="E190" s="458">
        <f t="shared" si="114"/>
        <v>-0.54</v>
      </c>
      <c r="F190" s="458">
        <f t="shared" si="114"/>
        <v>0</v>
      </c>
      <c r="G190" s="458">
        <f t="shared" si="114"/>
        <v>0.19500000000000001</v>
      </c>
      <c r="H190" s="458">
        <f t="shared" si="114"/>
        <v>2.7600000000000002</v>
      </c>
      <c r="J190" s="893"/>
      <c r="K190" s="458">
        <v>8</v>
      </c>
      <c r="L190" s="458">
        <f t="shared" ref="L190:Q190" si="115">I80</f>
        <v>500</v>
      </c>
      <c r="M190" s="458">
        <f t="shared" si="115"/>
        <v>-31.8</v>
      </c>
      <c r="N190" s="458">
        <f t="shared" si="115"/>
        <v>8.3000000000000007</v>
      </c>
      <c r="O190" s="458">
        <f t="shared" si="115"/>
        <v>0</v>
      </c>
      <c r="P190" s="458">
        <f t="shared" si="115"/>
        <v>20.05</v>
      </c>
      <c r="Q190" s="458">
        <f t="shared" si="115"/>
        <v>2.9499999999999997</v>
      </c>
    </row>
    <row r="191" spans="1:17" x14ac:dyDescent="0.25">
      <c r="A191" s="893"/>
      <c r="B191" s="458">
        <v>9</v>
      </c>
      <c r="C191" s="458">
        <f t="shared" ref="C191:H191" si="116">P72</f>
        <v>230</v>
      </c>
      <c r="D191" s="458">
        <f t="shared" si="116"/>
        <v>-0.34</v>
      </c>
      <c r="E191" s="458">
        <f t="shared" si="116"/>
        <v>-0.39</v>
      </c>
      <c r="F191" s="458">
        <f t="shared" si="116"/>
        <v>0</v>
      </c>
      <c r="G191" s="458">
        <f t="shared" si="116"/>
        <v>2.4999999999999994E-2</v>
      </c>
      <c r="H191" s="458">
        <f t="shared" si="116"/>
        <v>2.7600000000000002</v>
      </c>
      <c r="J191" s="893"/>
      <c r="K191" s="458">
        <v>9</v>
      </c>
      <c r="L191" s="458">
        <f t="shared" ref="L191:Q191" si="117">P80</f>
        <v>500</v>
      </c>
      <c r="M191" s="458">
        <f t="shared" si="117"/>
        <v>-25.1</v>
      </c>
      <c r="N191" s="458">
        <f t="shared" si="117"/>
        <v>7.2</v>
      </c>
      <c r="O191" s="458">
        <f t="shared" si="117"/>
        <v>0</v>
      </c>
      <c r="P191" s="458">
        <f t="shared" si="117"/>
        <v>16.150000000000002</v>
      </c>
      <c r="Q191" s="458">
        <f t="shared" si="117"/>
        <v>2.9499999999999997</v>
      </c>
    </row>
    <row r="192" spans="1:17" x14ac:dyDescent="0.25">
      <c r="A192" s="893"/>
      <c r="B192" s="458">
        <v>10</v>
      </c>
      <c r="C192" s="458">
        <f t="shared" ref="C192:H192" si="118">B103</f>
        <v>230</v>
      </c>
      <c r="D192" s="458">
        <f t="shared" si="118"/>
        <v>-0.11</v>
      </c>
      <c r="E192" s="458" t="str">
        <f t="shared" si="118"/>
        <v>-</v>
      </c>
      <c r="F192" s="458">
        <f t="shared" si="118"/>
        <v>0</v>
      </c>
      <c r="G192" s="458">
        <f t="shared" si="118"/>
        <v>0</v>
      </c>
      <c r="H192" s="458" t="str">
        <f t="shared" si="118"/>
        <v>-</v>
      </c>
      <c r="J192" s="893"/>
      <c r="K192" s="458">
        <v>10</v>
      </c>
      <c r="L192" s="458">
        <f t="shared" ref="L192:Q192" si="119">B111</f>
        <v>500</v>
      </c>
      <c r="M192" s="458">
        <f t="shared" si="119"/>
        <v>1.5</v>
      </c>
      <c r="N192" s="458" t="str">
        <f t="shared" si="119"/>
        <v>-</v>
      </c>
      <c r="O192" s="458">
        <f t="shared" si="119"/>
        <v>0</v>
      </c>
      <c r="P192" s="458">
        <f t="shared" si="119"/>
        <v>0</v>
      </c>
      <c r="Q192" s="458" t="str">
        <f t="shared" si="119"/>
        <v>-</v>
      </c>
    </row>
    <row r="193" spans="1:17" x14ac:dyDescent="0.25">
      <c r="A193" s="893"/>
      <c r="B193" s="458">
        <v>11</v>
      </c>
      <c r="C193" s="458">
        <f t="shared" ref="C193:H193" si="120">I103</f>
        <v>230</v>
      </c>
      <c r="D193" s="458">
        <f t="shared" si="120"/>
        <v>9.9999999999999995E-7</v>
      </c>
      <c r="E193" s="458" t="str">
        <f t="shared" si="120"/>
        <v>-</v>
      </c>
      <c r="F193" s="458">
        <f t="shared" si="120"/>
        <v>0</v>
      </c>
      <c r="G193" s="458">
        <f t="shared" si="120"/>
        <v>0</v>
      </c>
      <c r="H193" s="458" t="str">
        <f t="shared" si="120"/>
        <v>-</v>
      </c>
      <c r="J193" s="893"/>
      <c r="K193" s="458">
        <v>11</v>
      </c>
      <c r="L193" s="458">
        <f t="shared" ref="L193:Q193" si="121">I111</f>
        <v>500</v>
      </c>
      <c r="M193" s="458">
        <f t="shared" si="121"/>
        <v>9.9999999999999995E-7</v>
      </c>
      <c r="N193" s="458" t="str">
        <f t="shared" si="121"/>
        <v>-</v>
      </c>
      <c r="O193" s="458">
        <f t="shared" si="121"/>
        <v>0</v>
      </c>
      <c r="P193" s="458">
        <f t="shared" si="121"/>
        <v>0</v>
      </c>
      <c r="Q193" s="458" t="str">
        <f t="shared" si="121"/>
        <v>-</v>
      </c>
    </row>
    <row r="194" spans="1:17" x14ac:dyDescent="0.25">
      <c r="A194" s="893"/>
      <c r="B194" s="458">
        <v>12</v>
      </c>
      <c r="C194" s="458">
        <f t="shared" ref="C194:H194" si="122">P103</f>
        <v>230</v>
      </c>
      <c r="D194" s="458">
        <f t="shared" si="122"/>
        <v>9.9999999999999995E-7</v>
      </c>
      <c r="E194" s="458" t="str">
        <f t="shared" si="122"/>
        <v>-</v>
      </c>
      <c r="F194" s="458">
        <f t="shared" si="122"/>
        <v>0</v>
      </c>
      <c r="G194" s="458">
        <f t="shared" si="122"/>
        <v>0</v>
      </c>
      <c r="H194" s="458" t="str">
        <f t="shared" si="122"/>
        <v>-</v>
      </c>
      <c r="J194" s="893"/>
      <c r="K194" s="458">
        <v>12</v>
      </c>
      <c r="L194" s="458">
        <f t="shared" ref="L194:Q194" si="123">P111</f>
        <v>500</v>
      </c>
      <c r="M194" s="458">
        <f t="shared" si="123"/>
        <v>9.9999999999999995E-7</v>
      </c>
      <c r="N194" s="458" t="str">
        <f t="shared" si="123"/>
        <v>-</v>
      </c>
      <c r="O194" s="458">
        <f t="shared" si="123"/>
        <v>0</v>
      </c>
      <c r="P194" s="458">
        <f t="shared" si="123"/>
        <v>0</v>
      </c>
      <c r="Q194" s="458" t="str">
        <f t="shared" si="123"/>
        <v>-</v>
      </c>
    </row>
    <row r="195" spans="1:17" s="406" customFormat="1" x14ac:dyDescent="0.25">
      <c r="A195" s="414"/>
      <c r="B195" s="414"/>
      <c r="C195" s="414"/>
      <c r="D195" s="414"/>
      <c r="E195" s="414"/>
      <c r="F195" s="459"/>
      <c r="G195" s="414"/>
      <c r="H195" s="414"/>
      <c r="J195" s="414"/>
      <c r="K195" s="414"/>
      <c r="L195" s="414"/>
      <c r="M195" s="414"/>
      <c r="N195" s="414"/>
      <c r="O195" s="459"/>
      <c r="P195" s="414"/>
      <c r="Q195" s="414"/>
    </row>
    <row r="196" spans="1:17" ht="14" x14ac:dyDescent="0.25">
      <c r="A196" s="893" t="s">
        <v>67</v>
      </c>
      <c r="B196" s="461">
        <v>1</v>
      </c>
      <c r="C196" s="461">
        <f t="shared" ref="C196:H196" si="124">B11</f>
        <v>250</v>
      </c>
      <c r="D196" s="461">
        <f t="shared" si="124"/>
        <v>-0.36</v>
      </c>
      <c r="E196" s="461">
        <f t="shared" si="124"/>
        <v>-0.32</v>
      </c>
      <c r="F196" s="461">
        <f t="shared" si="124"/>
        <v>9.9999999999999995E-7</v>
      </c>
      <c r="G196" s="461">
        <f t="shared" si="124"/>
        <v>0.18000049999999998</v>
      </c>
      <c r="H196" s="461">
        <f t="shared" si="124"/>
        <v>3</v>
      </c>
      <c r="J196" s="893" t="s">
        <v>67</v>
      </c>
      <c r="K196" s="461">
        <v>1</v>
      </c>
      <c r="L196" s="458">
        <f t="shared" ref="L196:Q196" si="125">B19</f>
        <v>1000</v>
      </c>
      <c r="M196" s="458">
        <f t="shared" si="125"/>
        <v>-26</v>
      </c>
      <c r="N196" s="458">
        <f t="shared" si="125"/>
        <v>9.9999999999999995E-7</v>
      </c>
      <c r="O196" s="458">
        <f t="shared" si="125"/>
        <v>9.9999999999999995E-7</v>
      </c>
      <c r="P196" s="458">
        <f t="shared" si="125"/>
        <v>13.000000500000001</v>
      </c>
      <c r="Q196" s="458">
        <f t="shared" si="125"/>
        <v>5.8999999999999995</v>
      </c>
    </row>
    <row r="197" spans="1:17" ht="14" x14ac:dyDescent="0.25">
      <c r="A197" s="893"/>
      <c r="B197" s="461">
        <v>2</v>
      </c>
      <c r="C197" s="458">
        <f>I11</f>
        <v>250</v>
      </c>
      <c r="D197" s="458">
        <f>K11</f>
        <v>9.9999999999999995E-7</v>
      </c>
      <c r="E197" s="458">
        <f>L11</f>
        <v>9.9999999999999995E-7</v>
      </c>
      <c r="F197" s="472">
        <v>9.9999999999999995E-7</v>
      </c>
      <c r="G197" s="458">
        <f>M11</f>
        <v>0</v>
      </c>
      <c r="H197" s="458">
        <f>N11</f>
        <v>2.76</v>
      </c>
      <c r="J197" s="893"/>
      <c r="K197" s="461">
        <v>2</v>
      </c>
      <c r="L197" s="458">
        <f>I19</f>
        <v>1000</v>
      </c>
      <c r="M197" s="458">
        <f>K19</f>
        <v>9.9999999999999995E-7</v>
      </c>
      <c r="N197" s="458">
        <f>L19</f>
        <v>9.9999999999999995E-7</v>
      </c>
      <c r="O197" s="472">
        <v>9.9999999999999995E-7</v>
      </c>
      <c r="P197" s="458">
        <f>M19</f>
        <v>0</v>
      </c>
      <c r="Q197" s="458">
        <f>N19</f>
        <v>5.8999999999999995</v>
      </c>
    </row>
    <row r="198" spans="1:17" x14ac:dyDescent="0.25">
      <c r="A198" s="893"/>
      <c r="B198" s="458">
        <v>3</v>
      </c>
      <c r="C198" s="458">
        <f t="shared" ref="C198:H198" si="126">P11</f>
        <v>250</v>
      </c>
      <c r="D198" s="458">
        <f t="shared" si="126"/>
        <v>9.9999999999999995E-7</v>
      </c>
      <c r="E198" s="458">
        <f t="shared" si="126"/>
        <v>9.9999999999999995E-7</v>
      </c>
      <c r="F198" s="458">
        <f t="shared" si="126"/>
        <v>9.9999999999999995E-7</v>
      </c>
      <c r="G198" s="458">
        <f t="shared" si="126"/>
        <v>0</v>
      </c>
      <c r="H198" s="458">
        <f t="shared" si="126"/>
        <v>3</v>
      </c>
      <c r="J198" s="893"/>
      <c r="K198" s="458">
        <v>3</v>
      </c>
      <c r="L198" s="458">
        <f t="shared" ref="L198:Q198" si="127">P19</f>
        <v>1000</v>
      </c>
      <c r="M198" s="458">
        <f t="shared" si="127"/>
        <v>-47</v>
      </c>
      <c r="N198" s="458">
        <f t="shared" si="127"/>
        <v>3</v>
      </c>
      <c r="O198" s="458">
        <f t="shared" si="127"/>
        <v>3</v>
      </c>
      <c r="P198" s="458">
        <f t="shared" si="127"/>
        <v>25</v>
      </c>
      <c r="Q198" s="458">
        <f t="shared" si="127"/>
        <v>5.8999999999999995</v>
      </c>
    </row>
    <row r="199" spans="1:17" ht="13" x14ac:dyDescent="0.25">
      <c r="A199" s="893"/>
      <c r="B199" s="458">
        <v>4</v>
      </c>
      <c r="C199" s="458">
        <f>B42</f>
        <v>250</v>
      </c>
      <c r="D199" s="458">
        <f>D42</f>
        <v>9.9999999999999995E-7</v>
      </c>
      <c r="E199" s="458">
        <f>E42</f>
        <v>9.9999999999999995E-7</v>
      </c>
      <c r="F199" s="472">
        <v>9.9999999999999995E-7</v>
      </c>
      <c r="G199" s="458">
        <f>F42</f>
        <v>0</v>
      </c>
      <c r="H199" s="458">
        <f>G42</f>
        <v>3</v>
      </c>
      <c r="J199" s="893"/>
      <c r="K199" s="458">
        <v>4</v>
      </c>
      <c r="L199" s="458">
        <f>B50</f>
        <v>1000</v>
      </c>
      <c r="M199" s="458">
        <f>D50</f>
        <v>2</v>
      </c>
      <c r="N199" s="458">
        <f>E50</f>
        <v>2</v>
      </c>
      <c r="O199" s="472">
        <v>9.9999999999999995E-7</v>
      </c>
      <c r="P199" s="458">
        <f>F50</f>
        <v>0</v>
      </c>
      <c r="Q199" s="458">
        <f>G50</f>
        <v>5.8999999999999995</v>
      </c>
    </row>
    <row r="200" spans="1:17" x14ac:dyDescent="0.25">
      <c r="A200" s="893"/>
      <c r="B200" s="458">
        <v>5</v>
      </c>
      <c r="C200" s="458">
        <f t="shared" ref="C200:H200" si="128">I42</f>
        <v>240</v>
      </c>
      <c r="D200" s="458">
        <f t="shared" si="128"/>
        <v>-0.31</v>
      </c>
      <c r="E200" s="458">
        <f t="shared" si="128"/>
        <v>9.9999999999999995E-7</v>
      </c>
      <c r="F200" s="458">
        <f t="shared" si="128"/>
        <v>9.9999999999999995E-7</v>
      </c>
      <c r="G200" s="458">
        <f t="shared" si="128"/>
        <v>0.15500049999999999</v>
      </c>
      <c r="H200" s="458">
        <f t="shared" si="128"/>
        <v>2.88</v>
      </c>
      <c r="J200" s="893"/>
      <c r="K200" s="458">
        <v>5</v>
      </c>
      <c r="L200" s="458">
        <f t="shared" ref="L200:Q200" si="129">I50</f>
        <v>1000</v>
      </c>
      <c r="M200" s="458">
        <f t="shared" si="129"/>
        <v>-88</v>
      </c>
      <c r="N200" s="458">
        <f t="shared" si="129"/>
        <v>9.9999999999999995E-7</v>
      </c>
      <c r="O200" s="458">
        <f t="shared" si="129"/>
        <v>9.9999999999999995E-7</v>
      </c>
      <c r="P200" s="458">
        <f t="shared" si="129"/>
        <v>44.000000499999999</v>
      </c>
      <c r="Q200" s="458">
        <f t="shared" si="129"/>
        <v>5.8999999999999995</v>
      </c>
    </row>
    <row r="201" spans="1:17" ht="13" x14ac:dyDescent="0.25">
      <c r="A201" s="893"/>
      <c r="B201" s="458">
        <v>6</v>
      </c>
      <c r="C201" s="458">
        <f t="shared" ref="C201:H201" si="130">P42</f>
        <v>250</v>
      </c>
      <c r="D201" s="458">
        <f t="shared" si="130"/>
        <v>0</v>
      </c>
      <c r="E201" s="458">
        <f t="shared" si="130"/>
        <v>0</v>
      </c>
      <c r="F201" s="458">
        <f t="shared" si="130"/>
        <v>9.9999999999999995E-7</v>
      </c>
      <c r="G201" s="458">
        <f t="shared" si="130"/>
        <v>4.9999999999999998E-7</v>
      </c>
      <c r="H201" s="458">
        <f t="shared" si="130"/>
        <v>0</v>
      </c>
      <c r="J201" s="893"/>
      <c r="K201" s="458">
        <v>6</v>
      </c>
      <c r="L201" s="458">
        <f>P50</f>
        <v>1000</v>
      </c>
      <c r="M201" s="458">
        <f>R50</f>
        <v>0</v>
      </c>
      <c r="N201" s="458">
        <f>S50</f>
        <v>9.9999999999999995E-7</v>
      </c>
      <c r="O201" s="472">
        <v>9.9999999999999995E-7</v>
      </c>
      <c r="P201" s="458">
        <f>T50</f>
        <v>4.9999999999999998E-7</v>
      </c>
      <c r="Q201" s="458">
        <f>U50</f>
        <v>5.8999999999999995</v>
      </c>
    </row>
    <row r="202" spans="1:17" ht="13" x14ac:dyDescent="0.25">
      <c r="A202" s="893"/>
      <c r="B202" s="458">
        <v>7</v>
      </c>
      <c r="C202" s="458">
        <f>B73</f>
        <v>240</v>
      </c>
      <c r="D202" s="458">
        <f>D73</f>
        <v>0</v>
      </c>
      <c r="E202" s="458">
        <f>E73</f>
        <v>0.38</v>
      </c>
      <c r="F202" s="472">
        <v>9.9999999999999995E-7</v>
      </c>
      <c r="G202" s="458">
        <f>F73</f>
        <v>0.19</v>
      </c>
      <c r="H202" s="458">
        <f>G73</f>
        <v>2.88</v>
      </c>
      <c r="J202" s="893"/>
      <c r="K202" s="458">
        <v>7</v>
      </c>
      <c r="L202" s="458">
        <f>B81</f>
        <v>1000</v>
      </c>
      <c r="M202" s="458">
        <f>D81</f>
        <v>0</v>
      </c>
      <c r="N202" s="458">
        <f>E81</f>
        <v>9.9999999999999995E-7</v>
      </c>
      <c r="O202" s="472">
        <v>9.9999999999999995E-7</v>
      </c>
      <c r="P202" s="458">
        <f>F81</f>
        <v>4.9999999999999998E-7</v>
      </c>
      <c r="Q202" s="458">
        <f>G81</f>
        <v>5.8999999999999995</v>
      </c>
    </row>
    <row r="203" spans="1:17" x14ac:dyDescent="0.25">
      <c r="A203" s="893"/>
      <c r="B203" s="458">
        <v>8</v>
      </c>
      <c r="C203" s="458">
        <f t="shared" ref="C203:H203" si="131">I73</f>
        <v>250</v>
      </c>
      <c r="D203" s="458">
        <f t="shared" si="131"/>
        <v>9.9999999999999995E-7</v>
      </c>
      <c r="E203" s="458">
        <f t="shared" si="131"/>
        <v>-0.49</v>
      </c>
      <c r="F203" s="458">
        <f t="shared" si="131"/>
        <v>0</v>
      </c>
      <c r="G203" s="458">
        <f t="shared" si="131"/>
        <v>0.24500049999999998</v>
      </c>
      <c r="H203" s="458">
        <f t="shared" si="131"/>
        <v>3</v>
      </c>
      <c r="J203" s="893"/>
      <c r="K203" s="458">
        <v>8</v>
      </c>
      <c r="L203" s="458">
        <f t="shared" ref="L203:Q203" si="132">I81</f>
        <v>1000</v>
      </c>
      <c r="M203" s="458">
        <f t="shared" si="132"/>
        <v>-74</v>
      </c>
      <c r="N203" s="458">
        <f t="shared" si="132"/>
        <v>9.9999999999999995E-7</v>
      </c>
      <c r="O203" s="458">
        <f t="shared" si="132"/>
        <v>0</v>
      </c>
      <c r="P203" s="458">
        <f t="shared" si="132"/>
        <v>37.000000499999999</v>
      </c>
      <c r="Q203" s="458">
        <f t="shared" si="132"/>
        <v>5.8999999999999995</v>
      </c>
    </row>
    <row r="204" spans="1:17" x14ac:dyDescent="0.25">
      <c r="A204" s="893"/>
      <c r="B204" s="458">
        <v>9</v>
      </c>
      <c r="C204" s="458">
        <f t="shared" ref="C204:H204" si="133">P73</f>
        <v>250</v>
      </c>
      <c r="D204" s="458">
        <f t="shared" si="133"/>
        <v>0</v>
      </c>
      <c r="E204" s="458">
        <f t="shared" si="133"/>
        <v>-0.39</v>
      </c>
      <c r="F204" s="458">
        <f t="shared" si="133"/>
        <v>0</v>
      </c>
      <c r="G204" s="458">
        <f t="shared" si="133"/>
        <v>0.19500000000000001</v>
      </c>
      <c r="H204" s="458">
        <f t="shared" si="133"/>
        <v>3</v>
      </c>
      <c r="J204" s="893"/>
      <c r="K204" s="458">
        <v>9</v>
      </c>
      <c r="L204" s="458">
        <f t="shared" ref="L204:Q204" si="134">P81</f>
        <v>1000</v>
      </c>
      <c r="M204" s="458">
        <f t="shared" si="134"/>
        <v>-6.6000000000000003E-2</v>
      </c>
      <c r="N204" s="458">
        <f t="shared" si="134"/>
        <v>9.9999999999999995E-7</v>
      </c>
      <c r="O204" s="458">
        <f t="shared" si="134"/>
        <v>0</v>
      </c>
      <c r="P204" s="458">
        <f t="shared" si="134"/>
        <v>3.3000500000000002E-2</v>
      </c>
      <c r="Q204" s="458">
        <f t="shared" si="134"/>
        <v>2.99</v>
      </c>
    </row>
    <row r="205" spans="1:17" x14ac:dyDescent="0.25">
      <c r="A205" s="893"/>
      <c r="B205" s="458">
        <v>10</v>
      </c>
      <c r="C205" s="458">
        <f t="shared" ref="C205:H205" si="135">B104</f>
        <v>250</v>
      </c>
      <c r="D205" s="458">
        <f t="shared" si="135"/>
        <v>-0.11</v>
      </c>
      <c r="E205" s="458" t="str">
        <f t="shared" si="135"/>
        <v>-</v>
      </c>
      <c r="F205" s="458">
        <f t="shared" si="135"/>
        <v>0</v>
      </c>
      <c r="G205" s="458">
        <f t="shared" si="135"/>
        <v>0</v>
      </c>
      <c r="H205" s="458" t="str">
        <f t="shared" si="135"/>
        <v>-</v>
      </c>
      <c r="J205" s="893"/>
      <c r="K205" s="458">
        <v>10</v>
      </c>
      <c r="L205" s="458">
        <f t="shared" ref="L205:Q205" si="136">B112</f>
        <v>1000</v>
      </c>
      <c r="M205" s="458">
        <f t="shared" si="136"/>
        <v>2</v>
      </c>
      <c r="N205" s="458" t="str">
        <f t="shared" si="136"/>
        <v>-</v>
      </c>
      <c r="O205" s="458">
        <f t="shared" si="136"/>
        <v>0</v>
      </c>
      <c r="P205" s="458">
        <f t="shared" si="136"/>
        <v>0</v>
      </c>
      <c r="Q205" s="458" t="str">
        <f t="shared" si="136"/>
        <v>-</v>
      </c>
    </row>
    <row r="206" spans="1:17" x14ac:dyDescent="0.25">
      <c r="A206" s="893"/>
      <c r="B206" s="458">
        <v>11</v>
      </c>
      <c r="C206" s="458">
        <f t="shared" ref="C206:H206" si="137">I104</f>
        <v>250</v>
      </c>
      <c r="D206" s="458">
        <f t="shared" si="137"/>
        <v>9.9999999999999995E-7</v>
      </c>
      <c r="E206" s="458" t="str">
        <f t="shared" si="137"/>
        <v>-</v>
      </c>
      <c r="F206" s="458">
        <f t="shared" si="137"/>
        <v>0</v>
      </c>
      <c r="G206" s="458">
        <f t="shared" si="137"/>
        <v>0</v>
      </c>
      <c r="H206" s="458" t="str">
        <f t="shared" si="137"/>
        <v>-</v>
      </c>
      <c r="J206" s="893"/>
      <c r="K206" s="458">
        <v>11</v>
      </c>
      <c r="L206" s="458">
        <f t="shared" ref="L206:Q206" si="138">I112</f>
        <v>1000</v>
      </c>
      <c r="M206" s="458">
        <f t="shared" si="138"/>
        <v>9.9999999999999995E-7</v>
      </c>
      <c r="N206" s="458" t="str">
        <f t="shared" si="138"/>
        <v>-</v>
      </c>
      <c r="O206" s="458">
        <f t="shared" si="138"/>
        <v>0</v>
      </c>
      <c r="P206" s="458">
        <f t="shared" si="138"/>
        <v>0</v>
      </c>
      <c r="Q206" s="458" t="str">
        <f t="shared" si="138"/>
        <v>-</v>
      </c>
    </row>
    <row r="207" spans="1:17" x14ac:dyDescent="0.25">
      <c r="A207" s="893"/>
      <c r="B207" s="458">
        <v>12</v>
      </c>
      <c r="C207" s="458">
        <f t="shared" ref="C207:H207" si="139">P104</f>
        <v>250</v>
      </c>
      <c r="D207" s="458">
        <f t="shared" si="139"/>
        <v>9.9999999999999995E-7</v>
      </c>
      <c r="E207" s="458" t="str">
        <f t="shared" si="139"/>
        <v>-</v>
      </c>
      <c r="F207" s="458">
        <f t="shared" si="139"/>
        <v>0</v>
      </c>
      <c r="G207" s="458">
        <f t="shared" si="139"/>
        <v>0</v>
      </c>
      <c r="H207" s="458" t="str">
        <f t="shared" si="139"/>
        <v>-</v>
      </c>
      <c r="J207" s="893"/>
      <c r="K207" s="458">
        <v>12</v>
      </c>
      <c r="L207" s="458">
        <f t="shared" ref="L207:Q207" si="140">P112</f>
        <v>1000</v>
      </c>
      <c r="M207" s="458">
        <f t="shared" si="140"/>
        <v>9.9999999999999995E-7</v>
      </c>
      <c r="N207" s="458" t="str">
        <f t="shared" si="140"/>
        <v>-</v>
      </c>
      <c r="O207" s="458">
        <f t="shared" si="140"/>
        <v>0</v>
      </c>
      <c r="P207" s="458">
        <f t="shared" si="140"/>
        <v>0</v>
      </c>
      <c r="Q207" s="458" t="str">
        <f t="shared" si="140"/>
        <v>-</v>
      </c>
    </row>
    <row r="208" spans="1:17" x14ac:dyDescent="0.25">
      <c r="A208" s="463"/>
      <c r="B208" s="467"/>
      <c r="C208" s="467"/>
      <c r="D208" s="463"/>
      <c r="E208" s="463"/>
      <c r="F208" s="463"/>
      <c r="G208" s="463"/>
      <c r="H208" s="463"/>
      <c r="J208" s="463"/>
      <c r="K208" s="463"/>
      <c r="L208" s="463"/>
      <c r="M208" s="463"/>
      <c r="N208" s="463"/>
      <c r="O208" s="463"/>
      <c r="P208" s="463"/>
      <c r="Q208" s="463"/>
    </row>
    <row r="209" spans="1:17" ht="14" x14ac:dyDescent="0.3">
      <c r="A209" s="894" t="s">
        <v>320</v>
      </c>
      <c r="B209" s="891"/>
      <c r="C209" s="895" t="s">
        <v>304</v>
      </c>
      <c r="D209" s="895"/>
      <c r="E209" s="895"/>
      <c r="F209" s="895"/>
      <c r="G209" s="895"/>
      <c r="H209" s="895"/>
      <c r="J209" s="894" t="s">
        <v>320</v>
      </c>
      <c r="K209" s="891"/>
      <c r="L209" s="892" t="s">
        <v>304</v>
      </c>
      <c r="M209" s="892"/>
      <c r="N209" s="892"/>
      <c r="O209" s="892"/>
      <c r="P209" s="892"/>
      <c r="Q209" s="892"/>
    </row>
    <row r="210" spans="1:17" ht="13" customHeight="1" x14ac:dyDescent="0.25">
      <c r="A210" s="894"/>
      <c r="B210" s="891"/>
      <c r="C210" s="887" t="str">
        <f>B20</f>
        <v>Main-PE</v>
      </c>
      <c r="D210" s="887"/>
      <c r="E210" s="887"/>
      <c r="F210" s="887"/>
      <c r="G210" s="462" t="s">
        <v>306</v>
      </c>
      <c r="H210" s="462" t="s">
        <v>240</v>
      </c>
      <c r="J210" s="894"/>
      <c r="K210" s="891"/>
      <c r="L210" s="887" t="str">
        <f>B26</f>
        <v>Resistance</v>
      </c>
      <c r="M210" s="887"/>
      <c r="N210" s="887"/>
      <c r="O210" s="887"/>
      <c r="P210" s="462" t="s">
        <v>306</v>
      </c>
      <c r="Q210" s="462" t="s">
        <v>240</v>
      </c>
    </row>
    <row r="211" spans="1:17" ht="14.5" x14ac:dyDescent="0.25">
      <c r="A211" s="894"/>
      <c r="B211" s="891"/>
      <c r="C211" s="464" t="s">
        <v>311</v>
      </c>
      <c r="D211" s="462"/>
      <c r="E211" s="462"/>
      <c r="F211" s="463"/>
      <c r="G211" s="462"/>
      <c r="H211" s="462"/>
      <c r="J211" s="894"/>
      <c r="K211" s="891"/>
      <c r="L211" s="464" t="s">
        <v>313</v>
      </c>
      <c r="M211" s="462"/>
      <c r="N211" s="462"/>
      <c r="O211" s="463"/>
      <c r="P211" s="462"/>
      <c r="Q211" s="462"/>
    </row>
    <row r="212" spans="1:17" ht="14" x14ac:dyDescent="0.25">
      <c r="A212" s="890" t="s">
        <v>62</v>
      </c>
      <c r="B212" s="458">
        <v>1</v>
      </c>
      <c r="C212" s="458">
        <f t="shared" ref="C212:H212" si="141">B22</f>
        <v>10</v>
      </c>
      <c r="D212" s="458">
        <f t="shared" si="141"/>
        <v>0</v>
      </c>
      <c r="E212" s="458">
        <f t="shared" si="141"/>
        <v>-1E-3</v>
      </c>
      <c r="F212" s="458">
        <f t="shared" si="141"/>
        <v>9.9999999999999995E-7</v>
      </c>
      <c r="G212" s="458">
        <f t="shared" si="141"/>
        <v>5.0049999999999997E-4</v>
      </c>
      <c r="H212" s="458">
        <f t="shared" si="141"/>
        <v>0.17</v>
      </c>
      <c r="J212" s="890" t="s">
        <v>62</v>
      </c>
      <c r="K212" s="458">
        <v>1</v>
      </c>
      <c r="L212" s="461">
        <f t="shared" ref="L212:Q212" si="142">B28</f>
        <v>0</v>
      </c>
      <c r="M212" s="461">
        <f t="shared" si="142"/>
        <v>-2E-3</v>
      </c>
      <c r="N212" s="461">
        <f t="shared" si="142"/>
        <v>9.9999999999999995E-7</v>
      </c>
      <c r="O212" s="461">
        <f t="shared" si="142"/>
        <v>9.9999999999999995E-7</v>
      </c>
      <c r="P212" s="461">
        <f t="shared" si="142"/>
        <v>1.0005000000000001E-3</v>
      </c>
      <c r="Q212" s="461">
        <f t="shared" si="142"/>
        <v>2.4000000000000001E-5</v>
      </c>
    </row>
    <row r="213" spans="1:17" ht="13" x14ac:dyDescent="0.25">
      <c r="A213" s="890"/>
      <c r="B213" s="458">
        <v>2</v>
      </c>
      <c r="C213" s="458">
        <f>I22</f>
        <v>10</v>
      </c>
      <c r="D213" s="458">
        <f>K22</f>
        <v>0.1</v>
      </c>
      <c r="E213" s="458">
        <f>L22</f>
        <v>9.9999999999999995E-7</v>
      </c>
      <c r="F213" s="472">
        <v>9.9999999999999995E-7</v>
      </c>
      <c r="G213" s="458">
        <f>M22</f>
        <v>4.9999500000000002E-2</v>
      </c>
      <c r="H213" s="458">
        <f>N22</f>
        <v>0.17</v>
      </c>
      <c r="J213" s="890"/>
      <c r="K213" s="458">
        <v>2</v>
      </c>
      <c r="L213" s="458">
        <f>I28</f>
        <v>0.01</v>
      </c>
      <c r="M213" s="458">
        <f>K28</f>
        <v>9.9999999999999995E-7</v>
      </c>
      <c r="N213" s="458">
        <f>L28</f>
        <v>9.9999999999999995E-7</v>
      </c>
      <c r="O213" s="472">
        <v>9.9999999999999995E-7</v>
      </c>
      <c r="P213" s="458">
        <f>M28</f>
        <v>0</v>
      </c>
      <c r="Q213" s="458">
        <f>N28</f>
        <v>1.2E-4</v>
      </c>
    </row>
    <row r="214" spans="1:17" x14ac:dyDescent="0.25">
      <c r="A214" s="890"/>
      <c r="B214" s="458">
        <v>3</v>
      </c>
      <c r="C214" s="458">
        <f t="shared" ref="C214:H214" si="143">P22</f>
        <v>5</v>
      </c>
      <c r="D214" s="458">
        <f t="shared" si="143"/>
        <v>9.9999999999999995E-7</v>
      </c>
      <c r="E214" s="458">
        <f t="shared" si="143"/>
        <v>9.9999999999999995E-7</v>
      </c>
      <c r="F214" s="458">
        <f t="shared" si="143"/>
        <v>9.9999999999999995E-7</v>
      </c>
      <c r="G214" s="458">
        <f t="shared" si="143"/>
        <v>0</v>
      </c>
      <c r="H214" s="458">
        <f t="shared" si="143"/>
        <v>8.5000000000000006E-2</v>
      </c>
      <c r="J214" s="890"/>
      <c r="K214" s="458">
        <v>3</v>
      </c>
      <c r="L214" s="458">
        <f t="shared" ref="L214:Q214" si="144">P28</f>
        <v>0</v>
      </c>
      <c r="M214" s="458">
        <f t="shared" si="144"/>
        <v>-1E-3</v>
      </c>
      <c r="N214" s="458">
        <f t="shared" si="144"/>
        <v>9.9999999999999995E-7</v>
      </c>
      <c r="O214" s="458">
        <f t="shared" si="144"/>
        <v>9.9999999999999995E-7</v>
      </c>
      <c r="P214" s="458">
        <f t="shared" si="144"/>
        <v>5.0049999999999997E-4</v>
      </c>
      <c r="Q214" s="458">
        <f t="shared" si="144"/>
        <v>0</v>
      </c>
    </row>
    <row r="215" spans="1:17" ht="13" x14ac:dyDescent="0.25">
      <c r="A215" s="890"/>
      <c r="B215" s="458">
        <v>4</v>
      </c>
      <c r="C215" s="458">
        <f>B53</f>
        <v>10</v>
      </c>
      <c r="D215" s="458">
        <f>D53</f>
        <v>9.9999999999999995E-7</v>
      </c>
      <c r="E215" s="458">
        <f>E53</f>
        <v>0.1</v>
      </c>
      <c r="F215" s="472">
        <v>9.9999999999999995E-7</v>
      </c>
      <c r="G215" s="458">
        <f>F53</f>
        <v>4.9999500000000002E-2</v>
      </c>
      <c r="H215" s="458">
        <f>G53</f>
        <v>0.17</v>
      </c>
      <c r="J215" s="890"/>
      <c r="K215" s="458">
        <v>4</v>
      </c>
      <c r="L215" s="458">
        <f>B59</f>
        <v>0.01</v>
      </c>
      <c r="M215" s="458">
        <f>D59</f>
        <v>9.9999999999999995E-7</v>
      </c>
      <c r="N215" s="458">
        <f>E59</f>
        <v>9.9999999999999995E-7</v>
      </c>
      <c r="O215" s="472">
        <v>9.9999999999999995E-7</v>
      </c>
      <c r="P215" s="458">
        <f>F59</f>
        <v>0</v>
      </c>
      <c r="Q215" s="458">
        <f>G59</f>
        <v>1.2E-4</v>
      </c>
    </row>
    <row r="216" spans="1:17" x14ac:dyDescent="0.25">
      <c r="A216" s="890"/>
      <c r="B216" s="458">
        <v>5</v>
      </c>
      <c r="C216" s="458">
        <f t="shared" ref="C216:H216" si="145">I53</f>
        <v>10</v>
      </c>
      <c r="D216" s="458">
        <f t="shared" si="145"/>
        <v>0</v>
      </c>
      <c r="E216" s="458">
        <f t="shared" si="145"/>
        <v>9.9999999999999995E-7</v>
      </c>
      <c r="F216" s="458">
        <f t="shared" si="145"/>
        <v>0.1</v>
      </c>
      <c r="G216" s="458">
        <f t="shared" si="145"/>
        <v>0.05</v>
      </c>
      <c r="H216" s="458">
        <f t="shared" si="145"/>
        <v>0.17</v>
      </c>
      <c r="J216" s="890"/>
      <c r="K216" s="458">
        <v>5</v>
      </c>
      <c r="L216" s="458">
        <f t="shared" ref="L216:Q216" si="146">I59</f>
        <v>0.01</v>
      </c>
      <c r="M216" s="458">
        <f t="shared" si="146"/>
        <v>0</v>
      </c>
      <c r="N216" s="458">
        <f t="shared" si="146"/>
        <v>9.9999999999999995E-7</v>
      </c>
      <c r="O216" s="458">
        <f t="shared" si="146"/>
        <v>9.9999999999999995E-7</v>
      </c>
      <c r="P216" s="458">
        <f t="shared" si="146"/>
        <v>4.9999999999999998E-7</v>
      </c>
      <c r="Q216" s="458">
        <f t="shared" si="146"/>
        <v>1.2E-4</v>
      </c>
    </row>
    <row r="217" spans="1:17" ht="13" x14ac:dyDescent="0.25">
      <c r="A217" s="890"/>
      <c r="B217" s="458">
        <v>6</v>
      </c>
      <c r="C217" s="458">
        <f>P53</f>
        <v>10</v>
      </c>
      <c r="D217" s="458">
        <f>R53</f>
        <v>0.1</v>
      </c>
      <c r="E217" s="458">
        <f>S53</f>
        <v>0.1</v>
      </c>
      <c r="F217" s="472">
        <v>9.9999999999999995E-7</v>
      </c>
      <c r="G217" s="458">
        <f>T53</f>
        <v>0</v>
      </c>
      <c r="H217" s="458">
        <f>U53</f>
        <v>0.17</v>
      </c>
      <c r="J217" s="890"/>
      <c r="K217" s="458">
        <v>6</v>
      </c>
      <c r="L217" s="458">
        <f>P59</f>
        <v>0.01</v>
      </c>
      <c r="M217" s="458">
        <f>R59</f>
        <v>0</v>
      </c>
      <c r="N217" s="458">
        <f>S59</f>
        <v>9.9999999999999995E-7</v>
      </c>
      <c r="O217" s="472">
        <v>9.9999999999999995E-7</v>
      </c>
      <c r="P217" s="458">
        <f>T59</f>
        <v>4.9999999999999998E-7</v>
      </c>
      <c r="Q217" s="458">
        <f>U59</f>
        <v>1.2E-4</v>
      </c>
    </row>
    <row r="218" spans="1:17" ht="13" x14ac:dyDescent="0.25">
      <c r="A218" s="890"/>
      <c r="B218" s="458">
        <v>7</v>
      </c>
      <c r="C218" s="458">
        <f>B84</f>
        <v>10</v>
      </c>
      <c r="D218" s="458">
        <f>D84</f>
        <v>0</v>
      </c>
      <c r="E218" s="458">
        <f>E84</f>
        <v>9.9999999999999995E-7</v>
      </c>
      <c r="F218" s="472">
        <v>9.9999999999999995E-7</v>
      </c>
      <c r="G218" s="458">
        <f>F84</f>
        <v>4.9999999999999998E-7</v>
      </c>
      <c r="H218" s="458">
        <f>G84</f>
        <v>0.17</v>
      </c>
      <c r="J218" s="890"/>
      <c r="K218" s="458">
        <v>7</v>
      </c>
      <c r="L218" s="458">
        <f>B90</f>
        <v>0.01</v>
      </c>
      <c r="M218" s="458">
        <f>D90</f>
        <v>0</v>
      </c>
      <c r="N218" s="458">
        <f>E90</f>
        <v>9.9999999999999995E-7</v>
      </c>
      <c r="O218" s="472">
        <v>9.9999999999999995E-7</v>
      </c>
      <c r="P218" s="458">
        <f>F90</f>
        <v>4.9999999999999998E-7</v>
      </c>
      <c r="Q218" s="458">
        <f>G90</f>
        <v>1.2E-4</v>
      </c>
    </row>
    <row r="219" spans="1:17" x14ac:dyDescent="0.25">
      <c r="A219" s="890"/>
      <c r="B219" s="458">
        <v>8</v>
      </c>
      <c r="C219" s="458">
        <f t="shared" ref="C219:H219" si="147">I84</f>
        <v>10</v>
      </c>
      <c r="D219" s="458">
        <f t="shared" si="147"/>
        <v>9.9999999999999995E-7</v>
      </c>
      <c r="E219" s="458">
        <f t="shared" si="147"/>
        <v>9.9999999999999995E-7</v>
      </c>
      <c r="F219" s="458">
        <f t="shared" si="147"/>
        <v>0</v>
      </c>
      <c r="G219" s="458">
        <f t="shared" si="147"/>
        <v>0</v>
      </c>
      <c r="H219" s="458">
        <f t="shared" si="147"/>
        <v>0.17</v>
      </c>
      <c r="J219" s="890"/>
      <c r="K219" s="458">
        <v>8</v>
      </c>
      <c r="L219" s="458">
        <f t="shared" ref="L219:Q219" si="148">I90</f>
        <v>0.1</v>
      </c>
      <c r="M219" s="458">
        <f t="shared" si="148"/>
        <v>-1E-3</v>
      </c>
      <c r="N219" s="458">
        <f t="shared" si="148"/>
        <v>-1E-3</v>
      </c>
      <c r="O219" s="458">
        <f t="shared" si="148"/>
        <v>0</v>
      </c>
      <c r="P219" s="458">
        <f t="shared" si="148"/>
        <v>0</v>
      </c>
      <c r="Q219" s="458">
        <f t="shared" si="148"/>
        <v>1.2000000000000001E-3</v>
      </c>
    </row>
    <row r="220" spans="1:17" x14ac:dyDescent="0.25">
      <c r="A220" s="890"/>
      <c r="B220" s="458">
        <v>9</v>
      </c>
      <c r="C220" s="458">
        <f t="shared" ref="C220:H220" si="149">P84</f>
        <v>10</v>
      </c>
      <c r="D220" s="458">
        <f t="shared" si="149"/>
        <v>0</v>
      </c>
      <c r="E220" s="458">
        <f t="shared" si="149"/>
        <v>9.9999999999999995E-7</v>
      </c>
      <c r="F220" s="458">
        <f t="shared" si="149"/>
        <v>0</v>
      </c>
      <c r="G220" s="458">
        <f t="shared" si="149"/>
        <v>4.9999999999999998E-7</v>
      </c>
      <c r="H220" s="458">
        <f t="shared" si="149"/>
        <v>0</v>
      </c>
      <c r="J220" s="890"/>
      <c r="K220" s="458">
        <v>9</v>
      </c>
      <c r="L220" s="458">
        <f t="shared" ref="L220:Q220" si="150">P90</f>
        <v>1E-3</v>
      </c>
      <c r="M220" s="458">
        <f t="shared" si="150"/>
        <v>0</v>
      </c>
      <c r="N220" s="458">
        <f t="shared" si="150"/>
        <v>-1E-3</v>
      </c>
      <c r="O220" s="458">
        <f t="shared" si="150"/>
        <v>0</v>
      </c>
      <c r="P220" s="458">
        <f t="shared" si="150"/>
        <v>5.0000000000000001E-4</v>
      </c>
      <c r="Q220" s="458">
        <f t="shared" si="150"/>
        <v>1.2E-5</v>
      </c>
    </row>
    <row r="221" spans="1:17" x14ac:dyDescent="0.25">
      <c r="A221" s="890"/>
      <c r="B221" s="458">
        <v>10</v>
      </c>
      <c r="C221" s="458">
        <f t="shared" ref="C221:H221" si="151">B115</f>
        <v>10</v>
      </c>
      <c r="D221" s="458">
        <f t="shared" si="151"/>
        <v>9.9999999999999995E-7</v>
      </c>
      <c r="E221" s="458" t="str">
        <f t="shared" si="151"/>
        <v>-</v>
      </c>
      <c r="F221" s="458">
        <f t="shared" si="151"/>
        <v>0</v>
      </c>
      <c r="G221" s="458">
        <f t="shared" si="151"/>
        <v>0</v>
      </c>
      <c r="H221" s="458" t="str">
        <f t="shared" si="151"/>
        <v>-</v>
      </c>
      <c r="J221" s="890"/>
      <c r="K221" s="458">
        <v>10</v>
      </c>
      <c r="L221" s="458">
        <f t="shared" ref="L221:Q221" si="152">B121</f>
        <v>0</v>
      </c>
      <c r="M221" s="458">
        <f t="shared" si="152"/>
        <v>9.9999999999999995E-7</v>
      </c>
      <c r="N221" s="458" t="str">
        <f t="shared" si="152"/>
        <v>-</v>
      </c>
      <c r="O221" s="458">
        <f t="shared" si="152"/>
        <v>0</v>
      </c>
      <c r="P221" s="458">
        <f t="shared" si="152"/>
        <v>0</v>
      </c>
      <c r="Q221" s="458" t="str">
        <f t="shared" si="152"/>
        <v>-</v>
      </c>
    </row>
    <row r="222" spans="1:17" x14ac:dyDescent="0.25">
      <c r="A222" s="890"/>
      <c r="B222" s="458">
        <v>11</v>
      </c>
      <c r="C222" s="458">
        <f t="shared" ref="C222:H222" si="153">I115</f>
        <v>10</v>
      </c>
      <c r="D222" s="458">
        <f t="shared" si="153"/>
        <v>9.9999999999999995E-7</v>
      </c>
      <c r="E222" s="458" t="str">
        <f t="shared" si="153"/>
        <v>-</v>
      </c>
      <c r="F222" s="458">
        <f t="shared" si="153"/>
        <v>0</v>
      </c>
      <c r="G222" s="458">
        <f t="shared" si="153"/>
        <v>0</v>
      </c>
      <c r="H222" s="458" t="str">
        <f t="shared" si="153"/>
        <v>-</v>
      </c>
      <c r="J222" s="890"/>
      <c r="K222" s="458">
        <v>11</v>
      </c>
      <c r="L222" s="458">
        <f t="shared" ref="L222:Q222" si="154">I121</f>
        <v>0.01</v>
      </c>
      <c r="M222" s="458">
        <f t="shared" si="154"/>
        <v>9.9999999999999995E-7</v>
      </c>
      <c r="N222" s="458" t="str">
        <f t="shared" si="154"/>
        <v>-</v>
      </c>
      <c r="O222" s="458">
        <f t="shared" si="154"/>
        <v>0</v>
      </c>
      <c r="P222" s="458">
        <f t="shared" si="154"/>
        <v>0</v>
      </c>
      <c r="Q222" s="458" t="str">
        <f t="shared" si="154"/>
        <v>-</v>
      </c>
    </row>
    <row r="223" spans="1:17" x14ac:dyDescent="0.25">
      <c r="A223" s="890"/>
      <c r="B223" s="458">
        <v>12</v>
      </c>
      <c r="C223" s="458">
        <f t="shared" ref="C223:H223" si="155">P115</f>
        <v>10</v>
      </c>
      <c r="D223" s="458">
        <f t="shared" si="155"/>
        <v>9.9999999999999995E-7</v>
      </c>
      <c r="E223" s="458" t="str">
        <f t="shared" si="155"/>
        <v>-</v>
      </c>
      <c r="F223" s="458">
        <f t="shared" si="155"/>
        <v>0</v>
      </c>
      <c r="G223" s="458">
        <f t="shared" si="155"/>
        <v>0</v>
      </c>
      <c r="H223" s="458" t="str">
        <f t="shared" si="155"/>
        <v>-</v>
      </c>
      <c r="J223" s="890"/>
      <c r="K223" s="458">
        <v>12</v>
      </c>
      <c r="L223" s="458">
        <f t="shared" ref="L223:Q223" si="156">P121</f>
        <v>0.01</v>
      </c>
      <c r="M223" s="458">
        <f t="shared" si="156"/>
        <v>9.9999999999999995E-7</v>
      </c>
      <c r="N223" s="458" t="str">
        <f t="shared" si="156"/>
        <v>-</v>
      </c>
      <c r="O223" s="458">
        <f t="shared" si="156"/>
        <v>0</v>
      </c>
      <c r="P223" s="458">
        <f t="shared" si="156"/>
        <v>0</v>
      </c>
      <c r="Q223" s="458" t="str">
        <f t="shared" si="156"/>
        <v>-</v>
      </c>
    </row>
    <row r="224" spans="1:17" s="406" customFormat="1" x14ac:dyDescent="0.25">
      <c r="A224" s="460"/>
      <c r="B224" s="414"/>
      <c r="C224" s="414"/>
      <c r="D224" s="414"/>
      <c r="E224" s="414"/>
      <c r="F224" s="459"/>
      <c r="G224" s="414"/>
      <c r="H224" s="414"/>
      <c r="J224" s="460"/>
      <c r="K224" s="414"/>
      <c r="L224" s="414"/>
      <c r="M224" s="414"/>
      <c r="N224" s="414"/>
      <c r="O224" s="459"/>
      <c r="P224" s="414"/>
      <c r="Q224" s="414"/>
    </row>
    <row r="225" spans="1:17" x14ac:dyDescent="0.25">
      <c r="A225" s="890" t="s">
        <v>63</v>
      </c>
      <c r="B225" s="458">
        <v>1</v>
      </c>
      <c r="C225" s="458">
        <f t="shared" ref="C225:H225" si="157">B23</f>
        <v>20</v>
      </c>
      <c r="D225" s="458">
        <f t="shared" si="157"/>
        <v>0.1</v>
      </c>
      <c r="E225" s="458">
        <f t="shared" si="157"/>
        <v>9.9999999999999995E-7</v>
      </c>
      <c r="F225" s="458">
        <f t="shared" si="157"/>
        <v>9.9999999999999995E-7</v>
      </c>
      <c r="G225" s="458">
        <f t="shared" si="157"/>
        <v>4.9999500000000002E-2</v>
      </c>
      <c r="H225" s="458">
        <f t="shared" si="157"/>
        <v>0.33829999999999999</v>
      </c>
      <c r="J225" s="890" t="s">
        <v>63</v>
      </c>
      <c r="K225" s="458">
        <v>1</v>
      </c>
      <c r="L225" s="458">
        <f t="shared" ref="L225:Q225" si="158">B29</f>
        <v>0.1</v>
      </c>
      <c r="M225" s="458">
        <f t="shared" si="158"/>
        <v>1E-3</v>
      </c>
      <c r="N225" s="458">
        <f t="shared" si="158"/>
        <v>-1E-3</v>
      </c>
      <c r="O225" s="458">
        <f t="shared" si="158"/>
        <v>2E-3</v>
      </c>
      <c r="P225" s="458">
        <f t="shared" si="158"/>
        <v>1.5E-3</v>
      </c>
      <c r="Q225" s="458">
        <f t="shared" si="158"/>
        <v>1.188E-3</v>
      </c>
    </row>
    <row r="226" spans="1:17" ht="13" x14ac:dyDescent="0.25">
      <c r="A226" s="890"/>
      <c r="B226" s="458">
        <v>2</v>
      </c>
      <c r="C226" s="458">
        <f>I23</f>
        <v>20</v>
      </c>
      <c r="D226" s="458">
        <f>K23</f>
        <v>0.2</v>
      </c>
      <c r="E226" s="458">
        <f>L23</f>
        <v>0.1</v>
      </c>
      <c r="F226" s="472">
        <v>9.9999999999999995E-7</v>
      </c>
      <c r="G226" s="458">
        <f>M23</f>
        <v>0.05</v>
      </c>
      <c r="H226" s="458">
        <f>N23</f>
        <v>0.33829999999999999</v>
      </c>
      <c r="J226" s="890"/>
      <c r="K226" s="458">
        <v>2</v>
      </c>
      <c r="L226" s="458">
        <f>I29</f>
        <v>0.1</v>
      </c>
      <c r="M226" s="458">
        <f>K29</f>
        <v>6.0000000000000001E-3</v>
      </c>
      <c r="N226" s="458">
        <f>L29</f>
        <v>5.0000000000000001E-3</v>
      </c>
      <c r="O226" s="472">
        <v>9.9999999999999995E-7</v>
      </c>
      <c r="P226" s="458">
        <f>M29</f>
        <v>5.0000000000000001E-4</v>
      </c>
      <c r="Q226" s="458">
        <f>N29</f>
        <v>1.14E-3</v>
      </c>
    </row>
    <row r="227" spans="1:17" x14ac:dyDescent="0.25">
      <c r="A227" s="890"/>
      <c r="B227" s="458">
        <v>3</v>
      </c>
      <c r="C227" s="458">
        <f t="shared" ref="C227:H227" si="159">P23</f>
        <v>10</v>
      </c>
      <c r="D227" s="458">
        <f t="shared" si="159"/>
        <v>9.9999999999999995E-7</v>
      </c>
      <c r="E227" s="458">
        <f t="shared" si="159"/>
        <v>9.9999999999999995E-7</v>
      </c>
      <c r="F227" s="458">
        <f t="shared" si="159"/>
        <v>9.9999999999999995E-7</v>
      </c>
      <c r="G227" s="458">
        <f t="shared" si="159"/>
        <v>0</v>
      </c>
      <c r="H227" s="458">
        <f t="shared" si="159"/>
        <v>0.17</v>
      </c>
      <c r="J227" s="890"/>
      <c r="K227" s="458">
        <v>3</v>
      </c>
      <c r="L227" s="458">
        <f t="shared" ref="L227:Q227" si="160">P29</f>
        <v>0.5</v>
      </c>
      <c r="M227" s="458">
        <f t="shared" si="160"/>
        <v>-2E-3</v>
      </c>
      <c r="N227" s="458">
        <f t="shared" si="160"/>
        <v>-1E-3</v>
      </c>
      <c r="O227" s="458">
        <f t="shared" si="160"/>
        <v>9.9999999999999995E-7</v>
      </c>
      <c r="P227" s="458">
        <f t="shared" si="160"/>
        <v>1.0005000000000001E-3</v>
      </c>
      <c r="Q227" s="458">
        <f t="shared" si="160"/>
        <v>6.0000000000000001E-3</v>
      </c>
    </row>
    <row r="228" spans="1:17" ht="13" x14ac:dyDescent="0.25">
      <c r="A228" s="890"/>
      <c r="B228" s="458">
        <v>4</v>
      </c>
      <c r="C228" s="458">
        <f>B54</f>
        <v>20</v>
      </c>
      <c r="D228" s="458">
        <f>D54</f>
        <v>0.1</v>
      </c>
      <c r="E228" s="458">
        <f>E54</f>
        <v>0.2</v>
      </c>
      <c r="F228" s="472">
        <v>9.9999999999999995E-7</v>
      </c>
      <c r="G228" s="458">
        <f>F54</f>
        <v>0.05</v>
      </c>
      <c r="H228" s="458">
        <f>G54</f>
        <v>0.33829999999999999</v>
      </c>
      <c r="J228" s="890"/>
      <c r="K228" s="458">
        <v>4</v>
      </c>
      <c r="L228" s="458">
        <f>B60</f>
        <v>0.1</v>
      </c>
      <c r="M228" s="458">
        <f>D60</f>
        <v>-2E-3</v>
      </c>
      <c r="N228" s="458">
        <f>E60</f>
        <v>9.9999999999999995E-7</v>
      </c>
      <c r="O228" s="472">
        <v>9.9999999999999995E-7</v>
      </c>
      <c r="P228" s="458">
        <f>F60</f>
        <v>1.0005000000000001E-3</v>
      </c>
      <c r="Q228" s="458">
        <f>G60</f>
        <v>1.2000000000000001E-3</v>
      </c>
    </row>
    <row r="229" spans="1:17" x14ac:dyDescent="0.25">
      <c r="A229" s="890"/>
      <c r="B229" s="458">
        <v>5</v>
      </c>
      <c r="C229" s="458">
        <f t="shared" ref="C229:H229" si="161">I54</f>
        <v>20</v>
      </c>
      <c r="D229" s="458">
        <f t="shared" si="161"/>
        <v>0.1</v>
      </c>
      <c r="E229" s="458">
        <f t="shared" si="161"/>
        <v>0.1</v>
      </c>
      <c r="F229" s="458">
        <f t="shared" si="161"/>
        <v>0.1</v>
      </c>
      <c r="G229" s="458">
        <f t="shared" si="161"/>
        <v>0</v>
      </c>
      <c r="H229" s="458">
        <f t="shared" si="161"/>
        <v>0.33829999999999999</v>
      </c>
      <c r="J229" s="890"/>
      <c r="K229" s="458">
        <v>5</v>
      </c>
      <c r="L229" s="458">
        <f t="shared" ref="L229:Q229" si="162">I60</f>
        <v>0.1</v>
      </c>
      <c r="M229" s="458">
        <f t="shared" si="162"/>
        <v>-6.0000000000000001E-3</v>
      </c>
      <c r="N229" s="458">
        <f t="shared" si="162"/>
        <v>5.0000000000000001E-3</v>
      </c>
      <c r="O229" s="458">
        <f t="shared" si="162"/>
        <v>2E-3</v>
      </c>
      <c r="P229" s="458">
        <f t="shared" si="162"/>
        <v>5.4999999999999997E-3</v>
      </c>
      <c r="Q229" s="458">
        <f t="shared" si="162"/>
        <v>1.2720000000000001E-3</v>
      </c>
    </row>
    <row r="230" spans="1:17" ht="13" x14ac:dyDescent="0.25">
      <c r="A230" s="890"/>
      <c r="B230" s="458">
        <v>6</v>
      </c>
      <c r="C230" s="458">
        <f>P54</f>
        <v>20</v>
      </c>
      <c r="D230" s="458">
        <f>R54</f>
        <v>0.1</v>
      </c>
      <c r="E230" s="458">
        <f>S54</f>
        <v>0.1</v>
      </c>
      <c r="F230" s="472">
        <v>9.9999999999999995E-7</v>
      </c>
      <c r="G230" s="458">
        <f>T54</f>
        <v>0</v>
      </c>
      <c r="H230" s="458">
        <f>U54</f>
        <v>0.33829999999999999</v>
      </c>
      <c r="J230" s="890"/>
      <c r="K230" s="458">
        <v>6</v>
      </c>
      <c r="L230" s="458">
        <f>P60</f>
        <v>0.1</v>
      </c>
      <c r="M230" s="458">
        <f>R60</f>
        <v>-3.0000000000000001E-3</v>
      </c>
      <c r="N230" s="458">
        <f>S60</f>
        <v>-2E-3</v>
      </c>
      <c r="O230" s="472">
        <v>9.9999999999999995E-7</v>
      </c>
      <c r="P230" s="458">
        <f>T60</f>
        <v>5.0000000000000001E-4</v>
      </c>
      <c r="Q230" s="458">
        <f>U60</f>
        <v>1.2000000000000001E-3</v>
      </c>
    </row>
    <row r="231" spans="1:17" ht="13" x14ac:dyDescent="0.25">
      <c r="A231" s="890"/>
      <c r="B231" s="458">
        <v>7</v>
      </c>
      <c r="C231" s="458">
        <f>B85</f>
        <v>20</v>
      </c>
      <c r="D231" s="458">
        <f>D85</f>
        <v>0.1</v>
      </c>
      <c r="E231" s="458">
        <f>E85</f>
        <v>9.9999999999999995E-7</v>
      </c>
      <c r="F231" s="472">
        <v>9.9999999999999995E-7</v>
      </c>
      <c r="G231" s="458">
        <f>F85</f>
        <v>4.9999500000000002E-2</v>
      </c>
      <c r="H231" s="458">
        <f>G85</f>
        <v>0.33829999999999999</v>
      </c>
      <c r="J231" s="890"/>
      <c r="K231" s="458">
        <v>7</v>
      </c>
      <c r="L231" s="458">
        <f>B91</f>
        <v>0.5</v>
      </c>
      <c r="M231" s="458">
        <f>D91</f>
        <v>3.0000000000000001E-3</v>
      </c>
      <c r="N231" s="458">
        <f>E91</f>
        <v>9.9999999999999995E-7</v>
      </c>
      <c r="O231" s="472">
        <v>9.9999999999999995E-7</v>
      </c>
      <c r="P231" s="458">
        <f>F91</f>
        <v>1.4995E-3</v>
      </c>
      <c r="Q231" s="458">
        <f>G91</f>
        <v>5.9040000000000004E-3</v>
      </c>
    </row>
    <row r="232" spans="1:17" x14ac:dyDescent="0.25">
      <c r="A232" s="890"/>
      <c r="B232" s="458">
        <v>8</v>
      </c>
      <c r="C232" s="458">
        <f t="shared" ref="C232:H232" si="163">I85</f>
        <v>20</v>
      </c>
      <c r="D232" s="458">
        <f t="shared" si="163"/>
        <v>9.9999999999999995E-7</v>
      </c>
      <c r="E232" s="458">
        <f t="shared" si="163"/>
        <v>9.9999999999999995E-7</v>
      </c>
      <c r="F232" s="458">
        <f t="shared" si="163"/>
        <v>0</v>
      </c>
      <c r="G232" s="458">
        <f t="shared" si="163"/>
        <v>0</v>
      </c>
      <c r="H232" s="458">
        <f t="shared" si="163"/>
        <v>0.34</v>
      </c>
      <c r="J232" s="890"/>
      <c r="K232" s="458">
        <v>8</v>
      </c>
      <c r="L232" s="458">
        <f t="shared" ref="L232:Q232" si="164">I91</f>
        <v>0.5</v>
      </c>
      <c r="M232" s="458">
        <f t="shared" si="164"/>
        <v>4.0000000000000001E-3</v>
      </c>
      <c r="N232" s="458">
        <f t="shared" si="164"/>
        <v>-3.0000000000000001E-3</v>
      </c>
      <c r="O232" s="458">
        <f t="shared" si="164"/>
        <v>0</v>
      </c>
      <c r="P232" s="458">
        <f t="shared" si="164"/>
        <v>3.5000000000000001E-3</v>
      </c>
      <c r="Q232" s="458">
        <f t="shared" si="164"/>
        <v>6.0000000000000001E-3</v>
      </c>
    </row>
    <row r="233" spans="1:17" x14ac:dyDescent="0.25">
      <c r="A233" s="890"/>
      <c r="B233" s="458">
        <v>9</v>
      </c>
      <c r="C233" s="458">
        <f t="shared" ref="C233:H233" si="165">P85</f>
        <v>20</v>
      </c>
      <c r="D233" s="458">
        <f t="shared" si="165"/>
        <v>0</v>
      </c>
      <c r="E233" s="458">
        <f t="shared" si="165"/>
        <v>9.9999999999999995E-7</v>
      </c>
      <c r="F233" s="458">
        <f t="shared" si="165"/>
        <v>0</v>
      </c>
      <c r="G233" s="458">
        <f t="shared" si="165"/>
        <v>4.9999999999999998E-7</v>
      </c>
      <c r="H233" s="458">
        <f t="shared" si="165"/>
        <v>0</v>
      </c>
      <c r="J233" s="890"/>
      <c r="K233" s="458">
        <v>9</v>
      </c>
      <c r="L233" s="458">
        <f t="shared" ref="L233:Q233" si="166">P91</f>
        <v>0.10199999999999999</v>
      </c>
      <c r="M233" s="458">
        <f t="shared" si="166"/>
        <v>1E-3</v>
      </c>
      <c r="N233" s="458">
        <f t="shared" si="166"/>
        <v>-2E-3</v>
      </c>
      <c r="O233" s="458">
        <f t="shared" si="166"/>
        <v>0</v>
      </c>
      <c r="P233" s="458">
        <f t="shared" si="166"/>
        <v>1.5E-3</v>
      </c>
      <c r="Q233" s="458">
        <f t="shared" si="166"/>
        <v>1.224E-3</v>
      </c>
    </row>
    <row r="234" spans="1:17" x14ac:dyDescent="0.25">
      <c r="A234" s="890"/>
      <c r="B234" s="458">
        <v>10</v>
      </c>
      <c r="C234" s="458">
        <f t="shared" ref="C234:H234" si="167">B116</f>
        <v>20</v>
      </c>
      <c r="D234" s="458">
        <f t="shared" si="167"/>
        <v>0.1</v>
      </c>
      <c r="E234" s="458" t="str">
        <f t="shared" si="167"/>
        <v>-</v>
      </c>
      <c r="F234" s="458">
        <f t="shared" si="167"/>
        <v>0</v>
      </c>
      <c r="G234" s="458">
        <f t="shared" si="167"/>
        <v>0</v>
      </c>
      <c r="H234" s="458" t="str">
        <f t="shared" si="167"/>
        <v>-</v>
      </c>
      <c r="J234" s="890"/>
      <c r="K234" s="458">
        <v>10</v>
      </c>
      <c r="L234" s="458">
        <f t="shared" ref="L234:Q234" si="168">B122</f>
        <v>0.1</v>
      </c>
      <c r="M234" s="458">
        <f t="shared" si="168"/>
        <v>-2E-3</v>
      </c>
      <c r="N234" s="458" t="str">
        <f t="shared" si="168"/>
        <v>-</v>
      </c>
      <c r="O234" s="458">
        <f t="shared" si="168"/>
        <v>0</v>
      </c>
      <c r="P234" s="458">
        <f t="shared" si="168"/>
        <v>0</v>
      </c>
      <c r="Q234" s="458" t="str">
        <f t="shared" si="168"/>
        <v>-</v>
      </c>
    </row>
    <row r="235" spans="1:17" x14ac:dyDescent="0.25">
      <c r="A235" s="890"/>
      <c r="B235" s="458">
        <v>11</v>
      </c>
      <c r="C235" s="458">
        <f t="shared" ref="C235:H235" si="169">I116</f>
        <v>20</v>
      </c>
      <c r="D235" s="458">
        <f t="shared" si="169"/>
        <v>9.9999999999999995E-7</v>
      </c>
      <c r="E235" s="458" t="str">
        <f t="shared" si="169"/>
        <v>-</v>
      </c>
      <c r="F235" s="458">
        <f t="shared" si="169"/>
        <v>0</v>
      </c>
      <c r="G235" s="458">
        <f t="shared" si="169"/>
        <v>0</v>
      </c>
      <c r="H235" s="458" t="str">
        <f t="shared" si="169"/>
        <v>-</v>
      </c>
      <c r="J235" s="890"/>
      <c r="K235" s="458">
        <v>11</v>
      </c>
      <c r="L235" s="458">
        <f t="shared" ref="L235:Q235" si="170">I122</f>
        <v>0.1</v>
      </c>
      <c r="M235" s="458">
        <f t="shared" si="170"/>
        <v>9.9999999999999995E-7</v>
      </c>
      <c r="N235" s="458" t="str">
        <f t="shared" si="170"/>
        <v>-</v>
      </c>
      <c r="O235" s="458">
        <f t="shared" si="170"/>
        <v>0</v>
      </c>
      <c r="P235" s="458">
        <f t="shared" si="170"/>
        <v>0</v>
      </c>
      <c r="Q235" s="458" t="str">
        <f t="shared" si="170"/>
        <v>-</v>
      </c>
    </row>
    <row r="236" spans="1:17" x14ac:dyDescent="0.25">
      <c r="A236" s="890"/>
      <c r="B236" s="458">
        <v>12</v>
      </c>
      <c r="C236" s="458">
        <f t="shared" ref="C236:H236" si="171">P116</f>
        <v>20</v>
      </c>
      <c r="D236" s="458">
        <f t="shared" si="171"/>
        <v>9.9999999999999995E-7</v>
      </c>
      <c r="E236" s="458" t="str">
        <f t="shared" si="171"/>
        <v>-</v>
      </c>
      <c r="F236" s="458">
        <f t="shared" si="171"/>
        <v>0</v>
      </c>
      <c r="G236" s="458">
        <f t="shared" si="171"/>
        <v>0</v>
      </c>
      <c r="H236" s="458" t="str">
        <f t="shared" si="171"/>
        <v>-</v>
      </c>
      <c r="J236" s="890"/>
      <c r="K236" s="458">
        <v>12</v>
      </c>
      <c r="L236" s="458">
        <f t="shared" ref="L236:Q236" si="172">P122</f>
        <v>0.1</v>
      </c>
      <c r="M236" s="458">
        <f t="shared" si="172"/>
        <v>9.9999999999999995E-7</v>
      </c>
      <c r="N236" s="458" t="str">
        <f t="shared" si="172"/>
        <v>-</v>
      </c>
      <c r="O236" s="458">
        <f t="shared" si="172"/>
        <v>0</v>
      </c>
      <c r="P236" s="458">
        <f t="shared" si="172"/>
        <v>0</v>
      </c>
      <c r="Q236" s="458" t="str">
        <f t="shared" si="172"/>
        <v>-</v>
      </c>
    </row>
    <row r="237" spans="1:17" s="406" customFormat="1" x14ac:dyDescent="0.25">
      <c r="A237" s="460"/>
      <c r="B237" s="414"/>
      <c r="C237" s="414"/>
      <c r="D237" s="414"/>
      <c r="E237" s="414"/>
      <c r="F237" s="459"/>
      <c r="G237" s="414"/>
      <c r="H237" s="414"/>
      <c r="J237" s="460"/>
      <c r="K237" s="414"/>
      <c r="L237" s="414"/>
      <c r="M237" s="414"/>
      <c r="N237" s="414"/>
      <c r="O237" s="459"/>
      <c r="P237" s="414"/>
      <c r="Q237" s="414"/>
    </row>
    <row r="238" spans="1:17" x14ac:dyDescent="0.25">
      <c r="A238" s="890" t="s">
        <v>64</v>
      </c>
      <c r="B238" s="458">
        <v>1</v>
      </c>
      <c r="C238" s="458">
        <f t="shared" ref="C238:H238" si="173">B24</f>
        <v>50</v>
      </c>
      <c r="D238" s="458">
        <f t="shared" si="173"/>
        <v>0.3</v>
      </c>
      <c r="E238" s="458">
        <f t="shared" si="173"/>
        <v>9.9999999999999995E-7</v>
      </c>
      <c r="F238" s="458">
        <f t="shared" si="173"/>
        <v>9.9999999999999995E-7</v>
      </c>
      <c r="G238" s="458">
        <f t="shared" si="173"/>
        <v>0.14999950000000001</v>
      </c>
      <c r="H238" s="458">
        <f t="shared" si="173"/>
        <v>0.8449000000000001</v>
      </c>
      <c r="J238" s="890" t="s">
        <v>64</v>
      </c>
      <c r="K238" s="458">
        <v>1</v>
      </c>
      <c r="L238" s="458">
        <f t="shared" ref="L238:Q238" si="174">B30</f>
        <v>1</v>
      </c>
      <c r="M238" s="458">
        <f t="shared" si="174"/>
        <v>4.0000000000000001E-3</v>
      </c>
      <c r="N238" s="458">
        <f t="shared" si="174"/>
        <v>4.0000000000000001E-3</v>
      </c>
      <c r="O238" s="458">
        <f t="shared" si="174"/>
        <v>1.2E-2</v>
      </c>
      <c r="P238" s="458">
        <f t="shared" si="174"/>
        <v>4.0000000000000001E-3</v>
      </c>
      <c r="Q238" s="458">
        <f t="shared" si="174"/>
        <v>1.1952000000000001E-2</v>
      </c>
    </row>
    <row r="239" spans="1:17" ht="13" x14ac:dyDescent="0.25">
      <c r="A239" s="890"/>
      <c r="B239" s="458">
        <v>2</v>
      </c>
      <c r="C239" s="458">
        <f>I24</f>
        <v>50</v>
      </c>
      <c r="D239" s="458">
        <f>K24</f>
        <v>0.3</v>
      </c>
      <c r="E239" s="458">
        <f>L24</f>
        <v>0.1</v>
      </c>
      <c r="F239" s="472">
        <v>9.9999999999999995E-7</v>
      </c>
      <c r="G239" s="458">
        <f>M24</f>
        <v>9.9999999999999992E-2</v>
      </c>
      <c r="H239" s="458">
        <f>N24</f>
        <v>0.84660000000000002</v>
      </c>
      <c r="J239" s="890"/>
      <c r="K239" s="458">
        <v>2</v>
      </c>
      <c r="L239" s="458">
        <f>I30</f>
        <v>1</v>
      </c>
      <c r="M239" s="458">
        <f>K30</f>
        <v>4.4999999999999998E-2</v>
      </c>
      <c r="N239" s="458">
        <f>L30</f>
        <v>5.5E-2</v>
      </c>
      <c r="O239" s="472">
        <v>9.9999999999999995E-7</v>
      </c>
      <c r="P239" s="458">
        <f>M30</f>
        <v>5.000000000000001E-3</v>
      </c>
      <c r="Q239" s="458">
        <f>N30</f>
        <v>1.1304E-2</v>
      </c>
    </row>
    <row r="240" spans="1:17" x14ac:dyDescent="0.25">
      <c r="A240" s="890"/>
      <c r="B240" s="458">
        <v>3</v>
      </c>
      <c r="C240" s="458">
        <f t="shared" ref="C240:H240" si="175">P24</f>
        <v>20</v>
      </c>
      <c r="D240" s="458">
        <f t="shared" si="175"/>
        <v>9.9999999999999995E-7</v>
      </c>
      <c r="E240" s="458">
        <f t="shared" si="175"/>
        <v>0.4</v>
      </c>
      <c r="F240" s="458">
        <f t="shared" si="175"/>
        <v>0.3</v>
      </c>
      <c r="G240" s="458">
        <f t="shared" si="175"/>
        <v>0.19999950000000002</v>
      </c>
      <c r="H240" s="458">
        <f t="shared" si="175"/>
        <v>0.34</v>
      </c>
      <c r="J240" s="890"/>
      <c r="K240" s="458">
        <v>3</v>
      </c>
      <c r="L240" s="458">
        <f t="shared" ref="L240:Q240" si="176">P30</f>
        <v>1</v>
      </c>
      <c r="M240" s="458">
        <f t="shared" si="176"/>
        <v>-1.2E-2</v>
      </c>
      <c r="N240" s="458">
        <f t="shared" si="176"/>
        <v>5.0000000000000001E-3</v>
      </c>
      <c r="O240" s="458">
        <f t="shared" si="176"/>
        <v>9.9999999999999995E-7</v>
      </c>
      <c r="P240" s="458">
        <f t="shared" si="176"/>
        <v>8.5000000000000006E-3</v>
      </c>
      <c r="Q240" s="458">
        <f t="shared" si="176"/>
        <v>1.2E-2</v>
      </c>
    </row>
    <row r="241" spans="1:17" ht="13" x14ac:dyDescent="0.25">
      <c r="A241" s="890"/>
      <c r="B241" s="458">
        <v>4</v>
      </c>
      <c r="C241" s="458">
        <f>B55</f>
        <v>50</v>
      </c>
      <c r="D241" s="458">
        <f>D55</f>
        <v>0.4</v>
      </c>
      <c r="E241" s="458">
        <f>E55</f>
        <v>0.5</v>
      </c>
      <c r="F241" s="472">
        <v>9.9999999999999995E-7</v>
      </c>
      <c r="G241" s="458">
        <f>F55</f>
        <v>4.9999999999999989E-2</v>
      </c>
      <c r="H241" s="458">
        <f>G55</f>
        <v>0.84320000000000006</v>
      </c>
      <c r="J241" s="890"/>
      <c r="K241" s="458">
        <v>4</v>
      </c>
      <c r="L241" s="458">
        <f>B61</f>
        <v>1</v>
      </c>
      <c r="M241" s="458">
        <f>D61</f>
        <v>-8.0000000000000002E-3</v>
      </c>
      <c r="N241" s="458">
        <f>E61</f>
        <v>-1E-3</v>
      </c>
      <c r="O241" s="472">
        <v>9.9999999999999995E-7</v>
      </c>
      <c r="P241" s="458">
        <f>F61</f>
        <v>3.5000000000000001E-3</v>
      </c>
      <c r="Q241" s="458">
        <f>G61</f>
        <v>1.2024E-2</v>
      </c>
    </row>
    <row r="242" spans="1:17" x14ac:dyDescent="0.25">
      <c r="A242" s="890"/>
      <c r="B242" s="458">
        <v>5</v>
      </c>
      <c r="C242" s="458">
        <f t="shared" ref="C242:H242" si="177">I55</f>
        <v>50</v>
      </c>
      <c r="D242" s="458">
        <f t="shared" si="177"/>
        <v>0.3</v>
      </c>
      <c r="E242" s="458">
        <f t="shared" si="177"/>
        <v>0.6</v>
      </c>
      <c r="F242" s="458">
        <f t="shared" si="177"/>
        <v>0.4</v>
      </c>
      <c r="G242" s="458">
        <f t="shared" si="177"/>
        <v>0.15</v>
      </c>
      <c r="H242" s="458">
        <f t="shared" si="177"/>
        <v>0.8449000000000001</v>
      </c>
      <c r="J242" s="890"/>
      <c r="K242" s="458">
        <v>5</v>
      </c>
      <c r="L242" s="458">
        <f t="shared" ref="L242:Q242" si="178">I61</f>
        <v>1</v>
      </c>
      <c r="M242" s="458">
        <f t="shared" si="178"/>
        <v>-2E-3</v>
      </c>
      <c r="N242" s="458">
        <f t="shared" si="178"/>
        <v>1.7999999999999999E-2</v>
      </c>
      <c r="O242" s="458">
        <f t="shared" si="178"/>
        <v>1.2E-2</v>
      </c>
      <c r="P242" s="458">
        <f t="shared" si="178"/>
        <v>9.9999999999999985E-3</v>
      </c>
      <c r="Q242" s="458">
        <f t="shared" si="178"/>
        <v>1.2024E-2</v>
      </c>
    </row>
    <row r="243" spans="1:17" ht="13" x14ac:dyDescent="0.25">
      <c r="A243" s="890"/>
      <c r="B243" s="458">
        <v>6</v>
      </c>
      <c r="C243" s="458">
        <f>P55</f>
        <v>50</v>
      </c>
      <c r="D243" s="458">
        <f>R55</f>
        <v>0.3</v>
      </c>
      <c r="E243" s="458">
        <f>S55</f>
        <v>0.3</v>
      </c>
      <c r="F243" s="472">
        <v>9.9999999999999995E-7</v>
      </c>
      <c r="G243" s="458">
        <f>T55</f>
        <v>0</v>
      </c>
      <c r="H243" s="458">
        <f>U55</f>
        <v>0.84830000000000005</v>
      </c>
      <c r="J243" s="890"/>
      <c r="K243" s="458">
        <v>6</v>
      </c>
      <c r="L243" s="458">
        <f>P61</f>
        <v>1</v>
      </c>
      <c r="M243" s="458">
        <f>R61</f>
        <v>-7.0000000000000001E-3</v>
      </c>
      <c r="N243" s="458">
        <f>S61</f>
        <v>-1E-3</v>
      </c>
      <c r="O243" s="472">
        <v>9.9999999999999995E-7</v>
      </c>
      <c r="P243" s="458">
        <f>T61</f>
        <v>3.0000000000000001E-3</v>
      </c>
      <c r="Q243" s="458">
        <f>U61</f>
        <v>1.2072000000000001E-2</v>
      </c>
    </row>
    <row r="244" spans="1:17" ht="13" x14ac:dyDescent="0.25">
      <c r="A244" s="890"/>
      <c r="B244" s="458">
        <v>7</v>
      </c>
      <c r="C244" s="458">
        <f>B86</f>
        <v>50</v>
      </c>
      <c r="D244" s="458">
        <f>D86</f>
        <v>0.5</v>
      </c>
      <c r="E244" s="458">
        <f>E86</f>
        <v>9.9999999999999995E-7</v>
      </c>
      <c r="F244" s="472">
        <v>9.9999999999999995E-7</v>
      </c>
      <c r="G244" s="458">
        <f>F86</f>
        <v>0.24999950000000001</v>
      </c>
      <c r="H244" s="458">
        <f>G86</f>
        <v>0.8449000000000001</v>
      </c>
      <c r="J244" s="890"/>
      <c r="K244" s="458">
        <v>7</v>
      </c>
      <c r="L244" s="458">
        <f>B92</f>
        <v>1</v>
      </c>
      <c r="M244" s="458">
        <f>D92</f>
        <v>2E-3</v>
      </c>
      <c r="N244" s="458">
        <f>E92</f>
        <v>-2E-3</v>
      </c>
      <c r="O244" s="472">
        <v>9.9999999999999995E-7</v>
      </c>
      <c r="P244" s="458">
        <f>F92</f>
        <v>2E-3</v>
      </c>
      <c r="Q244" s="458">
        <f>G92</f>
        <v>1.2072000000000001E-2</v>
      </c>
    </row>
    <row r="245" spans="1:17" x14ac:dyDescent="0.25">
      <c r="A245" s="890"/>
      <c r="B245" s="458">
        <v>8</v>
      </c>
      <c r="C245" s="458">
        <f t="shared" ref="C245:H245" si="179">I86</f>
        <v>50</v>
      </c>
      <c r="D245" s="458">
        <f t="shared" si="179"/>
        <v>0.2</v>
      </c>
      <c r="E245" s="458">
        <f t="shared" si="179"/>
        <v>9.9999999999999995E-7</v>
      </c>
      <c r="F245" s="458">
        <f t="shared" si="179"/>
        <v>0</v>
      </c>
      <c r="G245" s="458">
        <f t="shared" si="179"/>
        <v>9.9999500000000005E-2</v>
      </c>
      <c r="H245" s="458">
        <f t="shared" si="179"/>
        <v>0.85000000000000009</v>
      </c>
      <c r="J245" s="890"/>
      <c r="K245" s="458">
        <v>8</v>
      </c>
      <c r="L245" s="458">
        <f t="shared" ref="L245:Q245" si="180">I92</f>
        <v>1</v>
      </c>
      <c r="M245" s="458">
        <f t="shared" si="180"/>
        <v>5.0000000000000001E-3</v>
      </c>
      <c r="N245" s="458">
        <f t="shared" si="180"/>
        <v>1E-3</v>
      </c>
      <c r="O245" s="458">
        <f t="shared" si="180"/>
        <v>0</v>
      </c>
      <c r="P245" s="458">
        <f t="shared" si="180"/>
        <v>2E-3</v>
      </c>
      <c r="Q245" s="458">
        <f t="shared" si="180"/>
        <v>1.2E-2</v>
      </c>
    </row>
    <row r="246" spans="1:17" x14ac:dyDescent="0.25">
      <c r="A246" s="890"/>
      <c r="B246" s="458">
        <v>9</v>
      </c>
      <c r="C246" s="458">
        <f t="shared" ref="C246:H246" si="181">P86</f>
        <v>50</v>
      </c>
      <c r="D246" s="458">
        <f t="shared" si="181"/>
        <v>0.2</v>
      </c>
      <c r="E246" s="458">
        <f t="shared" si="181"/>
        <v>9.9999999999999995E-7</v>
      </c>
      <c r="F246" s="458">
        <f t="shared" si="181"/>
        <v>0</v>
      </c>
      <c r="G246" s="458">
        <f t="shared" si="181"/>
        <v>9.9999500000000005E-2</v>
      </c>
      <c r="H246" s="458">
        <f t="shared" si="181"/>
        <v>0</v>
      </c>
      <c r="J246" s="890"/>
      <c r="K246" s="458">
        <v>9</v>
      </c>
      <c r="L246" s="458">
        <f t="shared" ref="L246:Q246" si="182">P92</f>
        <v>0.5</v>
      </c>
      <c r="M246" s="458">
        <f t="shared" si="182"/>
        <v>4.0000000000000001E-3</v>
      </c>
      <c r="N246" s="458">
        <f t="shared" si="182"/>
        <v>9.9999999999999995E-7</v>
      </c>
      <c r="O246" s="458">
        <f t="shared" si="182"/>
        <v>0</v>
      </c>
      <c r="P246" s="458">
        <f t="shared" si="182"/>
        <v>1.9995E-3</v>
      </c>
      <c r="Q246" s="458">
        <f t="shared" si="182"/>
        <v>6.0000000000000001E-3</v>
      </c>
    </row>
    <row r="247" spans="1:17" x14ac:dyDescent="0.25">
      <c r="A247" s="890"/>
      <c r="B247" s="458">
        <v>10</v>
      </c>
      <c r="C247" s="458">
        <f t="shared" ref="C247:H247" si="183">B117</f>
        <v>50</v>
      </c>
      <c r="D247" s="458">
        <f t="shared" si="183"/>
        <v>0.4</v>
      </c>
      <c r="E247" s="458" t="str">
        <f t="shared" si="183"/>
        <v>-</v>
      </c>
      <c r="F247" s="458">
        <f t="shared" si="183"/>
        <v>0</v>
      </c>
      <c r="G247" s="458">
        <f t="shared" si="183"/>
        <v>0</v>
      </c>
      <c r="H247" s="458" t="str">
        <f t="shared" si="183"/>
        <v>-</v>
      </c>
      <c r="J247" s="890"/>
      <c r="K247" s="458">
        <v>10</v>
      </c>
      <c r="L247" s="458">
        <f t="shared" ref="L247:Q247" si="184">B123</f>
        <v>1</v>
      </c>
      <c r="M247" s="458">
        <f t="shared" si="184"/>
        <v>-8.0000000000000002E-3</v>
      </c>
      <c r="N247" s="458" t="str">
        <f t="shared" si="184"/>
        <v>-</v>
      </c>
      <c r="O247" s="458">
        <f t="shared" si="184"/>
        <v>0</v>
      </c>
      <c r="P247" s="458">
        <f t="shared" si="184"/>
        <v>0</v>
      </c>
      <c r="Q247" s="458" t="str">
        <f t="shared" si="184"/>
        <v>-</v>
      </c>
    </row>
    <row r="248" spans="1:17" x14ac:dyDescent="0.25">
      <c r="A248" s="890"/>
      <c r="B248" s="458">
        <v>11</v>
      </c>
      <c r="C248" s="458">
        <f t="shared" ref="C248:H248" si="185">I117</f>
        <v>50</v>
      </c>
      <c r="D248" s="458">
        <f t="shared" si="185"/>
        <v>9.9999999999999995E-7</v>
      </c>
      <c r="E248" s="458" t="str">
        <f t="shared" si="185"/>
        <v>-</v>
      </c>
      <c r="F248" s="458">
        <f t="shared" si="185"/>
        <v>0</v>
      </c>
      <c r="G248" s="458">
        <f t="shared" si="185"/>
        <v>0</v>
      </c>
      <c r="H248" s="458" t="str">
        <f t="shared" si="185"/>
        <v>-</v>
      </c>
      <c r="J248" s="890"/>
      <c r="K248" s="458">
        <v>11</v>
      </c>
      <c r="L248" s="458">
        <f t="shared" ref="L248:Q248" si="186">I123</f>
        <v>1</v>
      </c>
      <c r="M248" s="458">
        <f t="shared" si="186"/>
        <v>9.9999999999999995E-7</v>
      </c>
      <c r="N248" s="458" t="str">
        <f t="shared" si="186"/>
        <v>-</v>
      </c>
      <c r="O248" s="458">
        <f t="shared" si="186"/>
        <v>0</v>
      </c>
      <c r="P248" s="458">
        <f t="shared" si="186"/>
        <v>0</v>
      </c>
      <c r="Q248" s="458" t="str">
        <f t="shared" si="186"/>
        <v>-</v>
      </c>
    </row>
    <row r="249" spans="1:17" x14ac:dyDescent="0.25">
      <c r="A249" s="890"/>
      <c r="B249" s="458">
        <v>12</v>
      </c>
      <c r="C249" s="458">
        <f t="shared" ref="C249:H249" si="187">P117</f>
        <v>50</v>
      </c>
      <c r="D249" s="458">
        <f t="shared" si="187"/>
        <v>9.9999999999999995E-7</v>
      </c>
      <c r="E249" s="458" t="str">
        <f t="shared" si="187"/>
        <v>-</v>
      </c>
      <c r="F249" s="458">
        <f t="shared" si="187"/>
        <v>0</v>
      </c>
      <c r="G249" s="458">
        <f t="shared" si="187"/>
        <v>0</v>
      </c>
      <c r="H249" s="458" t="str">
        <f t="shared" si="187"/>
        <v>-</v>
      </c>
      <c r="J249" s="890"/>
      <c r="K249" s="458">
        <v>12</v>
      </c>
      <c r="L249" s="458">
        <f t="shared" ref="L249:Q249" si="188">P123</f>
        <v>1</v>
      </c>
      <c r="M249" s="458">
        <f t="shared" si="188"/>
        <v>9.9999999999999995E-7</v>
      </c>
      <c r="N249" s="458" t="str">
        <f t="shared" si="188"/>
        <v>-</v>
      </c>
      <c r="O249" s="458">
        <f t="shared" si="188"/>
        <v>0</v>
      </c>
      <c r="P249" s="458">
        <f t="shared" si="188"/>
        <v>0</v>
      </c>
      <c r="Q249" s="458" t="str">
        <f t="shared" si="188"/>
        <v>-</v>
      </c>
    </row>
    <row r="250" spans="1:17" s="406" customFormat="1" x14ac:dyDescent="0.25">
      <c r="A250" s="460"/>
      <c r="B250" s="414"/>
      <c r="C250" s="414"/>
      <c r="D250" s="414"/>
      <c r="E250" s="414"/>
      <c r="F250" s="459"/>
      <c r="G250" s="414"/>
      <c r="H250" s="414"/>
      <c r="J250" s="460"/>
      <c r="K250" s="414"/>
      <c r="L250" s="414"/>
      <c r="M250" s="414"/>
      <c r="N250" s="414"/>
      <c r="O250" s="459"/>
      <c r="P250" s="414"/>
      <c r="Q250" s="414"/>
    </row>
    <row r="251" spans="1:17" x14ac:dyDescent="0.25">
      <c r="A251" s="890" t="s">
        <v>65</v>
      </c>
      <c r="B251" s="458">
        <v>1</v>
      </c>
      <c r="C251" s="458">
        <f t="shared" ref="C251:H251" si="189">B25</f>
        <v>100</v>
      </c>
      <c r="D251" s="458">
        <f t="shared" si="189"/>
        <v>0.4</v>
      </c>
      <c r="E251" s="458">
        <f t="shared" si="189"/>
        <v>9.9999999999999995E-7</v>
      </c>
      <c r="F251" s="458">
        <f t="shared" si="189"/>
        <v>9.9999999999999995E-7</v>
      </c>
      <c r="G251" s="458">
        <f t="shared" si="189"/>
        <v>0.19999950000000002</v>
      </c>
      <c r="H251" s="458">
        <f t="shared" si="189"/>
        <v>1.6932</v>
      </c>
      <c r="J251" s="890" t="s">
        <v>65</v>
      </c>
      <c r="K251" s="458">
        <v>1</v>
      </c>
      <c r="L251" s="458">
        <f t="shared" ref="L251:Q251" si="190">B31</f>
        <v>2</v>
      </c>
      <c r="M251" s="458">
        <f t="shared" si="190"/>
        <v>1.2E-2</v>
      </c>
      <c r="N251" s="458">
        <f t="shared" si="190"/>
        <v>7.0000000000000001E-3</v>
      </c>
      <c r="O251" s="458">
        <f t="shared" si="190"/>
        <v>9.9999999999999995E-7</v>
      </c>
      <c r="P251" s="458">
        <f t="shared" si="190"/>
        <v>5.9995000000000005E-3</v>
      </c>
      <c r="Q251" s="458">
        <f t="shared" si="190"/>
        <v>2.3855999999999999E-2</v>
      </c>
    </row>
    <row r="252" spans="1:17" ht="13" x14ac:dyDescent="0.25">
      <c r="A252" s="890"/>
      <c r="B252" s="458">
        <v>2</v>
      </c>
      <c r="C252" s="458">
        <f>I25</f>
        <v>100</v>
      </c>
      <c r="D252" s="458">
        <f>K25</f>
        <v>0.3</v>
      </c>
      <c r="E252" s="458">
        <f>L25</f>
        <v>9.9999999999999995E-7</v>
      </c>
      <c r="F252" s="472">
        <v>9.9999999999999995E-7</v>
      </c>
      <c r="G252" s="458">
        <f>M25</f>
        <v>0.14999950000000001</v>
      </c>
      <c r="H252" s="458">
        <f>N25</f>
        <v>1.6966000000000001</v>
      </c>
      <c r="J252" s="890"/>
      <c r="K252" s="458">
        <v>2</v>
      </c>
      <c r="L252" s="458">
        <f>I31</f>
        <v>2</v>
      </c>
      <c r="M252" s="458">
        <f>K31</f>
        <v>9.9999999999999995E-7</v>
      </c>
      <c r="N252" s="458">
        <f>L31</f>
        <v>9.9999999999999995E-7</v>
      </c>
      <c r="O252" s="472">
        <v>9.9999999999999995E-7</v>
      </c>
      <c r="P252" s="458">
        <f>M31</f>
        <v>0</v>
      </c>
      <c r="Q252" s="458">
        <f>N31</f>
        <v>2.2644000000000001E-2</v>
      </c>
    </row>
    <row r="253" spans="1:17" x14ac:dyDescent="0.25">
      <c r="A253" s="890"/>
      <c r="B253" s="458">
        <v>3</v>
      </c>
      <c r="C253" s="458">
        <f t="shared" ref="C253:H253" si="191">P25</f>
        <v>50</v>
      </c>
      <c r="D253" s="458">
        <f t="shared" si="191"/>
        <v>0.1</v>
      </c>
      <c r="E253" s="458">
        <f t="shared" si="191"/>
        <v>1.1000000000000001</v>
      </c>
      <c r="F253" s="458">
        <f t="shared" si="191"/>
        <v>0.6</v>
      </c>
      <c r="G253" s="458">
        <f t="shared" si="191"/>
        <v>0.5</v>
      </c>
      <c r="H253" s="458">
        <f t="shared" si="191"/>
        <v>0.85000000000000009</v>
      </c>
      <c r="J253" s="890"/>
      <c r="K253" s="458">
        <v>3</v>
      </c>
      <c r="L253" s="458">
        <f t="shared" ref="L253:Q253" si="192">P31</f>
        <v>2</v>
      </c>
      <c r="M253" s="458">
        <f t="shared" si="192"/>
        <v>-8.0000000000000002E-3</v>
      </c>
      <c r="N253" s="458">
        <f t="shared" si="192"/>
        <v>1.4E-2</v>
      </c>
      <c r="O253" s="458">
        <f t="shared" si="192"/>
        <v>9.9999999999999995E-7</v>
      </c>
      <c r="P253" s="458">
        <f t="shared" si="192"/>
        <v>1.0999999999999999E-2</v>
      </c>
      <c r="Q253" s="458">
        <f t="shared" si="192"/>
        <v>2.4E-2</v>
      </c>
    </row>
    <row r="254" spans="1:17" ht="13" x14ac:dyDescent="0.25">
      <c r="A254" s="890"/>
      <c r="B254" s="458">
        <v>4</v>
      </c>
      <c r="C254" s="458">
        <f>B56</f>
        <v>100</v>
      </c>
      <c r="D254" s="458">
        <f>D56</f>
        <v>1.4</v>
      </c>
      <c r="E254" s="458">
        <f>E56</f>
        <v>1</v>
      </c>
      <c r="F254" s="472">
        <v>9.9999999999999995E-7</v>
      </c>
      <c r="G254" s="458">
        <f>F56</f>
        <v>0.19999999999999996</v>
      </c>
      <c r="H254" s="458">
        <f>G56</f>
        <v>1.6864000000000001</v>
      </c>
      <c r="J254" s="890"/>
      <c r="K254" s="458">
        <v>4</v>
      </c>
      <c r="L254" s="458">
        <f>B62</f>
        <v>2</v>
      </c>
      <c r="M254" s="458">
        <f>D62</f>
        <v>-7.0000000000000001E-3</v>
      </c>
      <c r="N254" s="458">
        <f>E62</f>
        <v>9.9999999999999995E-7</v>
      </c>
      <c r="O254" s="472">
        <v>9.9999999999999995E-7</v>
      </c>
      <c r="P254" s="458">
        <f>F62</f>
        <v>3.5005000000000001E-3</v>
      </c>
      <c r="Q254" s="458">
        <f>G62</f>
        <v>2.4071999999999996E-2</v>
      </c>
    </row>
    <row r="255" spans="1:17" x14ac:dyDescent="0.25">
      <c r="A255" s="890"/>
      <c r="B255" s="458">
        <v>5</v>
      </c>
      <c r="C255" s="458">
        <f t="shared" ref="C255:H255" si="193">I56</f>
        <v>100</v>
      </c>
      <c r="D255" s="458">
        <f t="shared" si="193"/>
        <v>0.4</v>
      </c>
      <c r="E255" s="458">
        <f t="shared" si="193"/>
        <v>1.5</v>
      </c>
      <c r="F255" s="458">
        <f t="shared" si="193"/>
        <v>0.8</v>
      </c>
      <c r="G255" s="458">
        <f t="shared" si="193"/>
        <v>0.55000000000000004</v>
      </c>
      <c r="H255" s="458">
        <f t="shared" si="193"/>
        <v>1.6932</v>
      </c>
      <c r="J255" s="890"/>
      <c r="K255" s="458">
        <v>5</v>
      </c>
      <c r="L255" s="458">
        <f t="shared" ref="L255:Q255" si="194">I62</f>
        <v>2</v>
      </c>
      <c r="M255" s="458">
        <f t="shared" si="194"/>
        <v>-4.0000000000000001E-3</v>
      </c>
      <c r="N255" s="458">
        <f t="shared" si="194"/>
        <v>0.113</v>
      </c>
      <c r="O255" s="458">
        <f t="shared" si="194"/>
        <v>9.9999999999999995E-7</v>
      </c>
      <c r="P255" s="458">
        <f t="shared" si="194"/>
        <v>5.8500000000000003E-2</v>
      </c>
      <c r="Q255" s="458">
        <f t="shared" si="194"/>
        <v>2.4048E-2</v>
      </c>
    </row>
    <row r="256" spans="1:17" ht="13" x14ac:dyDescent="0.25">
      <c r="A256" s="890"/>
      <c r="B256" s="458">
        <v>6</v>
      </c>
      <c r="C256" s="458">
        <f>P56</f>
        <v>100</v>
      </c>
      <c r="D256" s="458">
        <f>R56</f>
        <v>0.6</v>
      </c>
      <c r="E256" s="458">
        <f>S56</f>
        <v>0.6</v>
      </c>
      <c r="F256" s="472">
        <v>9.9999999999999995E-7</v>
      </c>
      <c r="G256" s="458">
        <f>T56</f>
        <v>0</v>
      </c>
      <c r="H256" s="458">
        <f>U56</f>
        <v>1.6660000000000001</v>
      </c>
      <c r="J256" s="890"/>
      <c r="K256" s="458">
        <v>6</v>
      </c>
      <c r="L256" s="458">
        <f>P62</f>
        <v>2</v>
      </c>
      <c r="M256" s="458">
        <f>R62</f>
        <v>-7.0000000000000001E-3</v>
      </c>
      <c r="N256" s="458">
        <f>S62</f>
        <v>9.9999999999999995E-7</v>
      </c>
      <c r="O256" s="472">
        <v>9.9999999999999995E-7</v>
      </c>
      <c r="P256" s="458">
        <f>T62</f>
        <v>3.5005000000000001E-3</v>
      </c>
      <c r="Q256" s="458">
        <f>U62</f>
        <v>2.4084000000000001E-2</v>
      </c>
    </row>
    <row r="257" spans="1:20" ht="13" x14ac:dyDescent="0.25">
      <c r="A257" s="890"/>
      <c r="B257" s="458">
        <v>7</v>
      </c>
      <c r="C257" s="458">
        <f>B87</f>
        <v>100</v>
      </c>
      <c r="D257" s="458">
        <f>D87</f>
        <v>0.9</v>
      </c>
      <c r="E257" s="458">
        <f>E87</f>
        <v>9.9999999999999995E-7</v>
      </c>
      <c r="F257" s="472">
        <v>9.9999999999999995E-7</v>
      </c>
      <c r="G257" s="458">
        <f>F87</f>
        <v>0.4499995</v>
      </c>
      <c r="H257" s="458">
        <f>G87</f>
        <v>1.6864000000000001</v>
      </c>
      <c r="J257" s="890"/>
      <c r="K257" s="458">
        <v>7</v>
      </c>
      <c r="L257" s="458">
        <f>B93</f>
        <v>2</v>
      </c>
      <c r="M257" s="458">
        <f>D93</f>
        <v>-1E-3</v>
      </c>
      <c r="N257" s="458">
        <f>E93</f>
        <v>9.9999999999999995E-7</v>
      </c>
      <c r="O257" s="472">
        <v>9.9999999999999995E-7</v>
      </c>
      <c r="P257" s="458">
        <f>F93</f>
        <v>5.0049999999999997E-4</v>
      </c>
      <c r="Q257" s="458">
        <f>G93</f>
        <v>2.4095999999999999E-2</v>
      </c>
    </row>
    <row r="258" spans="1:20" x14ac:dyDescent="0.25">
      <c r="A258" s="890"/>
      <c r="B258" s="458">
        <v>8</v>
      </c>
      <c r="C258" s="458">
        <f t="shared" ref="C258:H258" si="195">I87</f>
        <v>100</v>
      </c>
      <c r="D258" s="458">
        <f t="shared" si="195"/>
        <v>0.4</v>
      </c>
      <c r="E258" s="458">
        <f t="shared" si="195"/>
        <v>9.9999999999999995E-7</v>
      </c>
      <c r="F258" s="458">
        <f t="shared" si="195"/>
        <v>0</v>
      </c>
      <c r="G258" s="458">
        <f t="shared" si="195"/>
        <v>0.19999950000000002</v>
      </c>
      <c r="H258" s="458">
        <f t="shared" si="195"/>
        <v>1.7000000000000002</v>
      </c>
      <c r="J258" s="890"/>
      <c r="K258" s="458">
        <v>8</v>
      </c>
      <c r="L258" s="458">
        <f t="shared" ref="L258:Q258" si="196">I93</f>
        <v>2</v>
      </c>
      <c r="M258" s="458">
        <f t="shared" si="196"/>
        <v>5.0000000000000001E-3</v>
      </c>
      <c r="N258" s="458">
        <f t="shared" si="196"/>
        <v>-1E-3</v>
      </c>
      <c r="O258" s="458">
        <f t="shared" si="196"/>
        <v>0</v>
      </c>
      <c r="P258" s="458">
        <f t="shared" si="196"/>
        <v>3.0000000000000001E-3</v>
      </c>
      <c r="Q258" s="458">
        <f t="shared" si="196"/>
        <v>2.4E-2</v>
      </c>
    </row>
    <row r="259" spans="1:20" x14ac:dyDescent="0.25">
      <c r="A259" s="890"/>
      <c r="B259" s="458">
        <v>9</v>
      </c>
      <c r="C259" s="458">
        <f t="shared" ref="C259:H259" si="197">P87</f>
        <v>100</v>
      </c>
      <c r="D259" s="458">
        <f t="shared" si="197"/>
        <v>0.6</v>
      </c>
      <c r="E259" s="458">
        <f t="shared" si="197"/>
        <v>9.9999999999999995E-7</v>
      </c>
      <c r="F259" s="458">
        <f t="shared" si="197"/>
        <v>0</v>
      </c>
      <c r="G259" s="458">
        <f t="shared" si="197"/>
        <v>0.29999949999999997</v>
      </c>
      <c r="H259" s="458">
        <f t="shared" si="197"/>
        <v>0</v>
      </c>
      <c r="J259" s="890"/>
      <c r="K259" s="458">
        <v>9</v>
      </c>
      <c r="L259" s="458">
        <f t="shared" ref="L259:Q259" si="198">P93</f>
        <v>1</v>
      </c>
      <c r="M259" s="458">
        <f t="shared" si="198"/>
        <v>0</v>
      </c>
      <c r="N259" s="458">
        <f t="shared" si="198"/>
        <v>-1E-3</v>
      </c>
      <c r="O259" s="458">
        <f t="shared" si="198"/>
        <v>0</v>
      </c>
      <c r="P259" s="458">
        <f t="shared" si="198"/>
        <v>5.0000000000000001E-4</v>
      </c>
      <c r="Q259" s="458">
        <f t="shared" si="198"/>
        <v>1.2E-2</v>
      </c>
    </row>
    <row r="260" spans="1:20" x14ac:dyDescent="0.25">
      <c r="A260" s="890"/>
      <c r="B260" s="458">
        <v>10</v>
      </c>
      <c r="C260" s="458">
        <f t="shared" ref="C260:H260" si="199">B118</f>
        <v>100</v>
      </c>
      <c r="D260" s="458">
        <f t="shared" si="199"/>
        <v>1.4</v>
      </c>
      <c r="E260" s="458" t="str">
        <f t="shared" si="199"/>
        <v>-</v>
      </c>
      <c r="F260" s="458">
        <f t="shared" si="199"/>
        <v>0</v>
      </c>
      <c r="G260" s="458">
        <f t="shared" si="199"/>
        <v>0</v>
      </c>
      <c r="H260" s="458" t="str">
        <f t="shared" si="199"/>
        <v>-</v>
      </c>
      <c r="J260" s="890"/>
      <c r="K260" s="458">
        <v>10</v>
      </c>
      <c r="L260" s="458">
        <f t="shared" ref="L260:Q260" si="200">B124</f>
        <v>2</v>
      </c>
      <c r="M260" s="458">
        <f t="shared" si="200"/>
        <v>-7.0000000000000001E-3</v>
      </c>
      <c r="N260" s="458" t="str">
        <f t="shared" si="200"/>
        <v>-</v>
      </c>
      <c r="O260" s="458">
        <f t="shared" si="200"/>
        <v>0</v>
      </c>
      <c r="P260" s="458">
        <f t="shared" si="200"/>
        <v>0</v>
      </c>
      <c r="Q260" s="458" t="str">
        <f t="shared" si="200"/>
        <v>-</v>
      </c>
    </row>
    <row r="261" spans="1:20" x14ac:dyDescent="0.25">
      <c r="A261" s="890"/>
      <c r="B261" s="458">
        <v>11</v>
      </c>
      <c r="C261" s="458">
        <f t="shared" ref="C261:H261" si="201">I118</f>
        <v>100</v>
      </c>
      <c r="D261" s="458">
        <f t="shared" si="201"/>
        <v>9.9999999999999995E-7</v>
      </c>
      <c r="E261" s="458" t="str">
        <f t="shared" si="201"/>
        <v>-</v>
      </c>
      <c r="F261" s="458">
        <f t="shared" si="201"/>
        <v>0</v>
      </c>
      <c r="G261" s="458">
        <f t="shared" si="201"/>
        <v>0</v>
      </c>
      <c r="H261" s="458" t="str">
        <f t="shared" si="201"/>
        <v>-</v>
      </c>
      <c r="J261" s="890"/>
      <c r="K261" s="458">
        <v>11</v>
      </c>
      <c r="L261" s="458">
        <f t="shared" ref="L261:Q261" si="202">I124</f>
        <v>2</v>
      </c>
      <c r="M261" s="458">
        <f t="shared" si="202"/>
        <v>9.9999999999999995E-7</v>
      </c>
      <c r="N261" s="458" t="str">
        <f t="shared" si="202"/>
        <v>-</v>
      </c>
      <c r="O261" s="458">
        <f t="shared" si="202"/>
        <v>0</v>
      </c>
      <c r="P261" s="458">
        <f t="shared" si="202"/>
        <v>0</v>
      </c>
      <c r="Q261" s="458" t="str">
        <f t="shared" si="202"/>
        <v>-</v>
      </c>
    </row>
    <row r="262" spans="1:20" x14ac:dyDescent="0.25">
      <c r="A262" s="890"/>
      <c r="B262" s="458">
        <v>12</v>
      </c>
      <c r="C262" s="458">
        <f t="shared" ref="C262:H262" si="203">P118</f>
        <v>100</v>
      </c>
      <c r="D262" s="458">
        <f t="shared" si="203"/>
        <v>9.9999999999999995E-7</v>
      </c>
      <c r="E262" s="458" t="str">
        <f t="shared" si="203"/>
        <v>-</v>
      </c>
      <c r="F262" s="458">
        <f t="shared" si="203"/>
        <v>0</v>
      </c>
      <c r="G262" s="458">
        <f t="shared" si="203"/>
        <v>0</v>
      </c>
      <c r="H262" s="458" t="str">
        <f t="shared" si="203"/>
        <v>-</v>
      </c>
      <c r="J262" s="890"/>
      <c r="K262" s="458">
        <v>12</v>
      </c>
      <c r="L262" s="458">
        <f t="shared" ref="L262:Q262" si="204">P124</f>
        <v>2</v>
      </c>
      <c r="M262" s="458">
        <f t="shared" si="204"/>
        <v>9.9999999999999995E-7</v>
      </c>
      <c r="N262" s="458" t="str">
        <f t="shared" si="204"/>
        <v>-</v>
      </c>
      <c r="O262" s="458">
        <f t="shared" si="204"/>
        <v>0</v>
      </c>
      <c r="P262" s="458">
        <f t="shared" si="204"/>
        <v>0</v>
      </c>
      <c r="Q262" s="458" t="str">
        <f t="shared" si="204"/>
        <v>-</v>
      </c>
    </row>
    <row r="263" spans="1:20" s="406" customFormat="1" x14ac:dyDescent="0.25">
      <c r="A263" s="457"/>
      <c r="B263" s="456"/>
      <c r="C263" s="456"/>
      <c r="D263" s="456"/>
      <c r="E263" s="456"/>
      <c r="F263" s="456"/>
      <c r="G263" s="456"/>
      <c r="I263" s="457"/>
      <c r="J263" s="456"/>
      <c r="K263" s="456"/>
      <c r="L263" s="456"/>
      <c r="M263" s="456"/>
      <c r="N263" s="456"/>
      <c r="O263" s="456"/>
    </row>
    <row r="264" spans="1:20" ht="13" thickBot="1" x14ac:dyDescent="0.3">
      <c r="A264" s="455"/>
      <c r="B264" s="454"/>
      <c r="C264" s="454"/>
    </row>
    <row r="265" spans="1:20" ht="43.5" customHeight="1" x14ac:dyDescent="0.25">
      <c r="A265" s="453">
        <f>A311</f>
        <v>6</v>
      </c>
      <c r="B265" s="869" t="str">
        <f>A298</f>
        <v>Electrical Safety Analyzer, Merek : Fluke, Model : ESA 615, SN : 3148908</v>
      </c>
      <c r="C265" s="869"/>
      <c r="D265" s="869"/>
      <c r="E265" s="869"/>
      <c r="F265" s="869"/>
      <c r="H265" s="450" t="s">
        <v>321</v>
      </c>
      <c r="I265" s="450" t="s">
        <v>322</v>
      </c>
      <c r="J265" s="450" t="s">
        <v>323</v>
      </c>
      <c r="K265" s="450" t="s">
        <v>324</v>
      </c>
      <c r="L265" s="452"/>
      <c r="M265" s="870" t="s">
        <v>60</v>
      </c>
      <c r="N265" s="873" t="s">
        <v>325</v>
      </c>
      <c r="O265" s="876" t="s">
        <v>249</v>
      </c>
      <c r="Q265" s="417"/>
      <c r="R265" s="417"/>
      <c r="S265" s="417"/>
      <c r="T265" s="417"/>
    </row>
    <row r="266" spans="1:20" ht="14.5" customHeight="1" x14ac:dyDescent="0.25">
      <c r="A266" s="879" t="s">
        <v>304</v>
      </c>
      <c r="B266" s="879"/>
      <c r="C266" s="879"/>
      <c r="D266" s="879"/>
      <c r="E266" s="879"/>
      <c r="F266" s="879"/>
      <c r="H266" s="451">
        <f>FORECAST(M268,B269:B274,A269:A274)</f>
        <v>5.2310941475826933E-2</v>
      </c>
      <c r="I266" s="451" t="e">
        <f>FORECAST(M269,B285:B288,A285:A288)</f>
        <v>#VALUE!</v>
      </c>
      <c r="J266" s="451" t="e">
        <f>FORECAST(M270,B291:B294,A291:A294)</f>
        <v>#VALUE!</v>
      </c>
      <c r="K266" s="451">
        <f>FORECAST(M271,B277:B282,A277:A282)</f>
        <v>11.035742743312465</v>
      </c>
      <c r="L266" s="406"/>
      <c r="M266" s="871"/>
      <c r="N266" s="874"/>
      <c r="O266" s="877"/>
      <c r="Q266" s="417"/>
      <c r="R266" s="417"/>
      <c r="S266" s="417"/>
      <c r="T266" s="417"/>
    </row>
    <row r="267" spans="1:20" ht="13.5" thickBot="1" x14ac:dyDescent="0.3">
      <c r="A267" s="880" t="str">
        <f>B4</f>
        <v>Setting VAC</v>
      </c>
      <c r="B267" s="880"/>
      <c r="C267" s="880"/>
      <c r="D267" s="880"/>
      <c r="E267" s="880" t="s">
        <v>306</v>
      </c>
      <c r="F267" s="880" t="s">
        <v>240</v>
      </c>
      <c r="H267" s="417"/>
      <c r="I267" s="417"/>
      <c r="J267" s="417"/>
      <c r="K267" s="417">
        <f>FORECAST(M273,B277:B282,A277:A282)</f>
        <v>13.241626522481502</v>
      </c>
      <c r="L267" s="406"/>
      <c r="M267" s="872"/>
      <c r="N267" s="875"/>
      <c r="O267" s="878"/>
      <c r="Q267" s="417"/>
      <c r="R267" s="417"/>
      <c r="S267" s="417"/>
      <c r="T267" s="417"/>
    </row>
    <row r="268" spans="1:20" ht="31.5" x14ac:dyDescent="0.25">
      <c r="A268" s="412" t="s">
        <v>307</v>
      </c>
      <c r="B268" s="411">
        <f>VLOOKUP(B265,A299:L310,9,FALSE)</f>
        <v>2023</v>
      </c>
      <c r="C268" s="411">
        <f>VLOOKUP(B265,A299:L310,10,FALSE)</f>
        <v>2022</v>
      </c>
      <c r="D268" s="411">
        <f>VLOOKUP(B265,A299:L310,11,FALSE)</f>
        <v>2019</v>
      </c>
      <c r="E268" s="880"/>
      <c r="F268" s="880"/>
      <c r="H268" s="450" t="s">
        <v>326</v>
      </c>
      <c r="I268" s="450" t="s">
        <v>327</v>
      </c>
      <c r="J268" s="417"/>
      <c r="K268" s="417"/>
      <c r="L268" s="406"/>
      <c r="M268" s="449">
        <f>ID!D18</f>
        <v>223.4</v>
      </c>
      <c r="N268" s="448">
        <f>M268+H266</f>
        <v>223.45231094147584</v>
      </c>
      <c r="O268" s="447">
        <f>IF(M268="-","-",IF(M268=M268,N268,))</f>
        <v>223.45231094147584</v>
      </c>
      <c r="Q268" s="417"/>
      <c r="R268" s="417"/>
      <c r="S268" s="417"/>
      <c r="T268" s="417"/>
    </row>
    <row r="269" spans="1:20" ht="15.5" x14ac:dyDescent="0.25">
      <c r="A269" s="409">
        <f>VLOOKUP($A265,$B131:$H142,2,(FALSE))</f>
        <v>150</v>
      </c>
      <c r="B269" s="408">
        <f>VLOOKUP($A$265,$B$131:$H$142,3,(FALSE))</f>
        <v>0.14000000000000001</v>
      </c>
      <c r="C269" s="408">
        <f>VLOOKUP($A$265,$B$131:$H$142,4,(FALSE))</f>
        <v>0.15</v>
      </c>
      <c r="D269" s="408">
        <f>VLOOKUP($A$265,$B$131:$H$142,5,(FALSE))</f>
        <v>-0.15</v>
      </c>
      <c r="E269" s="408">
        <f>VLOOKUP($A$265,$B$131:$H$142,6,(FALSE))</f>
        <v>0.15</v>
      </c>
      <c r="F269" s="409">
        <f>VLOOKUP($A$265,$B$131:$H$142,7,(FALSE))</f>
        <v>1.8</v>
      </c>
      <c r="H269" s="446">
        <f>FORECAST(M272,B277:B282,A277:A282)</f>
        <v>13.532498577120091</v>
      </c>
      <c r="I269" s="446">
        <f>FORECAST(N268,F269:F274,A269:A274)</f>
        <v>1.8011129256337042</v>
      </c>
      <c r="J269" s="421"/>
      <c r="K269" s="421"/>
      <c r="L269" s="406"/>
      <c r="M269" s="444" t="str">
        <f>ID!I25</f>
        <v>-</v>
      </c>
      <c r="N269" s="443" t="e">
        <f>M269+I266</f>
        <v>#VALUE!</v>
      </c>
      <c r="O269" s="442" t="str">
        <f>IF(M269="OL","OL",IF(M269="NC","NC",IF(M269="OR","OR",IFERROR(N269,"-"))))</f>
        <v>-</v>
      </c>
      <c r="R269" s="445"/>
    </row>
    <row r="270" spans="1:20" ht="14.5" thickBot="1" x14ac:dyDescent="0.3">
      <c r="A270" s="414">
        <f>VLOOKUP($A$265,$B$144:$H$155,2,(FALSE))</f>
        <v>180</v>
      </c>
      <c r="B270" s="413">
        <f>VLOOKUP($A$265,$B$144:$H$155,3,(FALSE))</f>
        <v>0.17</v>
      </c>
      <c r="C270" s="413">
        <f>VLOOKUP($A$265,$B$144:$H$155,4,(FALSE))</f>
        <v>0.17</v>
      </c>
      <c r="D270" s="413">
        <f>VLOOKUP($A$265,$B$144:$H$155,5,(FALSE))</f>
        <v>-0.11</v>
      </c>
      <c r="E270" s="413">
        <f>VLOOKUP($A$265,$B$144:$H$155,6,(FALSE))</f>
        <v>0.14000000000000001</v>
      </c>
      <c r="F270" s="409">
        <f>VLOOKUP($A$265,$B$144:$H$155,7,(FALSE))</f>
        <v>2.16</v>
      </c>
      <c r="H270" s="417"/>
      <c r="I270" s="417"/>
      <c r="J270" s="417"/>
      <c r="K270" s="417"/>
      <c r="L270" s="406"/>
      <c r="M270" s="444" t="str">
        <f>ID!I26</f>
        <v>-</v>
      </c>
      <c r="N270" s="443" t="e">
        <f>M270+J266</f>
        <v>#VALUE!</v>
      </c>
      <c r="O270" s="442" t="str">
        <f>IF(M270="OL","OL",IF(M270="NC","NC",IF(M270="OR","OR",IFERROR(N270,"-"))))</f>
        <v>-</v>
      </c>
    </row>
    <row r="271" spans="1:20" ht="14" x14ac:dyDescent="0.25">
      <c r="A271" s="414">
        <f>VLOOKUP($A$265,$B$157:$H$168,2,(FALSE))</f>
        <v>200</v>
      </c>
      <c r="B271" s="413">
        <f>VLOOKUP($A$265,$B$157:$H$168,3,(FALSE))</f>
        <v>0.08</v>
      </c>
      <c r="C271" s="413">
        <f>VLOOKUP($A$265,$B$157:$H$168,4,(FALSE))</f>
        <v>0.1</v>
      </c>
      <c r="D271" s="413">
        <f>VLOOKUP($A$265,$B$157:$H$168,5,(FALSE))</f>
        <v>-0.1</v>
      </c>
      <c r="E271" s="413">
        <f>VLOOKUP($A$265,$B$157:$H$168,6,(FALSE))</f>
        <v>0.1</v>
      </c>
      <c r="F271" s="409">
        <f>VLOOKUP($A$265,$B$157:$H$168,7,(FALSE))</f>
        <v>2.4</v>
      </c>
      <c r="H271" s="881" t="s">
        <v>328</v>
      </c>
      <c r="I271" s="882"/>
      <c r="J271" s="883"/>
      <c r="K271" s="417"/>
      <c r="L271" s="437" t="s">
        <v>329</v>
      </c>
      <c r="M271" s="441">
        <f>ID!I27</f>
        <v>200</v>
      </c>
      <c r="N271" s="440">
        <f>M271+K266</f>
        <v>211.03574274331245</v>
      </c>
      <c r="O271" s="428">
        <f>IFERROR(N271,"-")</f>
        <v>211.03574274331245</v>
      </c>
    </row>
    <row r="272" spans="1:20" ht="15.5" x14ac:dyDescent="0.25">
      <c r="A272" s="414">
        <f>VLOOKUP($A$265,$B$170:$H$181,2,(FALSE))</f>
        <v>220</v>
      </c>
      <c r="B272" s="413">
        <f>VLOOKUP($A$265,$B$170:$H$181,3,(FALSE))</f>
        <v>0.06</v>
      </c>
      <c r="C272" s="413">
        <f>VLOOKUP($A$265,$B$170:$H$181,4,(FALSE))</f>
        <v>7.0000000000000007E-2</v>
      </c>
      <c r="D272" s="413">
        <f>VLOOKUP($A$265,$B$170:$H$181,5,(FALSE))</f>
        <v>-0.13</v>
      </c>
      <c r="E272" s="413">
        <f>VLOOKUP($A$265,$B$170:$H$181,6,(FALSE))</f>
        <v>0.1</v>
      </c>
      <c r="F272" s="409">
        <f>VLOOKUP($A$265,$B$170:$H$181,7,(FALSE))</f>
        <v>2.64</v>
      </c>
      <c r="H272" s="439" t="str">
        <f>TEXT(O268,"0.0")</f>
        <v>223.5</v>
      </c>
      <c r="I272" s="409" t="str">
        <f>TEXT(I269,"0.0")</f>
        <v>1.8</v>
      </c>
      <c r="J272" s="438" t="s">
        <v>330</v>
      </c>
      <c r="K272" s="417"/>
      <c r="L272" s="437" t="s">
        <v>120</v>
      </c>
      <c r="M272" s="436">
        <f>ID!N28</f>
        <v>0</v>
      </c>
      <c r="N272" s="435">
        <f>M272+H269</f>
        <v>13.532498577120091</v>
      </c>
      <c r="O272" s="434">
        <f>IFERROR(N272,"-")</f>
        <v>13.532498577120091</v>
      </c>
    </row>
    <row r="273" spans="1:21" ht="15.75" customHeight="1" thickBot="1" x14ac:dyDescent="0.35">
      <c r="A273" s="414">
        <f>VLOOKUP($A$265,$B$183:$H$194,2,(FALSE))</f>
        <v>230</v>
      </c>
      <c r="B273" s="413">
        <f>VLOOKUP($A$265,$B$183:$H$194,3,(FALSE))</f>
        <v>0.04</v>
      </c>
      <c r="C273" s="413">
        <f>VLOOKUP($A$265,$B$183:$H$194,4,(FALSE))</f>
        <v>0.08</v>
      </c>
      <c r="D273" s="413">
        <f>VLOOKUP($A$265,$B$183:$H$194,5,(FALSE))</f>
        <v>-0.15</v>
      </c>
      <c r="E273" s="413">
        <f>VLOOKUP($A$265,$B$183:$H$194,6,(FALSE))</f>
        <v>0.11499999999999999</v>
      </c>
      <c r="F273" s="409">
        <f>VLOOKUP($A$265,$B$183:$H$194,7,(FALSE))</f>
        <v>2.7600000000000002</v>
      </c>
      <c r="H273" s="433" t="s">
        <v>331</v>
      </c>
      <c r="I273" s="432" t="s">
        <v>332</v>
      </c>
      <c r="J273" s="431" t="s">
        <v>333</v>
      </c>
      <c r="K273" s="421"/>
      <c r="L273" s="406"/>
      <c r="M273" s="430">
        <v>23.3</v>
      </c>
      <c r="N273" s="429">
        <f>M273+K267</f>
        <v>36.541626522481501</v>
      </c>
      <c r="O273" s="428">
        <f>IFERROR(N273,"-")</f>
        <v>36.541626522481501</v>
      </c>
    </row>
    <row r="274" spans="1:21" ht="17.5" x14ac:dyDescent="0.25">
      <c r="A274" s="414">
        <f>VLOOKUP($A$265,$B$196:$H$207,2,(FALSE))</f>
        <v>250</v>
      </c>
      <c r="B274" s="413">
        <f>VLOOKUP($A$265,$B$196:$H$207,3,(FALSE))</f>
        <v>0</v>
      </c>
      <c r="C274" s="413">
        <f>VLOOKUP($A$265,$B$196:$H$207,4,(FALSE))</f>
        <v>0</v>
      </c>
      <c r="D274" s="413">
        <f>VLOOKUP($A$265,$B$196:$H$207,5,(FALSE))</f>
        <v>9.9999999999999995E-7</v>
      </c>
      <c r="E274" s="413">
        <f>VLOOKUP($A$265,$B$196:$H$207,6,(FALSE))</f>
        <v>4.9999999999999998E-7</v>
      </c>
      <c r="F274" s="409">
        <f>VLOOKUP($A$265,$B$196:$H$207,7,(FALSE))</f>
        <v>0</v>
      </c>
      <c r="H274" s="884" t="str">
        <f>H273&amp;H272&amp;I273&amp;I272&amp;J273&amp;J272</f>
        <v>( 223.5 ± 1.8 ) Volt</v>
      </c>
      <c r="I274" s="885"/>
      <c r="J274" s="886"/>
      <c r="K274" s="417"/>
      <c r="L274" s="406"/>
      <c r="M274" s="427"/>
      <c r="N274" s="426"/>
      <c r="O274" s="422"/>
    </row>
    <row r="275" spans="1:21" ht="13" customHeight="1" x14ac:dyDescent="0.25">
      <c r="A275" s="887" t="str">
        <f>B12</f>
        <v>Current Leakage</v>
      </c>
      <c r="B275" s="887"/>
      <c r="C275" s="887"/>
      <c r="D275" s="887"/>
      <c r="E275" s="410" t="s">
        <v>306</v>
      </c>
      <c r="F275" s="410" t="s">
        <v>240</v>
      </c>
      <c r="H275" s="417"/>
      <c r="I275" s="417"/>
      <c r="J275" s="417"/>
      <c r="K275" s="417"/>
      <c r="L275" s="406"/>
      <c r="M275" s="427"/>
      <c r="N275" s="426"/>
      <c r="O275" s="422"/>
    </row>
    <row r="276" spans="1:21" ht="14" x14ac:dyDescent="0.25">
      <c r="A276" s="412" t="s">
        <v>309</v>
      </c>
      <c r="B276" s="411">
        <f>B268</f>
        <v>2023</v>
      </c>
      <c r="C276" s="411">
        <f>C268</f>
        <v>2022</v>
      </c>
      <c r="D276" s="411">
        <f>D268</f>
        <v>2019</v>
      </c>
      <c r="E276" s="410"/>
      <c r="F276" s="410"/>
      <c r="H276" s="417"/>
      <c r="I276" s="417"/>
      <c r="J276" s="417"/>
      <c r="K276" s="417"/>
      <c r="L276" s="406"/>
      <c r="M276" s="427"/>
      <c r="N276" s="426"/>
      <c r="O276" s="422"/>
      <c r="P276" s="375" t="str">
        <f>H273</f>
        <v xml:space="preserve">( </v>
      </c>
      <c r="Q276" s="768">
        <f>O268</f>
        <v>223.45231094147584</v>
      </c>
      <c r="R276" s="375" t="str">
        <f>I273</f>
        <v xml:space="preserve"> ± </v>
      </c>
      <c r="S276" s="768">
        <f>I269</f>
        <v>1.8011129256337042</v>
      </c>
      <c r="T276" s="375" t="str">
        <f>J273</f>
        <v xml:space="preserve"> )</v>
      </c>
      <c r="U276" s="375" t="str">
        <f>J272</f>
        <v xml:space="preserve"> Volt</v>
      </c>
    </row>
    <row r="277" spans="1:21" ht="15.75" customHeight="1" x14ac:dyDescent="0.25">
      <c r="A277" s="414">
        <f>VLOOKUP($A$265,$K$131:$Q$142,2,(FALSE))</f>
        <v>0</v>
      </c>
      <c r="B277" s="413">
        <f>VLOOKUP($A$265,$K$131:$Q$142,3,(FALSE))</f>
        <v>0</v>
      </c>
      <c r="C277" s="413">
        <f>VLOOKUP($A$265,$K$131:$Q$142,4,(FALSE))</f>
        <v>9.9999999999999995E-7</v>
      </c>
      <c r="D277" s="413">
        <f>VLOOKUP($A$265,$K$131:$Q$142,5,(FALSE))</f>
        <v>9.9999999999999995E-7</v>
      </c>
      <c r="E277" s="413">
        <f>VLOOKUP($A$265,$K$131:$Q$142,6,(FALSE))</f>
        <v>4.9999999999999998E-7</v>
      </c>
      <c r="F277" s="413">
        <f>VLOOKUP($A$265,$K$131:$Q$142,7,(FALSE))</f>
        <v>0</v>
      </c>
      <c r="H277" s="888"/>
      <c r="I277" s="888"/>
      <c r="J277" s="888"/>
      <c r="K277" s="888"/>
      <c r="L277" s="406"/>
      <c r="M277" s="425"/>
      <c r="N277" s="425"/>
      <c r="O277" s="424"/>
    </row>
    <row r="278" spans="1:21" x14ac:dyDescent="0.25">
      <c r="A278" s="414">
        <f>VLOOKUP($A$265,$K$144:$Q$155,2,(FALSE))</f>
        <v>50</v>
      </c>
      <c r="B278" s="413">
        <f>VLOOKUP($A$265,$K$144:$Q$155,3,(FALSE))</f>
        <v>19.100000000000001</v>
      </c>
      <c r="C278" s="413">
        <f>VLOOKUP($A$265,$K$144:$Q$155,4,(FALSE))</f>
        <v>0.02</v>
      </c>
      <c r="D278" s="413">
        <f>VLOOKUP($A$265,$K$144:$Q$155,5,(FALSE))</f>
        <v>9.9999999999999995E-7</v>
      </c>
      <c r="E278" s="413">
        <f>VLOOKUP($A$265,$K$144:$Q$155,6,(FALSE))</f>
        <v>9.5400000000000009</v>
      </c>
      <c r="F278" s="413">
        <f>VLOOKUP($A$265,$K$144:$Q$155,7,(FALSE))</f>
        <v>0.29499999999999998</v>
      </c>
      <c r="H278" s="417"/>
      <c r="I278" s="417"/>
      <c r="J278" s="417"/>
      <c r="K278" s="417"/>
      <c r="L278" s="406"/>
      <c r="M278" s="423"/>
      <c r="N278" s="423"/>
      <c r="O278" s="422"/>
    </row>
    <row r="279" spans="1:21" x14ac:dyDescent="0.25">
      <c r="A279" s="414">
        <f>VLOOKUP($A$265,$K$157:$Q$168,2,(FALSE))</f>
        <v>100</v>
      </c>
      <c r="B279" s="413">
        <f>VLOOKUP($A$265,$K$157:$Q$168,3,(FALSE))</f>
        <v>18.399999999999999</v>
      </c>
      <c r="C279" s="413">
        <f>VLOOKUP($A$265,$K$157:$Q$168,4,(FALSE))</f>
        <v>0.22</v>
      </c>
      <c r="D279" s="413">
        <f>VLOOKUP($A$265,$K$157:$Q$168,5,(FALSE))</f>
        <v>9.9999999999999995E-7</v>
      </c>
      <c r="E279" s="413">
        <f>VLOOKUP($A$265,$K$157:$Q$168,6,(FALSE))</f>
        <v>9.09</v>
      </c>
      <c r="F279" s="413">
        <f>VLOOKUP($A$265,$K$157:$Q$168,7,(FALSE))</f>
        <v>0.59</v>
      </c>
      <c r="H279" s="417"/>
      <c r="I279" s="417"/>
      <c r="J279" s="417"/>
      <c r="K279" s="417"/>
      <c r="L279" s="406"/>
      <c r="M279" s="406"/>
      <c r="N279" s="406"/>
      <c r="O279" s="405"/>
    </row>
    <row r="280" spans="1:21" x14ac:dyDescent="0.25">
      <c r="A280" s="414">
        <f>VLOOKUP($A$265,$K$170:$Q$181,2,(FALSE))</f>
        <v>200</v>
      </c>
      <c r="B280" s="413">
        <f>VLOOKUP($A$265,$K$170:$Q$181,3,(FALSE))</f>
        <v>14.4</v>
      </c>
      <c r="C280" s="413">
        <f>VLOOKUP($A$265,$K$170:$Q$181,4,(FALSE))</f>
        <v>0.8</v>
      </c>
      <c r="D280" s="413">
        <f>VLOOKUP($A$265,$K$170:$Q$181,5,(FALSE))</f>
        <v>9.9999999999999995E-7</v>
      </c>
      <c r="E280" s="413">
        <f>VLOOKUP($A$265,$K$170:$Q$181,6,(FALSE))</f>
        <v>6.8</v>
      </c>
      <c r="F280" s="413">
        <f>VLOOKUP($A$265,$K$170:$Q$181,7,(FALSE))</f>
        <v>1.18</v>
      </c>
      <c r="H280" s="417"/>
      <c r="I280" s="417"/>
      <c r="J280" s="417"/>
      <c r="K280" s="417"/>
      <c r="L280" s="406"/>
      <c r="M280" s="406"/>
      <c r="N280" s="406"/>
      <c r="O280" s="405"/>
    </row>
    <row r="281" spans="1:21" ht="16.5" customHeight="1" x14ac:dyDescent="0.3">
      <c r="A281" s="414">
        <f>VLOOKUP($A$265,$K$183:$Q$194,2,(FALSE))</f>
        <v>500</v>
      </c>
      <c r="B281" s="413">
        <f>VLOOKUP($A$265,$K$183:$Q$194,3,(FALSE))</f>
        <v>6.2</v>
      </c>
      <c r="C281" s="413">
        <f>VLOOKUP($A$265,$K$183:$Q$194,4,(FALSE))</f>
        <v>1.1000000000000001</v>
      </c>
      <c r="D281" s="413">
        <f>VLOOKUP($A$265,$K$183:$Q$194,5,(FALSE))</f>
        <v>9.9999999999999995E-7</v>
      </c>
      <c r="E281" s="413">
        <f>VLOOKUP($A$265,$K$183:$Q$194,6,(FALSE))</f>
        <v>2.5499999999999998</v>
      </c>
      <c r="F281" s="413">
        <f>VLOOKUP($A$265,$K$183:$Q$194,7,(FALSE))</f>
        <v>2.9499999999999997</v>
      </c>
      <c r="H281" s="888"/>
      <c r="I281" s="888"/>
      <c r="J281" s="888"/>
      <c r="K281" s="888"/>
      <c r="L281" s="406"/>
      <c r="M281" s="420"/>
      <c r="N281" s="420"/>
      <c r="O281" s="419"/>
      <c r="P281" s="418"/>
    </row>
    <row r="282" spans="1:21" x14ac:dyDescent="0.25">
      <c r="A282" s="414">
        <f>VLOOKUP($A$265,$K$196:$Q$207,2,(FALSE))</f>
        <v>1000</v>
      </c>
      <c r="B282" s="413">
        <f>VLOOKUP($A$265,$K$196:$Q$207,3,(FALSE))</f>
        <v>0</v>
      </c>
      <c r="C282" s="413">
        <f>VLOOKUP($A$265,$K$196:$Q$207,4,(FALSE))</f>
        <v>9.9999999999999995E-7</v>
      </c>
      <c r="D282" s="413">
        <f>VLOOKUP($A$265,$K$196:$Q$207,5,(FALSE))</f>
        <v>9.9999999999999995E-7</v>
      </c>
      <c r="E282" s="413">
        <f>VLOOKUP($A$265,$K$196:$Q$207,6,(FALSE))</f>
        <v>4.9999999999999998E-7</v>
      </c>
      <c r="F282" s="413">
        <f>VLOOKUP($A$265,$K$196:$Q$207,7,(FALSE))</f>
        <v>5.8999999999999995</v>
      </c>
      <c r="H282" s="417"/>
      <c r="I282" s="417"/>
      <c r="J282" s="417"/>
      <c r="K282" s="417"/>
      <c r="L282" s="406"/>
      <c r="M282" s="417"/>
      <c r="N282" s="417"/>
      <c r="O282" s="416"/>
      <c r="P282" s="415"/>
    </row>
    <row r="283" spans="1:21" ht="13" x14ac:dyDescent="0.25">
      <c r="A283" s="887" t="str">
        <f>B20</f>
        <v>Main-PE</v>
      </c>
      <c r="B283" s="887"/>
      <c r="C283" s="887"/>
      <c r="D283" s="887"/>
      <c r="E283" s="410" t="s">
        <v>306</v>
      </c>
      <c r="F283" s="410" t="s">
        <v>240</v>
      </c>
      <c r="H283" s="417"/>
      <c r="I283" s="417"/>
      <c r="J283" s="417"/>
      <c r="K283" s="417"/>
      <c r="L283" s="406"/>
      <c r="M283" s="417"/>
      <c r="N283" s="417"/>
      <c r="O283" s="416"/>
      <c r="P283" s="415"/>
    </row>
    <row r="284" spans="1:21" ht="14.5" x14ac:dyDescent="0.25">
      <c r="A284" s="412" t="s">
        <v>311</v>
      </c>
      <c r="B284" s="411">
        <f>B276</f>
        <v>2023</v>
      </c>
      <c r="C284" s="411">
        <f>C276</f>
        <v>2022</v>
      </c>
      <c r="D284" s="411">
        <f>D276</f>
        <v>2019</v>
      </c>
      <c r="E284" s="410"/>
      <c r="F284" s="410"/>
      <c r="H284" s="417"/>
      <c r="I284" s="417"/>
      <c r="J284" s="417"/>
      <c r="K284" s="417"/>
      <c r="L284" s="406"/>
      <c r="M284" s="417"/>
      <c r="N284" s="417"/>
      <c r="O284" s="416"/>
      <c r="P284" s="415"/>
    </row>
    <row r="285" spans="1:21" ht="15.75" customHeight="1" x14ac:dyDescent="0.25">
      <c r="A285" s="414">
        <f>VLOOKUP($A$265,$B$212:$H$223,2,(FALSE))</f>
        <v>10</v>
      </c>
      <c r="B285" s="413">
        <f>VLOOKUP($A$265,$B$212:$H$223,3,(FALSE))</f>
        <v>0.1</v>
      </c>
      <c r="C285" s="413">
        <f>VLOOKUP($A$265,$B$212:$H$223,4,(FALSE))</f>
        <v>0.1</v>
      </c>
      <c r="D285" s="413">
        <f>VLOOKUP($A$265,$B$212:$H$223,5,(FALSE))</f>
        <v>9.9999999999999995E-7</v>
      </c>
      <c r="E285" s="413">
        <f>VLOOKUP($A$265,$B$212:$H$223,6,(FALSE))</f>
        <v>0</v>
      </c>
      <c r="F285" s="413">
        <f>VLOOKUP($A$265,$B$212:$H$223,7,(FALSE))</f>
        <v>0.17</v>
      </c>
      <c r="H285" s="889"/>
      <c r="I285" s="889"/>
      <c r="J285" s="889"/>
      <c r="K285" s="889"/>
      <c r="L285" s="406"/>
      <c r="M285" s="406"/>
      <c r="N285" s="406"/>
      <c r="O285" s="405"/>
    </row>
    <row r="286" spans="1:21" x14ac:dyDescent="0.25">
      <c r="A286" s="414">
        <f>VLOOKUP($A$265,$B$225:$H$236,2,(FALSE))</f>
        <v>20</v>
      </c>
      <c r="B286" s="413">
        <f>VLOOKUP($A$265,$B$225:$H$236,3,(FALSE))</f>
        <v>0.1</v>
      </c>
      <c r="C286" s="413">
        <f>VLOOKUP($A$265,$B$225:$H$236,4,(FALSE))</f>
        <v>0.1</v>
      </c>
      <c r="D286" s="413">
        <f>VLOOKUP($A$265,$B$225:$H$236,5,(FALSE))</f>
        <v>9.9999999999999995E-7</v>
      </c>
      <c r="E286" s="413">
        <f>VLOOKUP($A$265,$B$225:$H$236,6,(FALSE))</f>
        <v>0</v>
      </c>
      <c r="F286" s="413">
        <f>VLOOKUP($A$265,$B$225:$H$236,7,(FALSE))</f>
        <v>0.33829999999999999</v>
      </c>
      <c r="H286" s="407"/>
      <c r="I286" s="407"/>
      <c r="J286" s="407"/>
      <c r="K286" s="407"/>
      <c r="L286" s="406"/>
      <c r="M286" s="406"/>
      <c r="N286" s="406"/>
      <c r="O286" s="405"/>
    </row>
    <row r="287" spans="1:21" x14ac:dyDescent="0.25">
      <c r="A287" s="414">
        <f>VLOOKUP($A$265,$B$238:$H$249,2,(FALSE))</f>
        <v>50</v>
      </c>
      <c r="B287" s="413">
        <f>VLOOKUP($A$265,$B$238:$H$249,3,(FALSE))</f>
        <v>0.3</v>
      </c>
      <c r="C287" s="413">
        <f>VLOOKUP($A$265,$B$238:$H$249,4,(FALSE))</f>
        <v>0.3</v>
      </c>
      <c r="D287" s="413">
        <f>VLOOKUP($A$265,$B$238:$H$249,5,(FALSE))</f>
        <v>9.9999999999999995E-7</v>
      </c>
      <c r="E287" s="413">
        <f>VLOOKUP($A$265,$B$238:$H$249,6,(FALSE))</f>
        <v>0</v>
      </c>
      <c r="F287" s="413">
        <f>VLOOKUP($A$265,$B$238:$H$249,7,(FALSE))</f>
        <v>0.84830000000000005</v>
      </c>
      <c r="H287" s="407"/>
      <c r="I287" s="407"/>
      <c r="J287" s="407"/>
      <c r="K287" s="407"/>
      <c r="L287" s="406"/>
      <c r="M287" s="406"/>
      <c r="N287" s="406"/>
      <c r="O287" s="405"/>
    </row>
    <row r="288" spans="1:21" x14ac:dyDescent="0.25">
      <c r="A288" s="414">
        <f>VLOOKUP($A$265,$B$251:$H$262,2,(FALSE))</f>
        <v>100</v>
      </c>
      <c r="B288" s="413">
        <f>VLOOKUP($A$265,$B$251:$H$262,3,(FALSE))</f>
        <v>0.6</v>
      </c>
      <c r="C288" s="413">
        <f>VLOOKUP($A$265,$B$251:$H$262,4,(FALSE))</f>
        <v>0.6</v>
      </c>
      <c r="D288" s="413">
        <f>VLOOKUP($A$265,$B$251:$H$262,5,(FALSE))</f>
        <v>9.9999999999999995E-7</v>
      </c>
      <c r="E288" s="413">
        <f>VLOOKUP($A$265,$B$251:$H$262,6,(FALSE))</f>
        <v>0</v>
      </c>
      <c r="F288" s="413">
        <f>VLOOKUP($A$265,$B$251:$H$262,7,(FALSE))</f>
        <v>1.6660000000000001</v>
      </c>
      <c r="H288" s="407"/>
      <c r="I288" s="407"/>
      <c r="J288" s="407"/>
      <c r="K288" s="407"/>
      <c r="L288" s="406"/>
      <c r="M288" s="406"/>
      <c r="N288" s="406"/>
      <c r="O288" s="405"/>
    </row>
    <row r="289" spans="1:25" ht="15.75" customHeight="1" x14ac:dyDescent="0.25">
      <c r="A289" s="887" t="str">
        <f>B26</f>
        <v>Resistance</v>
      </c>
      <c r="B289" s="887"/>
      <c r="C289" s="887"/>
      <c r="D289" s="887"/>
      <c r="E289" s="410" t="s">
        <v>306</v>
      </c>
      <c r="F289" s="410" t="s">
        <v>240</v>
      </c>
      <c r="H289" s="889"/>
      <c r="I289" s="889"/>
      <c r="J289" s="889"/>
      <c r="K289" s="889"/>
      <c r="L289" s="406"/>
      <c r="M289" s="406"/>
      <c r="N289" s="406"/>
      <c r="O289" s="405"/>
    </row>
    <row r="290" spans="1:25" ht="14.5" x14ac:dyDescent="0.25">
      <c r="A290" s="412" t="s">
        <v>313</v>
      </c>
      <c r="B290" s="411">
        <f>B284</f>
        <v>2023</v>
      </c>
      <c r="C290" s="411">
        <f>C284</f>
        <v>2022</v>
      </c>
      <c r="D290" s="411">
        <f>D284</f>
        <v>2019</v>
      </c>
      <c r="E290" s="410"/>
      <c r="F290" s="410"/>
      <c r="H290" s="407"/>
      <c r="I290" s="407"/>
      <c r="J290" s="407"/>
      <c r="K290" s="407"/>
      <c r="L290" s="406"/>
      <c r="M290" s="406"/>
      <c r="N290" s="406"/>
      <c r="O290" s="405"/>
    </row>
    <row r="291" spans="1:25" ht="14" x14ac:dyDescent="0.25">
      <c r="A291" s="409">
        <f>VLOOKUP($A$265,$K$212:$Q$223,2,(FALSE))</f>
        <v>0.01</v>
      </c>
      <c r="B291" s="408">
        <f>VLOOKUP($A$265,$K$212:$Q$223,3,(FALSE))</f>
        <v>0</v>
      </c>
      <c r="C291" s="408">
        <f>VLOOKUP($A$265,$K$212:$Q$223,4,(FALSE))</f>
        <v>9.9999999999999995E-7</v>
      </c>
      <c r="D291" s="408">
        <f>VLOOKUP($A$265,$K$212:$Q$223,5,(FALSE))</f>
        <v>9.9999999999999995E-7</v>
      </c>
      <c r="E291" s="408">
        <f>VLOOKUP($A$265,$K$212:$Q$223,6,(FALSE))</f>
        <v>4.9999999999999998E-7</v>
      </c>
      <c r="F291" s="408">
        <f>VLOOKUP($A$265,$K$212:$Q$223,7,(FALSE))</f>
        <v>1.2E-4</v>
      </c>
      <c r="H291" s="407"/>
      <c r="I291" s="407"/>
      <c r="J291" s="407"/>
      <c r="K291" s="407"/>
      <c r="L291" s="406"/>
      <c r="M291" s="406"/>
      <c r="N291" s="406"/>
      <c r="O291" s="405"/>
    </row>
    <row r="292" spans="1:25" ht="14" x14ac:dyDescent="0.25">
      <c r="A292" s="409">
        <f>VLOOKUP($A$265,$K$225:$Q$236,2,(FALSE))</f>
        <v>0.1</v>
      </c>
      <c r="B292" s="408">
        <f>VLOOKUP($A$265,$K$225:$Q$236,3,(FALSE))</f>
        <v>-3.0000000000000001E-3</v>
      </c>
      <c r="C292" s="408">
        <f>VLOOKUP($A$265,$K$225:$Q$236,4,(FALSE))</f>
        <v>-2E-3</v>
      </c>
      <c r="D292" s="408">
        <f>VLOOKUP($A$265,$K$225:$Q$236,5,(FALSE))</f>
        <v>9.9999999999999995E-7</v>
      </c>
      <c r="E292" s="408">
        <f>VLOOKUP($A$265,$K$225:$Q$236,6,(FALSE))</f>
        <v>5.0000000000000001E-4</v>
      </c>
      <c r="F292" s="408">
        <f>VLOOKUP($A$265,$K$225:$Q$236,7,(FALSE))</f>
        <v>1.2000000000000001E-3</v>
      </c>
      <c r="H292" s="407"/>
      <c r="I292" s="407"/>
      <c r="J292" s="407"/>
      <c r="K292" s="407"/>
      <c r="L292" s="406"/>
      <c r="M292" s="406"/>
      <c r="N292" s="406"/>
      <c r="O292" s="405"/>
    </row>
    <row r="293" spans="1:25" ht="15.75" customHeight="1" x14ac:dyDescent="0.25">
      <c r="A293" s="409">
        <f>VLOOKUP($A$265,$K$238:$Q$249,2,(FALSE))</f>
        <v>1</v>
      </c>
      <c r="B293" s="408">
        <f>VLOOKUP($A$265,$K$238:$Q$249,3,(FALSE))</f>
        <v>-7.0000000000000001E-3</v>
      </c>
      <c r="C293" s="408">
        <f>VLOOKUP($A$265,$K$238:$Q$249,4,(FALSE))</f>
        <v>-1E-3</v>
      </c>
      <c r="D293" s="408">
        <f>VLOOKUP($A$265,$K$238:$Q$249,5,(FALSE))</f>
        <v>9.9999999999999995E-7</v>
      </c>
      <c r="E293" s="408">
        <f>VLOOKUP($A$265,$K$238:$Q$249,6,(FALSE))</f>
        <v>3.0000000000000001E-3</v>
      </c>
      <c r="F293" s="408">
        <f>VLOOKUP($A$265,$K$238:$Q$249,7,(FALSE))</f>
        <v>1.2072000000000001E-2</v>
      </c>
      <c r="H293" s="889"/>
      <c r="I293" s="889"/>
      <c r="J293" s="889"/>
      <c r="K293" s="889"/>
      <c r="L293" s="406"/>
      <c r="M293" s="406"/>
      <c r="N293" s="406"/>
      <c r="O293" s="405"/>
    </row>
    <row r="294" spans="1:25" ht="14" x14ac:dyDescent="0.25">
      <c r="A294" s="409">
        <f>VLOOKUP($A$265,$K$251:$Q$262,2,(FALSE))</f>
        <v>2</v>
      </c>
      <c r="B294" s="408">
        <f>VLOOKUP($A$265,$K$251:$Q$262,3,(FALSE))</f>
        <v>-7.0000000000000001E-3</v>
      </c>
      <c r="C294" s="408">
        <f>VLOOKUP($A$265,$K$251:$Q$262,4,(FALSE))</f>
        <v>9.9999999999999995E-7</v>
      </c>
      <c r="D294" s="408">
        <f>VLOOKUP($A$265,$K$251:$Q$262,5,(FALSE))</f>
        <v>9.9999999999999995E-7</v>
      </c>
      <c r="E294" s="408">
        <f>VLOOKUP($A$265,$K$251:$Q$262,6,(FALSE))</f>
        <v>3.5005000000000001E-3</v>
      </c>
      <c r="F294" s="408">
        <f>VLOOKUP($A$265,$K$251:$Q$262,7,(FALSE))</f>
        <v>2.4084000000000001E-2</v>
      </c>
      <c r="H294" s="407"/>
      <c r="I294" s="407"/>
      <c r="J294" s="407"/>
      <c r="K294" s="407"/>
      <c r="L294" s="406"/>
      <c r="M294" s="406"/>
      <c r="N294" s="406"/>
      <c r="O294" s="405"/>
    </row>
    <row r="297" spans="1:25" ht="13" thickBot="1" x14ac:dyDescent="0.3"/>
    <row r="298" spans="1:25" ht="13.5" thickBot="1" x14ac:dyDescent="0.35">
      <c r="A298" s="404" t="str">
        <f>ID!B47</f>
        <v>Electrical Safety Analyzer, Merek : Fluke, Model : ESA 615, SN : 3148908</v>
      </c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2"/>
      <c r="N298" s="863">
        <f>A311</f>
        <v>6</v>
      </c>
      <c r="O298" s="864"/>
      <c r="P298" s="864"/>
      <c r="Q298" s="864"/>
      <c r="R298" s="864"/>
      <c r="S298" s="864"/>
      <c r="T298" s="864"/>
      <c r="U298" s="864"/>
      <c r="V298" s="864"/>
      <c r="W298" s="864"/>
      <c r="X298" s="864"/>
      <c r="Y298" s="865"/>
    </row>
    <row r="299" spans="1:25" ht="13" x14ac:dyDescent="0.3">
      <c r="A299" s="401" t="s">
        <v>334</v>
      </c>
      <c r="B299" s="400"/>
      <c r="C299" s="400"/>
      <c r="D299" s="399"/>
      <c r="E299" s="399"/>
      <c r="F299" s="399"/>
      <c r="G299" s="399"/>
      <c r="H299" s="399"/>
      <c r="I299" s="398">
        <f>C5</f>
        <v>2022</v>
      </c>
      <c r="J299" s="397">
        <f>D5</f>
        <v>2020</v>
      </c>
      <c r="K299" s="397">
        <f>E5</f>
        <v>2019</v>
      </c>
      <c r="L299" s="396">
        <v>1</v>
      </c>
      <c r="N299" s="395">
        <v>1</v>
      </c>
      <c r="O299" s="394" t="s">
        <v>335</v>
      </c>
      <c r="P299" s="393"/>
      <c r="Q299" s="393"/>
      <c r="R299" s="393"/>
      <c r="S299" s="393"/>
      <c r="T299" s="393"/>
      <c r="U299" s="393"/>
      <c r="V299" s="393"/>
      <c r="W299" s="393"/>
      <c r="X299" s="393"/>
      <c r="Y299" s="392"/>
    </row>
    <row r="300" spans="1:25" ht="13" x14ac:dyDescent="0.3">
      <c r="A300" s="388" t="s">
        <v>336</v>
      </c>
      <c r="B300" s="387"/>
      <c r="C300" s="387"/>
      <c r="D300" s="386"/>
      <c r="E300" s="386"/>
      <c r="F300" s="386"/>
      <c r="G300" s="386"/>
      <c r="H300" s="386"/>
      <c r="I300" s="391">
        <f>J5</f>
        <v>2022</v>
      </c>
      <c r="J300" s="384">
        <f>K5</f>
        <v>2019</v>
      </c>
      <c r="K300" s="384">
        <f>L5</f>
        <v>2017</v>
      </c>
      <c r="L300" s="383">
        <v>2</v>
      </c>
      <c r="N300" s="382">
        <v>2</v>
      </c>
      <c r="O300" s="381" t="s">
        <v>335</v>
      </c>
      <c r="P300" s="390"/>
      <c r="Q300" s="390"/>
      <c r="R300" s="390"/>
      <c r="S300" s="390"/>
      <c r="T300" s="390"/>
      <c r="U300" s="390"/>
      <c r="V300" s="390"/>
      <c r="W300" s="390"/>
      <c r="X300" s="390"/>
      <c r="Y300" s="389"/>
    </row>
    <row r="301" spans="1:25" ht="13" x14ac:dyDescent="0.3">
      <c r="A301" s="388" t="s">
        <v>337</v>
      </c>
      <c r="B301" s="387"/>
      <c r="C301" s="387"/>
      <c r="D301" s="386"/>
      <c r="E301" s="386"/>
      <c r="F301" s="386"/>
      <c r="G301" s="386"/>
      <c r="H301" s="386"/>
      <c r="I301" s="391">
        <f>Q5</f>
        <v>2022</v>
      </c>
      <c r="J301" s="384">
        <f>R5</f>
        <v>2021</v>
      </c>
      <c r="K301" s="384">
        <f>S5</f>
        <v>2018</v>
      </c>
      <c r="L301" s="383">
        <v>3</v>
      </c>
      <c r="N301" s="382">
        <v>3</v>
      </c>
      <c r="O301" s="381" t="s">
        <v>335</v>
      </c>
      <c r="P301" s="390"/>
      <c r="Q301" s="390"/>
      <c r="R301" s="390"/>
      <c r="S301" s="390"/>
      <c r="T301" s="390"/>
      <c r="U301" s="390"/>
      <c r="V301" s="390"/>
      <c r="W301" s="390"/>
      <c r="X301" s="390"/>
      <c r="Y301" s="389"/>
    </row>
    <row r="302" spans="1:25" ht="13" x14ac:dyDescent="0.3">
      <c r="A302" s="388" t="s">
        <v>338</v>
      </c>
      <c r="B302" s="387"/>
      <c r="C302" s="387"/>
      <c r="D302" s="386"/>
      <c r="E302" s="386"/>
      <c r="F302" s="386"/>
      <c r="G302" s="386"/>
      <c r="H302" s="386"/>
      <c r="I302" s="391">
        <f>C36</f>
        <v>2022</v>
      </c>
      <c r="J302" s="384">
        <f>D36</f>
        <v>2021</v>
      </c>
      <c r="K302" s="384">
        <f>E36</f>
        <v>2019</v>
      </c>
      <c r="L302" s="383">
        <v>4</v>
      </c>
      <c r="N302" s="382">
        <v>4</v>
      </c>
      <c r="O302" s="381" t="s">
        <v>335</v>
      </c>
      <c r="P302" s="390"/>
      <c r="Q302" s="390"/>
      <c r="R302" s="390"/>
      <c r="S302" s="390"/>
      <c r="T302" s="390"/>
      <c r="U302" s="390"/>
      <c r="V302" s="390"/>
      <c r="W302" s="390"/>
      <c r="X302" s="390"/>
      <c r="Y302" s="389"/>
    </row>
    <row r="303" spans="1:25" ht="13" x14ac:dyDescent="0.3">
      <c r="A303" s="388" t="s">
        <v>339</v>
      </c>
      <c r="B303" s="387"/>
      <c r="C303" s="387"/>
      <c r="D303" s="386"/>
      <c r="E303" s="386"/>
      <c r="F303" s="386"/>
      <c r="G303" s="386"/>
      <c r="H303" s="386"/>
      <c r="I303" s="391">
        <f>J36</f>
        <v>2022</v>
      </c>
      <c r="J303" s="384">
        <f>K36</f>
        <v>2021</v>
      </c>
      <c r="K303" s="384">
        <f>L36</f>
        <v>2019</v>
      </c>
      <c r="L303" s="383">
        <v>5</v>
      </c>
      <c r="N303" s="382">
        <v>5</v>
      </c>
      <c r="O303" s="381" t="s">
        <v>335</v>
      </c>
      <c r="P303" s="390"/>
      <c r="Q303" s="390"/>
      <c r="R303" s="390"/>
      <c r="S303" s="390"/>
      <c r="T303" s="390"/>
      <c r="U303" s="390"/>
      <c r="V303" s="390"/>
      <c r="W303" s="390"/>
      <c r="X303" s="390"/>
      <c r="Y303" s="389"/>
    </row>
    <row r="304" spans="1:25" ht="13" x14ac:dyDescent="0.3">
      <c r="A304" s="388" t="s">
        <v>131</v>
      </c>
      <c r="B304" s="387"/>
      <c r="C304" s="387"/>
      <c r="D304" s="386"/>
      <c r="E304" s="386"/>
      <c r="F304" s="386"/>
      <c r="G304" s="386"/>
      <c r="H304" s="386"/>
      <c r="I304" s="391">
        <f>Q36</f>
        <v>2023</v>
      </c>
      <c r="J304" s="384">
        <f>R36</f>
        <v>2022</v>
      </c>
      <c r="K304" s="384">
        <f>S36</f>
        <v>2019</v>
      </c>
      <c r="L304" s="383">
        <v>6</v>
      </c>
      <c r="N304" s="382">
        <v>6</v>
      </c>
      <c r="O304" s="381" t="s">
        <v>335</v>
      </c>
      <c r="P304" s="390"/>
      <c r="Q304" s="390"/>
      <c r="R304" s="390"/>
      <c r="S304" s="390"/>
      <c r="T304" s="390"/>
      <c r="U304" s="390"/>
      <c r="V304" s="390"/>
      <c r="W304" s="390"/>
      <c r="X304" s="390"/>
      <c r="Y304" s="389"/>
    </row>
    <row r="305" spans="1:25" ht="13" x14ac:dyDescent="0.3">
      <c r="A305" s="388" t="s">
        <v>340</v>
      </c>
      <c r="B305" s="387"/>
      <c r="C305" s="387"/>
      <c r="D305" s="386"/>
      <c r="E305" s="386"/>
      <c r="F305" s="386"/>
      <c r="G305" s="386"/>
      <c r="H305" s="386"/>
      <c r="I305" s="391">
        <f>C67</f>
        <v>2023</v>
      </c>
      <c r="J305" s="384">
        <f>D67</f>
        <v>2022</v>
      </c>
      <c r="K305" s="384">
        <f>E67</f>
        <v>2020</v>
      </c>
      <c r="L305" s="383">
        <v>7</v>
      </c>
      <c r="N305" s="382">
        <v>7</v>
      </c>
      <c r="O305" s="381" t="s">
        <v>335</v>
      </c>
      <c r="P305" s="390"/>
      <c r="Q305" s="390"/>
      <c r="R305" s="390"/>
      <c r="S305" s="390"/>
      <c r="T305" s="390"/>
      <c r="U305" s="390"/>
      <c r="V305" s="390"/>
      <c r="W305" s="390"/>
      <c r="X305" s="390"/>
      <c r="Y305" s="389"/>
    </row>
    <row r="306" spans="1:25" ht="13" x14ac:dyDescent="0.3">
      <c r="A306" s="388" t="s">
        <v>341</v>
      </c>
      <c r="B306" s="387"/>
      <c r="C306" s="387"/>
      <c r="D306" s="386"/>
      <c r="E306" s="386"/>
      <c r="F306" s="386"/>
      <c r="G306" s="386"/>
      <c r="H306" s="386"/>
      <c r="I306" s="385">
        <f>J67</f>
        <v>2022</v>
      </c>
      <c r="J306" s="384">
        <f>K67</f>
        <v>2020</v>
      </c>
      <c r="K306" s="384">
        <f>L67</f>
        <v>2016</v>
      </c>
      <c r="L306" s="383">
        <v>8</v>
      </c>
      <c r="N306" s="382">
        <v>8</v>
      </c>
      <c r="O306" s="381" t="s">
        <v>335</v>
      </c>
      <c r="P306" s="390"/>
      <c r="Q306" s="390"/>
      <c r="R306" s="390"/>
      <c r="S306" s="390"/>
      <c r="T306" s="390"/>
      <c r="U306" s="390"/>
      <c r="V306" s="390"/>
      <c r="W306" s="390"/>
      <c r="X306" s="390"/>
      <c r="Y306" s="389"/>
    </row>
    <row r="307" spans="1:25" ht="13" x14ac:dyDescent="0.3">
      <c r="A307" s="388" t="s">
        <v>342</v>
      </c>
      <c r="B307" s="387"/>
      <c r="C307" s="387"/>
      <c r="D307" s="386"/>
      <c r="E307" s="386"/>
      <c r="F307" s="386"/>
      <c r="G307" s="386"/>
      <c r="H307" s="386"/>
      <c r="I307" s="385">
        <f>Q67</f>
        <v>2022</v>
      </c>
      <c r="J307" s="384">
        <f>R67</f>
        <v>2020</v>
      </c>
      <c r="K307" s="384">
        <f>S67</f>
        <v>2016</v>
      </c>
      <c r="L307" s="383">
        <v>9</v>
      </c>
      <c r="N307" s="382">
        <v>9</v>
      </c>
      <c r="O307" s="381" t="s">
        <v>335</v>
      </c>
      <c r="P307" s="390"/>
      <c r="Q307" s="390"/>
      <c r="R307" s="390"/>
      <c r="S307" s="390"/>
      <c r="T307" s="390"/>
      <c r="U307" s="390"/>
      <c r="V307" s="390"/>
      <c r="W307" s="390"/>
      <c r="X307" s="390"/>
      <c r="Y307" s="389"/>
    </row>
    <row r="308" spans="1:25" ht="13" x14ac:dyDescent="0.3">
      <c r="A308" s="388" t="s">
        <v>343</v>
      </c>
      <c r="B308" s="387"/>
      <c r="C308" s="387"/>
      <c r="D308" s="386"/>
      <c r="E308" s="386"/>
      <c r="F308" s="386"/>
      <c r="G308" s="386"/>
      <c r="H308" s="386"/>
      <c r="I308" s="385">
        <f>C98</f>
        <v>2021</v>
      </c>
      <c r="J308" s="384" t="str">
        <f>D98</f>
        <v>-</v>
      </c>
      <c r="K308" s="384">
        <f>E98</f>
        <v>2016</v>
      </c>
      <c r="L308" s="383">
        <v>10</v>
      </c>
      <c r="N308" s="382">
        <v>10</v>
      </c>
      <c r="O308" s="381" t="s">
        <v>335</v>
      </c>
      <c r="P308" s="380"/>
      <c r="Q308" s="380"/>
      <c r="R308" s="380"/>
      <c r="S308" s="380"/>
      <c r="T308" s="380"/>
      <c r="U308" s="380"/>
      <c r="V308" s="380"/>
      <c r="W308" s="380"/>
      <c r="X308" s="380"/>
      <c r="Y308" s="379"/>
    </row>
    <row r="309" spans="1:25" ht="13" x14ac:dyDescent="0.3">
      <c r="A309" s="388" t="s">
        <v>344</v>
      </c>
      <c r="B309" s="387"/>
      <c r="C309" s="387"/>
      <c r="D309" s="386"/>
      <c r="E309" s="386"/>
      <c r="F309" s="386"/>
      <c r="G309" s="386"/>
      <c r="H309" s="386"/>
      <c r="I309" s="385" t="str">
        <f>J98</f>
        <v>-</v>
      </c>
      <c r="J309" s="384" t="str">
        <f>K98</f>
        <v>-</v>
      </c>
      <c r="K309" s="384">
        <f>L98</f>
        <v>2016</v>
      </c>
      <c r="L309" s="383">
        <v>11</v>
      </c>
      <c r="N309" s="382">
        <v>11</v>
      </c>
      <c r="O309" s="381" t="s">
        <v>335</v>
      </c>
      <c r="P309" s="380"/>
      <c r="Q309" s="380"/>
      <c r="R309" s="380"/>
      <c r="S309" s="380"/>
      <c r="T309" s="380"/>
      <c r="U309" s="380"/>
      <c r="V309" s="380"/>
      <c r="W309" s="380"/>
      <c r="X309" s="380"/>
      <c r="Y309" s="379"/>
    </row>
    <row r="310" spans="1:25" ht="13" x14ac:dyDescent="0.3">
      <c r="A310" s="388" t="s">
        <v>345</v>
      </c>
      <c r="B310" s="387"/>
      <c r="C310" s="387"/>
      <c r="D310" s="386"/>
      <c r="E310" s="386"/>
      <c r="F310" s="386"/>
      <c r="G310" s="386"/>
      <c r="H310" s="386"/>
      <c r="I310" s="385" t="str">
        <f>Q98</f>
        <v>-</v>
      </c>
      <c r="J310" s="384" t="str">
        <f>R98</f>
        <v>-</v>
      </c>
      <c r="K310" s="384">
        <f>S98</f>
        <v>2016</v>
      </c>
      <c r="L310" s="383">
        <v>12</v>
      </c>
      <c r="N310" s="382">
        <v>12</v>
      </c>
      <c r="O310" s="381" t="s">
        <v>335</v>
      </c>
      <c r="P310" s="380"/>
      <c r="Q310" s="380"/>
      <c r="R310" s="380"/>
      <c r="S310" s="380"/>
      <c r="T310" s="380"/>
      <c r="U310" s="380"/>
      <c r="V310" s="380"/>
      <c r="W310" s="380"/>
      <c r="X310" s="380"/>
      <c r="Y310" s="379"/>
    </row>
    <row r="311" spans="1:25" ht="13.5" thickBot="1" x14ac:dyDescent="0.35">
      <c r="A311" s="866">
        <f>VLOOKUP(A298,A299:L310,12,(FALSE))</f>
        <v>6</v>
      </c>
      <c r="B311" s="867"/>
      <c r="C311" s="867"/>
      <c r="D311" s="867"/>
      <c r="E311" s="867"/>
      <c r="F311" s="867"/>
      <c r="G311" s="867"/>
      <c r="H311" s="867"/>
      <c r="I311" s="867"/>
      <c r="J311" s="867"/>
      <c r="K311" s="867"/>
      <c r="L311" s="868"/>
      <c r="N311" s="378" t="str">
        <f>VLOOKUP(N298,N299:Y310,2,FALSE)</f>
        <v>Hasil pengukuran keselamatan listrik tertelusur ke Satuan Internasional ( SI ) melalui PT. Kaliman (LK-032-IDN)</v>
      </c>
      <c r="O311" s="377"/>
      <c r="P311" s="377"/>
      <c r="Q311" s="377"/>
      <c r="R311" s="377"/>
      <c r="S311" s="377"/>
      <c r="T311" s="377"/>
      <c r="U311" s="377"/>
      <c r="V311" s="377"/>
      <c r="W311" s="377"/>
      <c r="X311" s="377"/>
      <c r="Y311" s="376"/>
    </row>
  </sheetData>
  <mergeCells count="239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B4:E4"/>
    <mergeCell ref="F4:F5"/>
    <mergeCell ref="G4:G5"/>
    <mergeCell ref="I4:L4"/>
    <mergeCell ref="M4:M5"/>
    <mergeCell ref="N4:N5"/>
    <mergeCell ref="P4:S4"/>
    <mergeCell ref="T4:T5"/>
    <mergeCell ref="U4:U5"/>
    <mergeCell ref="T12:T13"/>
    <mergeCell ref="U12:U13"/>
    <mergeCell ref="B20:E20"/>
    <mergeCell ref="F20:F21"/>
    <mergeCell ref="G20:G21"/>
    <mergeCell ref="O33:O62"/>
    <mergeCell ref="I20:L20"/>
    <mergeCell ref="M20:M21"/>
    <mergeCell ref="N20:N21"/>
    <mergeCell ref="P20:S20"/>
    <mergeCell ref="T20:T21"/>
    <mergeCell ref="B12:E12"/>
    <mergeCell ref="F12:F13"/>
    <mergeCell ref="G12:G13"/>
    <mergeCell ref="I12:L12"/>
    <mergeCell ref="M12:M13"/>
    <mergeCell ref="N12:N13"/>
    <mergeCell ref="P12:S12"/>
    <mergeCell ref="I33:N33"/>
    <mergeCell ref="G43:G44"/>
    <mergeCell ref="I43:L43"/>
    <mergeCell ref="M43:M44"/>
    <mergeCell ref="N43:N44"/>
    <mergeCell ref="P43:S43"/>
    <mergeCell ref="T43:T44"/>
    <mergeCell ref="B34:G34"/>
    <mergeCell ref="I34:N34"/>
    <mergeCell ref="P34:U34"/>
    <mergeCell ref="B35:E35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U43:U44"/>
    <mergeCell ref="N35:N36"/>
    <mergeCell ref="P35:S35"/>
    <mergeCell ref="P33:U33"/>
    <mergeCell ref="T35:T36"/>
    <mergeCell ref="U35:U36"/>
    <mergeCell ref="B43:E43"/>
    <mergeCell ref="F43:F44"/>
    <mergeCell ref="T66:T67"/>
    <mergeCell ref="U66:U67"/>
    <mergeCell ref="N51:N52"/>
    <mergeCell ref="P51:S51"/>
    <mergeCell ref="T51:T52"/>
    <mergeCell ref="U51:U52"/>
    <mergeCell ref="P57:S57"/>
    <mergeCell ref="T57:T58"/>
    <mergeCell ref="U57:U58"/>
    <mergeCell ref="B51:E51"/>
    <mergeCell ref="F51:F52"/>
    <mergeCell ref="G51:G52"/>
    <mergeCell ref="I51:L51"/>
    <mergeCell ref="M51:M52"/>
    <mergeCell ref="F35:F36"/>
    <mergeCell ref="G35:G36"/>
    <mergeCell ref="I35:L35"/>
    <mergeCell ref="M35:M36"/>
    <mergeCell ref="H33:H62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B57:E57"/>
    <mergeCell ref="F57:F58"/>
    <mergeCell ref="G57:G58"/>
    <mergeCell ref="I57:L57"/>
    <mergeCell ref="M57:M58"/>
    <mergeCell ref="N57:N58"/>
    <mergeCell ref="A64:A93"/>
    <mergeCell ref="B64:G64"/>
    <mergeCell ref="H64:H93"/>
    <mergeCell ref="I64:N64"/>
    <mergeCell ref="O64:O93"/>
    <mergeCell ref="P64:U64"/>
    <mergeCell ref="B65:G65"/>
    <mergeCell ref="P66:S66"/>
    <mergeCell ref="P74:S74"/>
    <mergeCell ref="T74:T75"/>
    <mergeCell ref="U74:U75"/>
    <mergeCell ref="P82:S82"/>
    <mergeCell ref="T82:T83"/>
    <mergeCell ref="U82:U83"/>
    <mergeCell ref="B74:E74"/>
    <mergeCell ref="F74:F75"/>
    <mergeCell ref="G74:G75"/>
    <mergeCell ref="I74:L74"/>
    <mergeCell ref="M74:M75"/>
    <mergeCell ref="N74:N75"/>
    <mergeCell ref="B82:E82"/>
    <mergeCell ref="F82:F83"/>
    <mergeCell ref="G82:G83"/>
    <mergeCell ref="I82:L82"/>
    <mergeCell ref="M82:M83"/>
    <mergeCell ref="N82:N83"/>
    <mergeCell ref="B88:E88"/>
    <mergeCell ref="F88:F89"/>
    <mergeCell ref="G88:G89"/>
    <mergeCell ref="I88:L88"/>
    <mergeCell ref="M88:M89"/>
    <mergeCell ref="N88:N89"/>
    <mergeCell ref="T88:T89"/>
    <mergeCell ref="U88:U89"/>
    <mergeCell ref="F105:F106"/>
    <mergeCell ref="G105:G106"/>
    <mergeCell ref="I105:L105"/>
    <mergeCell ref="M105:M106"/>
    <mergeCell ref="N105:N106"/>
    <mergeCell ref="M97:M98"/>
    <mergeCell ref="N97:N98"/>
    <mergeCell ref="P97:S97"/>
    <mergeCell ref="P88:S88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U119:U120"/>
    <mergeCell ref="A131:A142"/>
    <mergeCell ref="J131:J142"/>
    <mergeCell ref="A144:A155"/>
    <mergeCell ref="J144:J155"/>
    <mergeCell ref="A157:A168"/>
    <mergeCell ref="J157:J168"/>
    <mergeCell ref="T97:T98"/>
    <mergeCell ref="U97:U98"/>
    <mergeCell ref="P105:S105"/>
    <mergeCell ref="T105:T106"/>
    <mergeCell ref="U105:U106"/>
    <mergeCell ref="B105:E105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B113:E113"/>
    <mergeCell ref="F113:F114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L129:O129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A209:A211"/>
    <mergeCell ref="B209:B211"/>
    <mergeCell ref="C209:H209"/>
    <mergeCell ref="J209:J211"/>
    <mergeCell ref="A251:A262"/>
    <mergeCell ref="J251:J262"/>
    <mergeCell ref="A212:A223"/>
    <mergeCell ref="J212:J223"/>
    <mergeCell ref="A225:A236"/>
    <mergeCell ref="J225:J236"/>
    <mergeCell ref="A238:A249"/>
    <mergeCell ref="J238:J249"/>
    <mergeCell ref="H293:K293"/>
    <mergeCell ref="N298:Y298"/>
    <mergeCell ref="A311:L311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H271:J271"/>
    <mergeCell ref="H274:J274"/>
    <mergeCell ref="A275:D275"/>
    <mergeCell ref="H277:K277"/>
    <mergeCell ref="H281:K281"/>
    <mergeCell ref="A283:D283"/>
    <mergeCell ref="H285:K285"/>
    <mergeCell ref="A289:D289"/>
    <mergeCell ref="H289:K289"/>
  </mergeCells>
  <pageMargins left="0.7" right="0.7" top="0.75" bottom="0.75" header="0.3" footer="0.3"/>
  <pageSetup paperSize="9" scale="3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6549-11FC-4B87-BFB1-83A7D6DB1992}">
  <dimension ref="A1:AL410"/>
  <sheetViews>
    <sheetView view="pageBreakPreview" topLeftCell="A122" zoomScaleNormal="100" zoomScaleSheetLayoutView="100" workbookViewId="0">
      <selection activeCell="R397" sqref="R397"/>
    </sheetView>
  </sheetViews>
  <sheetFormatPr defaultColWidth="8.7265625" defaultRowHeight="12.5" x14ac:dyDescent="0.25"/>
  <cols>
    <col min="1" max="16384" width="8.7265625" style="375"/>
  </cols>
  <sheetData>
    <row r="1" spans="1:24" ht="18" thickBot="1" x14ac:dyDescent="0.3">
      <c r="A1" s="924" t="s">
        <v>346</v>
      </c>
      <c r="B1" s="925"/>
      <c r="C1" s="925"/>
      <c r="D1" s="925"/>
      <c r="E1" s="925"/>
      <c r="F1" s="925"/>
      <c r="G1" s="925"/>
      <c r="H1" s="925"/>
      <c r="I1" s="925"/>
      <c r="J1" s="925"/>
      <c r="K1" s="925"/>
      <c r="L1" s="925"/>
      <c r="M1" s="925"/>
      <c r="N1" s="925"/>
      <c r="O1" s="925"/>
      <c r="P1" s="925"/>
      <c r="Q1" s="925"/>
      <c r="R1" s="925"/>
      <c r="S1" s="925"/>
      <c r="T1" s="925"/>
      <c r="U1" s="925"/>
    </row>
    <row r="2" spans="1:24" x14ac:dyDescent="0.25">
      <c r="A2" s="922">
        <v>1</v>
      </c>
      <c r="B2" s="923" t="s">
        <v>347</v>
      </c>
      <c r="C2" s="923"/>
      <c r="D2" s="923"/>
      <c r="E2" s="923"/>
      <c r="F2" s="923"/>
      <c r="G2" s="923"/>
      <c r="I2" s="923" t="str">
        <f>B2</f>
        <v>KOREKSI KIMO THERMOHYGROMETER 15062873</v>
      </c>
      <c r="J2" s="923"/>
      <c r="K2" s="923"/>
      <c r="L2" s="923"/>
      <c r="M2" s="923"/>
      <c r="N2" s="923"/>
      <c r="P2" s="923" t="str">
        <f>I2</f>
        <v>KOREKSI KIMO THERMOHYGROMETER 15062873</v>
      </c>
      <c r="Q2" s="923"/>
      <c r="R2" s="923"/>
      <c r="S2" s="923"/>
      <c r="T2" s="923"/>
      <c r="U2" s="923"/>
      <c r="W2" s="917" t="s">
        <v>240</v>
      </c>
      <c r="X2" s="918"/>
    </row>
    <row r="3" spans="1:24" ht="13" x14ac:dyDescent="0.25">
      <c r="A3" s="922"/>
      <c r="B3" s="919" t="s">
        <v>348</v>
      </c>
      <c r="C3" s="919"/>
      <c r="D3" s="919" t="s">
        <v>349</v>
      </c>
      <c r="E3" s="919"/>
      <c r="F3" s="919"/>
      <c r="G3" s="919" t="s">
        <v>350</v>
      </c>
      <c r="I3" s="919" t="s">
        <v>351</v>
      </c>
      <c r="J3" s="919"/>
      <c r="K3" s="919" t="s">
        <v>349</v>
      </c>
      <c r="L3" s="919"/>
      <c r="M3" s="919"/>
      <c r="N3" s="919" t="s">
        <v>350</v>
      </c>
      <c r="P3" s="919" t="s">
        <v>352</v>
      </c>
      <c r="Q3" s="919"/>
      <c r="R3" s="919" t="s">
        <v>349</v>
      </c>
      <c r="S3" s="919"/>
      <c r="T3" s="919"/>
      <c r="U3" s="919" t="s">
        <v>350</v>
      </c>
      <c r="W3" s="501" t="s">
        <v>348</v>
      </c>
      <c r="X3" s="502">
        <v>0.6</v>
      </c>
    </row>
    <row r="4" spans="1:24" ht="14.5" x14ac:dyDescent="0.25">
      <c r="A4" s="922"/>
      <c r="B4" s="920" t="s">
        <v>353</v>
      </c>
      <c r="C4" s="920"/>
      <c r="D4" s="503">
        <v>2020</v>
      </c>
      <c r="E4" s="503">
        <v>2017</v>
      </c>
      <c r="F4" s="503">
        <v>2016</v>
      </c>
      <c r="G4" s="919"/>
      <c r="I4" s="921" t="s">
        <v>32</v>
      </c>
      <c r="J4" s="920"/>
      <c r="K4" s="503">
        <f>D4</f>
        <v>2020</v>
      </c>
      <c r="L4" s="503">
        <f>E4</f>
        <v>2017</v>
      </c>
      <c r="M4" s="503">
        <v>2016</v>
      </c>
      <c r="N4" s="919"/>
      <c r="P4" s="921" t="s">
        <v>354</v>
      </c>
      <c r="Q4" s="920"/>
      <c r="R4" s="503">
        <f>K4</f>
        <v>2020</v>
      </c>
      <c r="S4" s="503">
        <f>L4</f>
        <v>2017</v>
      </c>
      <c r="T4" s="503">
        <v>2016</v>
      </c>
      <c r="U4" s="919"/>
      <c r="W4" s="501" t="s">
        <v>32</v>
      </c>
      <c r="X4" s="502">
        <v>3.1</v>
      </c>
    </row>
    <row r="5" spans="1:24" ht="13.5" thickBot="1" x14ac:dyDescent="0.3">
      <c r="A5" s="922"/>
      <c r="B5" s="480">
        <v>1</v>
      </c>
      <c r="C5" s="504">
        <v>15</v>
      </c>
      <c r="D5" s="504">
        <v>-0.5</v>
      </c>
      <c r="E5" s="504">
        <v>0.3</v>
      </c>
      <c r="F5" s="504">
        <v>0</v>
      </c>
      <c r="G5" s="505">
        <f>0.5*(MAX(D5:F5)-MIN(D5:F5))</f>
        <v>0.4</v>
      </c>
      <c r="I5" s="480">
        <v>1</v>
      </c>
      <c r="J5" s="504">
        <v>35</v>
      </c>
      <c r="K5" s="504">
        <v>-6</v>
      </c>
      <c r="L5" s="504">
        <v>-9.4</v>
      </c>
      <c r="M5" s="506"/>
      <c r="N5" s="505">
        <f>0.5*(MAX(K5:M5)-MIN(K5:M5))</f>
        <v>1.7000000000000002</v>
      </c>
      <c r="P5" s="480">
        <v>1</v>
      </c>
      <c r="Q5" s="504">
        <v>750</v>
      </c>
      <c r="R5" s="507" t="s">
        <v>115</v>
      </c>
      <c r="S5" s="507" t="s">
        <v>115</v>
      </c>
      <c r="T5" s="508"/>
      <c r="U5" s="505">
        <f>0.5*(MAX(R5:T5)-MIN(R5:T5))</f>
        <v>0</v>
      </c>
      <c r="W5" s="509" t="s">
        <v>354</v>
      </c>
      <c r="X5" s="510">
        <v>0</v>
      </c>
    </row>
    <row r="6" spans="1:24" ht="13" x14ac:dyDescent="0.25">
      <c r="A6" s="922"/>
      <c r="B6" s="480">
        <v>2</v>
      </c>
      <c r="C6" s="504">
        <v>20</v>
      </c>
      <c r="D6" s="504">
        <v>-0.2</v>
      </c>
      <c r="E6" s="504">
        <v>0.2</v>
      </c>
      <c r="F6" s="504">
        <v>0</v>
      </c>
      <c r="G6" s="505">
        <f t="shared" ref="G6:G11" si="0">0.5*(MAX(D6:F6)-MIN(D6:F6))</f>
        <v>0.2</v>
      </c>
      <c r="I6" s="480">
        <v>2</v>
      </c>
      <c r="J6" s="504">
        <v>40</v>
      </c>
      <c r="K6" s="504">
        <v>-6</v>
      </c>
      <c r="L6" s="504">
        <v>-8.6</v>
      </c>
      <c r="M6" s="506"/>
      <c r="N6" s="505">
        <f t="shared" ref="N6:N11" si="1">0.5*(MAX(K6:M6)-MIN(K6:M6))</f>
        <v>1.2999999999999998</v>
      </c>
      <c r="P6" s="480">
        <v>2</v>
      </c>
      <c r="Q6" s="504">
        <v>800</v>
      </c>
      <c r="R6" s="507" t="s">
        <v>115</v>
      </c>
      <c r="S6" s="507" t="s">
        <v>115</v>
      </c>
      <c r="T6" s="508"/>
      <c r="U6" s="505">
        <f t="shared" ref="U6:U11" si="2">0.5*(MAX(R6:T6)-MIN(R6:T6))</f>
        <v>0</v>
      </c>
    </row>
    <row r="7" spans="1:24" ht="13" x14ac:dyDescent="0.25">
      <c r="A7" s="922"/>
      <c r="B7" s="480">
        <v>3</v>
      </c>
      <c r="C7" s="504">
        <v>25</v>
      </c>
      <c r="D7" s="504">
        <v>9.9999999999999995E-7</v>
      </c>
      <c r="E7" s="504">
        <v>0.1</v>
      </c>
      <c r="F7" s="504">
        <v>0</v>
      </c>
      <c r="G7" s="505">
        <f t="shared" si="0"/>
        <v>0.05</v>
      </c>
      <c r="I7" s="480">
        <v>3</v>
      </c>
      <c r="J7" s="504">
        <v>50</v>
      </c>
      <c r="K7" s="504">
        <v>-5.8</v>
      </c>
      <c r="L7" s="504">
        <v>-7.2</v>
      </c>
      <c r="M7" s="506"/>
      <c r="N7" s="505">
        <f t="shared" si="1"/>
        <v>0.70000000000000018</v>
      </c>
      <c r="P7" s="480">
        <v>3</v>
      </c>
      <c r="Q7" s="504">
        <v>850</v>
      </c>
      <c r="R7" s="507" t="s">
        <v>115</v>
      </c>
      <c r="S7" s="507" t="s">
        <v>115</v>
      </c>
      <c r="T7" s="508"/>
      <c r="U7" s="505">
        <f t="shared" si="2"/>
        <v>0</v>
      </c>
    </row>
    <row r="8" spans="1:24" ht="13" x14ac:dyDescent="0.25">
      <c r="A8" s="922"/>
      <c r="B8" s="480">
        <v>4</v>
      </c>
      <c r="C8" s="511">
        <v>30</v>
      </c>
      <c r="D8" s="504">
        <v>9.9999999999999995E-7</v>
      </c>
      <c r="E8" s="512">
        <v>-0.2</v>
      </c>
      <c r="F8" s="504">
        <v>0</v>
      </c>
      <c r="G8" s="505">
        <f t="shared" si="0"/>
        <v>0.10000050000000001</v>
      </c>
      <c r="I8" s="480">
        <v>4</v>
      </c>
      <c r="J8" s="511">
        <v>60</v>
      </c>
      <c r="K8" s="512">
        <v>-5.3</v>
      </c>
      <c r="L8" s="512">
        <v>-5.2</v>
      </c>
      <c r="M8" s="506"/>
      <c r="N8" s="505">
        <f t="shared" si="1"/>
        <v>4.9999999999999822E-2</v>
      </c>
      <c r="P8" s="480">
        <v>4</v>
      </c>
      <c r="Q8" s="511">
        <v>900</v>
      </c>
      <c r="R8" s="512" t="s">
        <v>115</v>
      </c>
      <c r="S8" s="512" t="s">
        <v>115</v>
      </c>
      <c r="T8" s="508"/>
      <c r="U8" s="505">
        <f t="shared" si="2"/>
        <v>0</v>
      </c>
    </row>
    <row r="9" spans="1:24" ht="13" x14ac:dyDescent="0.25">
      <c r="A9" s="922"/>
      <c r="B9" s="480">
        <v>5</v>
      </c>
      <c r="C9" s="511">
        <v>35</v>
      </c>
      <c r="D9" s="512">
        <v>-0.1</v>
      </c>
      <c r="E9" s="512">
        <v>-0.5</v>
      </c>
      <c r="F9" s="504">
        <v>0</v>
      </c>
      <c r="G9" s="505">
        <f t="shared" si="0"/>
        <v>0.25</v>
      </c>
      <c r="I9" s="480">
        <v>5</v>
      </c>
      <c r="J9" s="511">
        <v>70</v>
      </c>
      <c r="K9" s="512">
        <v>-4.4000000000000004</v>
      </c>
      <c r="L9" s="512">
        <v>-2.6</v>
      </c>
      <c r="M9" s="506"/>
      <c r="N9" s="505">
        <f t="shared" si="1"/>
        <v>0.90000000000000013</v>
      </c>
      <c r="P9" s="480">
        <v>5</v>
      </c>
      <c r="Q9" s="511">
        <v>1000</v>
      </c>
      <c r="R9" s="512" t="s">
        <v>115</v>
      </c>
      <c r="S9" s="512" t="s">
        <v>115</v>
      </c>
      <c r="T9" s="508"/>
      <c r="U9" s="505">
        <f t="shared" si="2"/>
        <v>0</v>
      </c>
    </row>
    <row r="10" spans="1:24" ht="13" x14ac:dyDescent="0.25">
      <c r="A10" s="922"/>
      <c r="B10" s="480">
        <v>6</v>
      </c>
      <c r="C10" s="511">
        <v>37</v>
      </c>
      <c r="D10" s="512">
        <v>-0.2</v>
      </c>
      <c r="E10" s="512">
        <v>-0.6</v>
      </c>
      <c r="F10" s="504">
        <v>0</v>
      </c>
      <c r="G10" s="505">
        <f t="shared" si="0"/>
        <v>0.3</v>
      </c>
      <c r="I10" s="480">
        <v>6</v>
      </c>
      <c r="J10" s="511">
        <v>80</v>
      </c>
      <c r="K10" s="512">
        <v>-3.2</v>
      </c>
      <c r="L10" s="512">
        <v>0.7</v>
      </c>
      <c r="M10" s="506"/>
      <c r="N10" s="505">
        <f t="shared" si="1"/>
        <v>1.9500000000000002</v>
      </c>
      <c r="P10" s="480">
        <v>6</v>
      </c>
      <c r="Q10" s="511">
        <v>1005</v>
      </c>
      <c r="R10" s="512" t="s">
        <v>115</v>
      </c>
      <c r="S10" s="512" t="s">
        <v>115</v>
      </c>
      <c r="T10" s="508"/>
      <c r="U10" s="505">
        <f t="shared" si="2"/>
        <v>0</v>
      </c>
    </row>
    <row r="11" spans="1:24" ht="13.5" thickBot="1" x14ac:dyDescent="0.3">
      <c r="A11" s="922"/>
      <c r="B11" s="480">
        <v>7</v>
      </c>
      <c r="C11" s="511">
        <v>40</v>
      </c>
      <c r="D11" s="512">
        <v>-0.3</v>
      </c>
      <c r="E11" s="512">
        <v>-0.8</v>
      </c>
      <c r="F11" s="504">
        <v>0</v>
      </c>
      <c r="G11" s="505">
        <f t="shared" si="0"/>
        <v>0.4</v>
      </c>
      <c r="I11" s="480">
        <v>7</v>
      </c>
      <c r="J11" s="511">
        <v>90</v>
      </c>
      <c r="K11" s="512">
        <v>-1.6</v>
      </c>
      <c r="L11" s="512">
        <v>4.5</v>
      </c>
      <c r="M11" s="506"/>
      <c r="N11" s="505">
        <f t="shared" si="1"/>
        <v>3.05</v>
      </c>
      <c r="P11" s="480">
        <v>7</v>
      </c>
      <c r="Q11" s="511">
        <v>1020</v>
      </c>
      <c r="R11" s="512" t="s">
        <v>115</v>
      </c>
      <c r="S11" s="512" t="s">
        <v>115</v>
      </c>
      <c r="T11" s="508"/>
      <c r="U11" s="505">
        <f t="shared" si="2"/>
        <v>0</v>
      </c>
    </row>
    <row r="12" spans="1:24" ht="13.5" thickBot="1" x14ac:dyDescent="0.35">
      <c r="A12" s="455"/>
      <c r="B12" s="455"/>
      <c r="O12" s="513"/>
      <c r="P12" s="514"/>
    </row>
    <row r="13" spans="1:24" x14ac:dyDescent="0.25">
      <c r="A13" s="922">
        <v>2</v>
      </c>
      <c r="B13" s="923" t="s">
        <v>355</v>
      </c>
      <c r="C13" s="923"/>
      <c r="D13" s="923"/>
      <c r="E13" s="923"/>
      <c r="F13" s="923"/>
      <c r="G13" s="923"/>
      <c r="I13" s="923" t="str">
        <f>B13</f>
        <v>KOREKSI KIMO THERMOHYGROMETER 15062874</v>
      </c>
      <c r="J13" s="923"/>
      <c r="K13" s="923"/>
      <c r="L13" s="923"/>
      <c r="M13" s="923"/>
      <c r="N13" s="923"/>
      <c r="P13" s="923" t="str">
        <f>I13</f>
        <v>KOREKSI KIMO THERMOHYGROMETER 15062874</v>
      </c>
      <c r="Q13" s="923"/>
      <c r="R13" s="923"/>
      <c r="S13" s="923"/>
      <c r="T13" s="923"/>
      <c r="U13" s="923"/>
      <c r="W13" s="917" t="s">
        <v>240</v>
      </c>
      <c r="X13" s="918"/>
    </row>
    <row r="14" spans="1:24" ht="13" x14ac:dyDescent="0.25">
      <c r="A14" s="922"/>
      <c r="B14" s="919" t="s">
        <v>348</v>
      </c>
      <c r="C14" s="919"/>
      <c r="D14" s="919" t="s">
        <v>349</v>
      </c>
      <c r="E14" s="919"/>
      <c r="F14" s="919"/>
      <c r="G14" s="919" t="s">
        <v>350</v>
      </c>
      <c r="I14" s="919" t="s">
        <v>351</v>
      </c>
      <c r="J14" s="919"/>
      <c r="K14" s="919" t="s">
        <v>349</v>
      </c>
      <c r="L14" s="919"/>
      <c r="M14" s="919"/>
      <c r="N14" s="919" t="s">
        <v>350</v>
      </c>
      <c r="P14" s="919" t="s">
        <v>352</v>
      </c>
      <c r="Q14" s="919"/>
      <c r="R14" s="919" t="s">
        <v>349</v>
      </c>
      <c r="S14" s="919"/>
      <c r="T14" s="919"/>
      <c r="U14" s="919" t="s">
        <v>350</v>
      </c>
      <c r="W14" s="501" t="s">
        <v>348</v>
      </c>
      <c r="X14" s="502">
        <v>0.5</v>
      </c>
    </row>
    <row r="15" spans="1:24" ht="14.5" x14ac:dyDescent="0.25">
      <c r="A15" s="922"/>
      <c r="B15" s="920" t="s">
        <v>353</v>
      </c>
      <c r="C15" s="920"/>
      <c r="D15" s="503">
        <v>2023</v>
      </c>
      <c r="E15" s="503">
        <v>2021</v>
      </c>
      <c r="F15" s="503">
        <v>2018</v>
      </c>
      <c r="G15" s="919"/>
      <c r="I15" s="921" t="s">
        <v>32</v>
      </c>
      <c r="J15" s="920"/>
      <c r="K15" s="503">
        <f>D15</f>
        <v>2023</v>
      </c>
      <c r="L15" s="503">
        <f>E15</f>
        <v>2021</v>
      </c>
      <c r="M15" s="503">
        <v>2016</v>
      </c>
      <c r="N15" s="919"/>
      <c r="P15" s="921" t="s">
        <v>354</v>
      </c>
      <c r="Q15" s="920"/>
      <c r="R15" s="503">
        <f>K15</f>
        <v>2023</v>
      </c>
      <c r="S15" s="503">
        <f>L15</f>
        <v>2021</v>
      </c>
      <c r="T15" s="503">
        <v>2016</v>
      </c>
      <c r="U15" s="919"/>
      <c r="W15" s="501" t="s">
        <v>32</v>
      </c>
      <c r="X15" s="502">
        <v>3.3</v>
      </c>
    </row>
    <row r="16" spans="1:24" ht="13.5" thickBot="1" x14ac:dyDescent="0.3">
      <c r="A16" s="922"/>
      <c r="B16" s="480">
        <v>1</v>
      </c>
      <c r="C16" s="504">
        <v>15</v>
      </c>
      <c r="D16" s="504">
        <v>0.2</v>
      </c>
      <c r="E16" s="504">
        <v>0.4</v>
      </c>
      <c r="F16" s="504">
        <v>9.9999999999999995E-7</v>
      </c>
      <c r="G16" s="505">
        <f>0.5*(MAX(D16:F16)-MIN(D16:F16))</f>
        <v>0.19999950000000002</v>
      </c>
      <c r="I16" s="480">
        <v>1</v>
      </c>
      <c r="J16" s="504">
        <v>35</v>
      </c>
      <c r="K16" s="504">
        <v>-12.6</v>
      </c>
      <c r="L16" s="504">
        <v>-6.9</v>
      </c>
      <c r="M16" s="504">
        <v>-1.6</v>
      </c>
      <c r="N16" s="505">
        <f>0.5*(MAX(K16:M16)-MIN(K16:M16))</f>
        <v>5.5</v>
      </c>
      <c r="P16" s="480">
        <v>1</v>
      </c>
      <c r="Q16" s="504">
        <v>750</v>
      </c>
      <c r="R16" s="507" t="s">
        <v>115</v>
      </c>
      <c r="S16" s="507" t="s">
        <v>115</v>
      </c>
      <c r="T16" s="508"/>
      <c r="U16" s="505">
        <f>0.5*(MAX(R16:T16)-MIN(R16:T16))</f>
        <v>0</v>
      </c>
      <c r="W16" s="509" t="s">
        <v>354</v>
      </c>
      <c r="X16" s="510">
        <v>0</v>
      </c>
    </row>
    <row r="17" spans="1:24" ht="13" x14ac:dyDescent="0.25">
      <c r="A17" s="922"/>
      <c r="B17" s="480">
        <v>2</v>
      </c>
      <c r="C17" s="504">
        <v>20</v>
      </c>
      <c r="D17" s="504">
        <v>0.2</v>
      </c>
      <c r="E17" s="504">
        <v>0.7</v>
      </c>
      <c r="F17" s="504">
        <v>-0.1</v>
      </c>
      <c r="G17" s="505">
        <f t="shared" ref="G17:G22" si="3">0.5*(MAX(D17:F17)-MIN(D17:F17))</f>
        <v>0.39999999999999997</v>
      </c>
      <c r="I17" s="480">
        <v>2</v>
      </c>
      <c r="J17" s="504">
        <v>40</v>
      </c>
      <c r="K17" s="504">
        <v>-10.3</v>
      </c>
      <c r="L17" s="504">
        <v>-6.2</v>
      </c>
      <c r="M17" s="504">
        <v>-1.6</v>
      </c>
      <c r="N17" s="505">
        <f t="shared" ref="N17:N22" si="4">0.5*(MAX(K17:M17)-MIN(K17:M17))</f>
        <v>4.3500000000000005</v>
      </c>
      <c r="P17" s="480">
        <v>2</v>
      </c>
      <c r="Q17" s="504">
        <v>800</v>
      </c>
      <c r="R17" s="507" t="s">
        <v>115</v>
      </c>
      <c r="S17" s="507" t="s">
        <v>115</v>
      </c>
      <c r="T17" s="508"/>
      <c r="U17" s="505">
        <f t="shared" ref="U17:U22" si="5">0.5*(MAX(R17:T17)-MIN(R17:T17))</f>
        <v>0</v>
      </c>
    </row>
    <row r="18" spans="1:24" ht="13" x14ac:dyDescent="0.25">
      <c r="A18" s="922"/>
      <c r="B18" s="480">
        <v>3</v>
      </c>
      <c r="C18" s="504">
        <v>25</v>
      </c>
      <c r="D18" s="504">
        <v>0.3</v>
      </c>
      <c r="E18" s="504">
        <v>0.5</v>
      </c>
      <c r="F18" s="504">
        <v>-0.2</v>
      </c>
      <c r="G18" s="505">
        <f t="shared" si="3"/>
        <v>0.35</v>
      </c>
      <c r="I18" s="480">
        <v>3</v>
      </c>
      <c r="J18" s="504">
        <v>50</v>
      </c>
      <c r="K18" s="504">
        <v>-8</v>
      </c>
      <c r="L18" s="504">
        <v>-5.3</v>
      </c>
      <c r="M18" s="504">
        <v>-1.5</v>
      </c>
      <c r="N18" s="505">
        <f t="shared" si="4"/>
        <v>3.25</v>
      </c>
      <c r="P18" s="480">
        <v>3</v>
      </c>
      <c r="Q18" s="504">
        <v>850</v>
      </c>
      <c r="R18" s="507" t="s">
        <v>115</v>
      </c>
      <c r="S18" s="507" t="s">
        <v>115</v>
      </c>
      <c r="T18" s="508"/>
      <c r="U18" s="505">
        <f t="shared" si="5"/>
        <v>0</v>
      </c>
    </row>
    <row r="19" spans="1:24" ht="13" x14ac:dyDescent="0.25">
      <c r="A19" s="922"/>
      <c r="B19" s="480">
        <v>4</v>
      </c>
      <c r="C19" s="511">
        <v>30</v>
      </c>
      <c r="D19" s="512">
        <v>0.4</v>
      </c>
      <c r="E19" s="512">
        <v>0.2</v>
      </c>
      <c r="F19" s="512">
        <v>-0.3</v>
      </c>
      <c r="G19" s="505">
        <f t="shared" si="3"/>
        <v>0.35</v>
      </c>
      <c r="I19" s="480">
        <v>4</v>
      </c>
      <c r="J19" s="511">
        <v>60</v>
      </c>
      <c r="K19" s="512">
        <v>-5.7</v>
      </c>
      <c r="L19" s="512">
        <v>-4</v>
      </c>
      <c r="M19" s="512">
        <v>-1.3</v>
      </c>
      <c r="N19" s="505">
        <f t="shared" si="4"/>
        <v>2.2000000000000002</v>
      </c>
      <c r="P19" s="480">
        <v>4</v>
      </c>
      <c r="Q19" s="511">
        <v>900</v>
      </c>
      <c r="R19" s="512" t="s">
        <v>115</v>
      </c>
      <c r="S19" s="512" t="s">
        <v>115</v>
      </c>
      <c r="T19" s="508"/>
      <c r="U19" s="505">
        <f t="shared" si="5"/>
        <v>0</v>
      </c>
    </row>
    <row r="20" spans="1:24" ht="13" x14ac:dyDescent="0.25">
      <c r="A20" s="922"/>
      <c r="B20" s="480">
        <v>5</v>
      </c>
      <c r="C20" s="511">
        <v>35</v>
      </c>
      <c r="D20" s="512">
        <v>0.5</v>
      </c>
      <c r="E20" s="512">
        <v>-0.1</v>
      </c>
      <c r="F20" s="512">
        <v>-0.3</v>
      </c>
      <c r="G20" s="505">
        <f t="shared" si="3"/>
        <v>0.4</v>
      </c>
      <c r="I20" s="480">
        <v>5</v>
      </c>
      <c r="J20" s="511">
        <v>70</v>
      </c>
      <c r="K20" s="512">
        <v>-3.4</v>
      </c>
      <c r="L20" s="512">
        <v>-2.4</v>
      </c>
      <c r="M20" s="512">
        <v>-1.1000000000000001</v>
      </c>
      <c r="N20" s="505">
        <f t="shared" si="4"/>
        <v>1.1499999999999999</v>
      </c>
      <c r="P20" s="480">
        <v>5</v>
      </c>
      <c r="Q20" s="511">
        <v>1000</v>
      </c>
      <c r="R20" s="512" t="s">
        <v>115</v>
      </c>
      <c r="S20" s="512" t="s">
        <v>115</v>
      </c>
      <c r="T20" s="508"/>
      <c r="U20" s="505">
        <f t="shared" si="5"/>
        <v>0</v>
      </c>
    </row>
    <row r="21" spans="1:24" ht="13" x14ac:dyDescent="0.25">
      <c r="A21" s="922"/>
      <c r="B21" s="480">
        <v>6</v>
      </c>
      <c r="C21" s="511">
        <v>37</v>
      </c>
      <c r="D21" s="512">
        <v>0.6</v>
      </c>
      <c r="E21" s="512">
        <v>-0.2</v>
      </c>
      <c r="F21" s="512">
        <v>-0.3</v>
      </c>
      <c r="G21" s="505">
        <f t="shared" si="3"/>
        <v>0.44999999999999996</v>
      </c>
      <c r="I21" s="480">
        <v>6</v>
      </c>
      <c r="J21" s="511">
        <v>80</v>
      </c>
      <c r="K21" s="512">
        <v>-1.1000000000000001</v>
      </c>
      <c r="L21" s="512">
        <v>-0.5</v>
      </c>
      <c r="M21" s="512">
        <v>-0.7</v>
      </c>
      <c r="N21" s="505">
        <f t="shared" si="4"/>
        <v>0.30000000000000004</v>
      </c>
      <c r="P21" s="480">
        <v>6</v>
      </c>
      <c r="Q21" s="511">
        <v>1005</v>
      </c>
      <c r="R21" s="512" t="s">
        <v>115</v>
      </c>
      <c r="S21" s="512" t="s">
        <v>115</v>
      </c>
      <c r="T21" s="508"/>
      <c r="U21" s="505">
        <f t="shared" si="5"/>
        <v>0</v>
      </c>
    </row>
    <row r="22" spans="1:24" ht="13.5" thickBot="1" x14ac:dyDescent="0.3">
      <c r="A22" s="922"/>
      <c r="B22" s="480">
        <v>7</v>
      </c>
      <c r="C22" s="511">
        <v>40</v>
      </c>
      <c r="D22" s="512">
        <v>0.6</v>
      </c>
      <c r="E22" s="512">
        <v>-0.1</v>
      </c>
      <c r="F22" s="512">
        <v>-0.3</v>
      </c>
      <c r="G22" s="505">
        <f t="shared" si="3"/>
        <v>0.44999999999999996</v>
      </c>
      <c r="I22" s="480">
        <v>7</v>
      </c>
      <c r="J22" s="511">
        <v>90</v>
      </c>
      <c r="K22" s="512">
        <v>1.2</v>
      </c>
      <c r="L22" s="512">
        <v>1.7</v>
      </c>
      <c r="M22" s="512">
        <v>-0.3</v>
      </c>
      <c r="N22" s="505">
        <f t="shared" si="4"/>
        <v>1</v>
      </c>
      <c r="P22" s="480">
        <v>7</v>
      </c>
      <c r="Q22" s="511">
        <v>1020</v>
      </c>
      <c r="R22" s="512" t="s">
        <v>115</v>
      </c>
      <c r="S22" s="512" t="s">
        <v>115</v>
      </c>
      <c r="T22" s="508"/>
      <c r="U22" s="505">
        <f t="shared" si="5"/>
        <v>0</v>
      </c>
    </row>
    <row r="23" spans="1:24" ht="13.5" thickBot="1" x14ac:dyDescent="0.35">
      <c r="A23" s="455"/>
      <c r="B23" s="455"/>
      <c r="O23" s="513"/>
      <c r="P23" s="514"/>
    </row>
    <row r="24" spans="1:24" x14ac:dyDescent="0.25">
      <c r="A24" s="926">
        <v>3</v>
      </c>
      <c r="B24" s="923" t="s">
        <v>356</v>
      </c>
      <c r="C24" s="923"/>
      <c r="D24" s="923"/>
      <c r="E24" s="923"/>
      <c r="F24" s="923"/>
      <c r="G24" s="923"/>
      <c r="I24" s="923" t="str">
        <f>B24</f>
        <v>KOREKSI KIMO THERMOHYGROMETER 14082463</v>
      </c>
      <c r="J24" s="923"/>
      <c r="K24" s="923"/>
      <c r="L24" s="923"/>
      <c r="M24" s="923"/>
      <c r="N24" s="923"/>
      <c r="P24" s="923" t="str">
        <f>I24</f>
        <v>KOREKSI KIMO THERMOHYGROMETER 14082463</v>
      </c>
      <c r="Q24" s="923"/>
      <c r="R24" s="923"/>
      <c r="S24" s="923"/>
      <c r="T24" s="923"/>
      <c r="U24" s="923"/>
      <c r="W24" s="917" t="s">
        <v>240</v>
      </c>
      <c r="X24" s="918"/>
    </row>
    <row r="25" spans="1:24" ht="13" x14ac:dyDescent="0.25">
      <c r="A25" s="927"/>
      <c r="B25" s="919" t="s">
        <v>348</v>
      </c>
      <c r="C25" s="919"/>
      <c r="D25" s="919" t="s">
        <v>349</v>
      </c>
      <c r="E25" s="919"/>
      <c r="F25" s="919"/>
      <c r="G25" s="919" t="s">
        <v>350</v>
      </c>
      <c r="I25" s="919" t="s">
        <v>351</v>
      </c>
      <c r="J25" s="919"/>
      <c r="K25" s="919" t="s">
        <v>349</v>
      </c>
      <c r="L25" s="919"/>
      <c r="M25" s="919"/>
      <c r="N25" s="919" t="s">
        <v>350</v>
      </c>
      <c r="P25" s="919" t="s">
        <v>352</v>
      </c>
      <c r="Q25" s="919"/>
      <c r="R25" s="919" t="s">
        <v>349</v>
      </c>
      <c r="S25" s="919"/>
      <c r="T25" s="919"/>
      <c r="U25" s="919" t="s">
        <v>350</v>
      </c>
      <c r="W25" s="501" t="s">
        <v>348</v>
      </c>
      <c r="X25" s="502">
        <v>0.5</v>
      </c>
    </row>
    <row r="26" spans="1:24" ht="14.5" x14ac:dyDescent="0.25">
      <c r="A26" s="927"/>
      <c r="B26" s="920" t="s">
        <v>353</v>
      </c>
      <c r="C26" s="920"/>
      <c r="D26" s="503">
        <v>2023</v>
      </c>
      <c r="E26" s="503">
        <v>2021</v>
      </c>
      <c r="F26" s="503">
        <v>2018</v>
      </c>
      <c r="G26" s="919"/>
      <c r="I26" s="921" t="s">
        <v>32</v>
      </c>
      <c r="J26" s="920"/>
      <c r="K26" s="503">
        <f>D26</f>
        <v>2023</v>
      </c>
      <c r="L26" s="503">
        <f>E26</f>
        <v>2021</v>
      </c>
      <c r="M26" s="503">
        <v>2016</v>
      </c>
      <c r="N26" s="919"/>
      <c r="P26" s="921" t="s">
        <v>354</v>
      </c>
      <c r="Q26" s="920"/>
      <c r="R26" s="503">
        <f>K26</f>
        <v>2023</v>
      </c>
      <c r="S26" s="503">
        <f>L26</f>
        <v>2021</v>
      </c>
      <c r="T26" s="503">
        <v>2016</v>
      </c>
      <c r="U26" s="919"/>
      <c r="W26" s="501" t="s">
        <v>32</v>
      </c>
      <c r="X26" s="502">
        <v>2.4</v>
      </c>
    </row>
    <row r="27" spans="1:24" ht="13.5" thickBot="1" x14ac:dyDescent="0.3">
      <c r="A27" s="927"/>
      <c r="B27" s="480">
        <v>1</v>
      </c>
      <c r="C27" s="504">
        <v>15</v>
      </c>
      <c r="D27" s="504">
        <v>0.2</v>
      </c>
      <c r="E27" s="504">
        <v>0.4</v>
      </c>
      <c r="F27" s="504">
        <v>9.9999999999999995E-7</v>
      </c>
      <c r="G27" s="505">
        <f>0.5*(MAX(D27:F27)-MIN(D27:F27))</f>
        <v>0.19999950000000002</v>
      </c>
      <c r="I27" s="480">
        <v>1</v>
      </c>
      <c r="J27" s="504">
        <v>35</v>
      </c>
      <c r="K27" s="504">
        <v>-11.5</v>
      </c>
      <c r="L27" s="504">
        <v>-7.3</v>
      </c>
      <c r="M27" s="504">
        <v>-5.7</v>
      </c>
      <c r="N27" s="505">
        <f>0.5*(MAX(K27:M27)-MIN(K27:M27))</f>
        <v>2.9</v>
      </c>
      <c r="P27" s="480">
        <v>1</v>
      </c>
      <c r="Q27" s="504">
        <v>750</v>
      </c>
      <c r="R27" s="507" t="s">
        <v>115</v>
      </c>
      <c r="S27" s="507" t="s">
        <v>115</v>
      </c>
      <c r="T27" s="504"/>
      <c r="U27" s="505">
        <f>0.5*(MAX(R27:T27)-MIN(R27:T27))</f>
        <v>0</v>
      </c>
      <c r="W27" s="509" t="s">
        <v>354</v>
      </c>
      <c r="X27" s="510">
        <v>0</v>
      </c>
    </row>
    <row r="28" spans="1:24" ht="13" x14ac:dyDescent="0.25">
      <c r="A28" s="927"/>
      <c r="B28" s="480">
        <v>2</v>
      </c>
      <c r="C28" s="504">
        <v>20</v>
      </c>
      <c r="D28" s="504">
        <v>0.2</v>
      </c>
      <c r="E28" s="504">
        <v>1</v>
      </c>
      <c r="F28" s="504">
        <v>9.9999999999999995E-7</v>
      </c>
      <c r="G28" s="505">
        <f t="shared" ref="G28:G33" si="6">0.5*(MAX(D28:F28)-MIN(D28:F28))</f>
        <v>0.49999949999999999</v>
      </c>
      <c r="I28" s="480">
        <v>2</v>
      </c>
      <c r="J28" s="504">
        <v>40</v>
      </c>
      <c r="K28" s="504">
        <v>-9.6999999999999993</v>
      </c>
      <c r="L28" s="504">
        <v>-5.9</v>
      </c>
      <c r="M28" s="504">
        <v>-5.3</v>
      </c>
      <c r="N28" s="505">
        <f t="shared" ref="N28:N33" si="7">0.5*(MAX(K28:M28)-MIN(K28:M28))</f>
        <v>2.1999999999999997</v>
      </c>
      <c r="P28" s="480">
        <v>2</v>
      </c>
      <c r="Q28" s="504">
        <v>800</v>
      </c>
      <c r="R28" s="507" t="s">
        <v>115</v>
      </c>
      <c r="S28" s="507" t="s">
        <v>115</v>
      </c>
      <c r="T28" s="504"/>
      <c r="U28" s="505">
        <f t="shared" ref="U28:U33" si="8">0.5*(MAX(R28:T28)-MIN(R28:T28))</f>
        <v>0</v>
      </c>
    </row>
    <row r="29" spans="1:24" ht="13" x14ac:dyDescent="0.25">
      <c r="A29" s="927"/>
      <c r="B29" s="480">
        <v>3</v>
      </c>
      <c r="C29" s="504">
        <v>25</v>
      </c>
      <c r="D29" s="504">
        <v>0.3</v>
      </c>
      <c r="E29" s="504">
        <v>0.7</v>
      </c>
      <c r="F29" s="504">
        <v>-0.1</v>
      </c>
      <c r="G29" s="505">
        <f t="shared" si="6"/>
        <v>0.39999999999999997</v>
      </c>
      <c r="I29" s="480">
        <v>3</v>
      </c>
      <c r="J29" s="504">
        <v>50</v>
      </c>
      <c r="K29" s="504">
        <v>-7.9</v>
      </c>
      <c r="L29" s="504">
        <v>-4.5</v>
      </c>
      <c r="M29" s="504">
        <v>-4.9000000000000004</v>
      </c>
      <c r="N29" s="505">
        <f t="shared" si="7"/>
        <v>1.7000000000000002</v>
      </c>
      <c r="P29" s="480">
        <v>3</v>
      </c>
      <c r="Q29" s="504">
        <v>850</v>
      </c>
      <c r="R29" s="507" t="s">
        <v>115</v>
      </c>
      <c r="S29" s="507" t="s">
        <v>115</v>
      </c>
      <c r="T29" s="504"/>
      <c r="U29" s="505">
        <f t="shared" si="8"/>
        <v>0</v>
      </c>
    </row>
    <row r="30" spans="1:24" ht="13" x14ac:dyDescent="0.25">
      <c r="A30" s="927"/>
      <c r="B30" s="480">
        <v>4</v>
      </c>
      <c r="C30" s="511">
        <v>30</v>
      </c>
      <c r="D30" s="504">
        <v>0.3</v>
      </c>
      <c r="E30" s="504">
        <v>9.9999999999999995E-7</v>
      </c>
      <c r="F30" s="512">
        <v>-0.3</v>
      </c>
      <c r="G30" s="505">
        <f t="shared" si="6"/>
        <v>0.3</v>
      </c>
      <c r="I30" s="480">
        <v>4</v>
      </c>
      <c r="J30" s="511">
        <v>60</v>
      </c>
      <c r="K30" s="512">
        <v>-6.2</v>
      </c>
      <c r="L30" s="512">
        <v>-3.2</v>
      </c>
      <c r="M30" s="512">
        <v>-4.3</v>
      </c>
      <c r="N30" s="505">
        <f t="shared" si="7"/>
        <v>1.5</v>
      </c>
      <c r="P30" s="480">
        <v>4</v>
      </c>
      <c r="Q30" s="511">
        <v>900</v>
      </c>
      <c r="R30" s="512" t="s">
        <v>115</v>
      </c>
      <c r="S30" s="512" t="s">
        <v>115</v>
      </c>
      <c r="T30" s="504"/>
      <c r="U30" s="505">
        <f t="shared" si="8"/>
        <v>0</v>
      </c>
    </row>
    <row r="31" spans="1:24" ht="13" x14ac:dyDescent="0.25">
      <c r="A31" s="927"/>
      <c r="B31" s="480">
        <v>5</v>
      </c>
      <c r="C31" s="511">
        <v>35</v>
      </c>
      <c r="D31" s="504">
        <v>0.3</v>
      </c>
      <c r="E31" s="512">
        <v>-0.3</v>
      </c>
      <c r="F31" s="512">
        <v>-0.5</v>
      </c>
      <c r="G31" s="505">
        <f t="shared" si="6"/>
        <v>0.4</v>
      </c>
      <c r="I31" s="480">
        <v>5</v>
      </c>
      <c r="J31" s="511">
        <v>70</v>
      </c>
      <c r="K31" s="512">
        <v>-4.4000000000000004</v>
      </c>
      <c r="L31" s="512">
        <v>-2</v>
      </c>
      <c r="M31" s="512">
        <v>-3.6</v>
      </c>
      <c r="N31" s="505">
        <f t="shared" si="7"/>
        <v>1.2000000000000002</v>
      </c>
      <c r="P31" s="480">
        <v>5</v>
      </c>
      <c r="Q31" s="511">
        <v>1000</v>
      </c>
      <c r="R31" s="512" t="s">
        <v>115</v>
      </c>
      <c r="S31" s="512" t="s">
        <v>115</v>
      </c>
      <c r="T31" s="504"/>
      <c r="U31" s="505">
        <f t="shared" si="8"/>
        <v>0</v>
      </c>
    </row>
    <row r="32" spans="1:24" ht="13" x14ac:dyDescent="0.25">
      <c r="A32" s="927"/>
      <c r="B32" s="480">
        <v>6</v>
      </c>
      <c r="C32" s="511">
        <v>37</v>
      </c>
      <c r="D32" s="504">
        <v>0.3</v>
      </c>
      <c r="E32" s="512">
        <v>-0.2</v>
      </c>
      <c r="F32" s="512">
        <v>-0.6</v>
      </c>
      <c r="G32" s="505">
        <f t="shared" si="6"/>
        <v>0.44999999999999996</v>
      </c>
      <c r="I32" s="480">
        <v>6</v>
      </c>
      <c r="J32" s="511">
        <v>80</v>
      </c>
      <c r="K32" s="512">
        <v>-2.7</v>
      </c>
      <c r="L32" s="512">
        <v>-0.8</v>
      </c>
      <c r="M32" s="512">
        <v>-2.9</v>
      </c>
      <c r="N32" s="505">
        <f t="shared" si="7"/>
        <v>1.0499999999999998</v>
      </c>
      <c r="P32" s="480">
        <v>6</v>
      </c>
      <c r="Q32" s="511">
        <v>1005</v>
      </c>
      <c r="R32" s="512" t="s">
        <v>115</v>
      </c>
      <c r="S32" s="512" t="s">
        <v>115</v>
      </c>
      <c r="T32" s="504"/>
      <c r="U32" s="505">
        <f t="shared" si="8"/>
        <v>0</v>
      </c>
    </row>
    <row r="33" spans="1:24" ht="13.5" thickBot="1" x14ac:dyDescent="0.3">
      <c r="A33" s="928"/>
      <c r="B33" s="480">
        <v>7</v>
      </c>
      <c r="C33" s="511">
        <v>40</v>
      </c>
      <c r="D33" s="504">
        <v>0.3</v>
      </c>
      <c r="E33" s="512">
        <v>0.2</v>
      </c>
      <c r="F33" s="512">
        <v>-0.7</v>
      </c>
      <c r="G33" s="505">
        <f t="shared" si="6"/>
        <v>0.5</v>
      </c>
      <c r="I33" s="480">
        <v>7</v>
      </c>
      <c r="J33" s="511">
        <v>90</v>
      </c>
      <c r="K33" s="512">
        <v>-0.9</v>
      </c>
      <c r="L33" s="512">
        <v>0.3</v>
      </c>
      <c r="M33" s="512">
        <v>-2</v>
      </c>
      <c r="N33" s="505">
        <f t="shared" si="7"/>
        <v>1.1499999999999999</v>
      </c>
      <c r="P33" s="480">
        <v>7</v>
      </c>
      <c r="Q33" s="511">
        <v>1020</v>
      </c>
      <c r="R33" s="512" t="s">
        <v>115</v>
      </c>
      <c r="S33" s="512" t="s">
        <v>115</v>
      </c>
      <c r="T33" s="504"/>
      <c r="U33" s="505">
        <f t="shared" si="8"/>
        <v>0</v>
      </c>
    </row>
    <row r="34" spans="1:24" ht="13.5" thickBot="1" x14ac:dyDescent="0.35">
      <c r="A34" s="455"/>
      <c r="B34" s="455"/>
      <c r="H34" s="483"/>
      <c r="O34" s="513"/>
      <c r="P34" s="514"/>
    </row>
    <row r="35" spans="1:24" x14ac:dyDescent="0.25">
      <c r="A35" s="926">
        <v>4</v>
      </c>
      <c r="B35" s="923" t="s">
        <v>357</v>
      </c>
      <c r="C35" s="923"/>
      <c r="D35" s="923"/>
      <c r="E35" s="923"/>
      <c r="F35" s="923"/>
      <c r="G35" s="923"/>
      <c r="I35" s="923" t="str">
        <f>B35</f>
        <v>KOREKSI KIMO THERMOHYGROMETER 15062872</v>
      </c>
      <c r="J35" s="923"/>
      <c r="K35" s="923"/>
      <c r="L35" s="923"/>
      <c r="M35" s="923"/>
      <c r="N35" s="923"/>
      <c r="P35" s="923" t="str">
        <f>I35</f>
        <v>KOREKSI KIMO THERMOHYGROMETER 15062872</v>
      </c>
      <c r="Q35" s="923"/>
      <c r="R35" s="923"/>
      <c r="S35" s="923"/>
      <c r="T35" s="923"/>
      <c r="U35" s="923"/>
      <c r="W35" s="917" t="s">
        <v>240</v>
      </c>
      <c r="X35" s="918"/>
    </row>
    <row r="36" spans="1:24" ht="13" x14ac:dyDescent="0.25">
      <c r="A36" s="927"/>
      <c r="B36" s="919" t="s">
        <v>348</v>
      </c>
      <c r="C36" s="919"/>
      <c r="D36" s="919" t="s">
        <v>349</v>
      </c>
      <c r="E36" s="919"/>
      <c r="F36" s="919"/>
      <c r="G36" s="919" t="s">
        <v>350</v>
      </c>
      <c r="I36" s="919" t="s">
        <v>351</v>
      </c>
      <c r="J36" s="919"/>
      <c r="K36" s="919" t="s">
        <v>349</v>
      </c>
      <c r="L36" s="919"/>
      <c r="M36" s="919"/>
      <c r="N36" s="919" t="s">
        <v>350</v>
      </c>
      <c r="P36" s="919" t="s">
        <v>352</v>
      </c>
      <c r="Q36" s="919"/>
      <c r="R36" s="919" t="s">
        <v>349</v>
      </c>
      <c r="S36" s="919"/>
      <c r="T36" s="919"/>
      <c r="U36" s="919" t="s">
        <v>350</v>
      </c>
      <c r="W36" s="501" t="s">
        <v>348</v>
      </c>
      <c r="X36" s="502">
        <v>0.3</v>
      </c>
    </row>
    <row r="37" spans="1:24" ht="14.5" x14ac:dyDescent="0.25">
      <c r="A37" s="927"/>
      <c r="B37" s="920" t="s">
        <v>353</v>
      </c>
      <c r="C37" s="920"/>
      <c r="D37" s="503">
        <v>2019</v>
      </c>
      <c r="E37" s="503">
        <v>2017</v>
      </c>
      <c r="F37" s="503">
        <v>2016</v>
      </c>
      <c r="G37" s="919"/>
      <c r="I37" s="921" t="s">
        <v>32</v>
      </c>
      <c r="J37" s="920"/>
      <c r="K37" s="503">
        <f>D37</f>
        <v>2019</v>
      </c>
      <c r="L37" s="503">
        <f>E37</f>
        <v>2017</v>
      </c>
      <c r="M37" s="503">
        <v>2016</v>
      </c>
      <c r="N37" s="919"/>
      <c r="P37" s="921" t="s">
        <v>354</v>
      </c>
      <c r="Q37" s="920"/>
      <c r="R37" s="503">
        <f>K37</f>
        <v>2019</v>
      </c>
      <c r="S37" s="503">
        <f>L37</f>
        <v>2017</v>
      </c>
      <c r="T37" s="503">
        <v>2016</v>
      </c>
      <c r="U37" s="919"/>
      <c r="W37" s="501" t="s">
        <v>32</v>
      </c>
      <c r="X37" s="502">
        <v>1.3</v>
      </c>
    </row>
    <row r="38" spans="1:24" ht="13.5" thickBot="1" x14ac:dyDescent="0.3">
      <c r="A38" s="927"/>
      <c r="B38" s="480">
        <v>1</v>
      </c>
      <c r="C38" s="504">
        <v>15</v>
      </c>
      <c r="D38" s="504">
        <v>-0.2</v>
      </c>
      <c r="E38" s="504">
        <v>-0.1</v>
      </c>
      <c r="F38" s="508"/>
      <c r="G38" s="505">
        <f>0.5*(MAX(D38:F38)-MIN(D38:F38))</f>
        <v>0.05</v>
      </c>
      <c r="I38" s="480">
        <v>1</v>
      </c>
      <c r="J38" s="504">
        <v>35</v>
      </c>
      <c r="K38" s="504">
        <v>-4.5</v>
      </c>
      <c r="L38" s="504">
        <v>-1.7</v>
      </c>
      <c r="M38" s="508"/>
      <c r="N38" s="505">
        <f>0.5*(MAX(K38:M38)-MIN(K38:M38))</f>
        <v>1.4</v>
      </c>
      <c r="P38" s="480">
        <v>1</v>
      </c>
      <c r="Q38" s="504">
        <v>750</v>
      </c>
      <c r="R38" s="507" t="s">
        <v>115</v>
      </c>
      <c r="S38" s="507" t="s">
        <v>115</v>
      </c>
      <c r="T38" s="508"/>
      <c r="U38" s="505">
        <f>0.5*(MAX(R38:T38)-MIN(R38:T38))</f>
        <v>0</v>
      </c>
      <c r="W38" s="509" t="s">
        <v>354</v>
      </c>
      <c r="X38" s="510">
        <v>0</v>
      </c>
    </row>
    <row r="39" spans="1:24" ht="13" x14ac:dyDescent="0.25">
      <c r="A39" s="927"/>
      <c r="B39" s="480">
        <v>2</v>
      </c>
      <c r="C39" s="504">
        <v>20</v>
      </c>
      <c r="D39" s="504">
        <v>-0.1</v>
      </c>
      <c r="E39" s="504">
        <v>-0.3</v>
      </c>
      <c r="F39" s="508"/>
      <c r="G39" s="505">
        <f t="shared" ref="G39:G44" si="9">0.5*(MAX(D39:F39)-MIN(D39:F39))</f>
        <v>9.9999999999999992E-2</v>
      </c>
      <c r="I39" s="480">
        <v>2</v>
      </c>
      <c r="J39" s="504">
        <v>40</v>
      </c>
      <c r="K39" s="504">
        <v>-4.4000000000000004</v>
      </c>
      <c r="L39" s="504">
        <v>-1.5</v>
      </c>
      <c r="M39" s="508"/>
      <c r="N39" s="505">
        <f t="shared" ref="N39:N44" si="10">0.5*(MAX(K39:L39)-MIN(K39:L39))</f>
        <v>1.4500000000000002</v>
      </c>
      <c r="P39" s="480">
        <v>2</v>
      </c>
      <c r="Q39" s="504">
        <v>800</v>
      </c>
      <c r="R39" s="507" t="s">
        <v>115</v>
      </c>
      <c r="S39" s="507" t="s">
        <v>115</v>
      </c>
      <c r="T39" s="508"/>
      <c r="U39" s="505">
        <f t="shared" ref="U39:U44" si="11">0.5*(MAX(R39:T39)-MIN(R39:T39))</f>
        <v>0</v>
      </c>
    </row>
    <row r="40" spans="1:24" ht="13" x14ac:dyDescent="0.25">
      <c r="A40" s="927"/>
      <c r="B40" s="480">
        <v>3</v>
      </c>
      <c r="C40" s="504">
        <v>25</v>
      </c>
      <c r="D40" s="504">
        <v>-0.1</v>
      </c>
      <c r="E40" s="504">
        <v>-0.5</v>
      </c>
      <c r="F40" s="508"/>
      <c r="G40" s="505">
        <f t="shared" si="9"/>
        <v>0.2</v>
      </c>
      <c r="I40" s="480">
        <v>3</v>
      </c>
      <c r="J40" s="504">
        <v>50</v>
      </c>
      <c r="K40" s="504">
        <v>-4.3</v>
      </c>
      <c r="L40" s="504">
        <v>-1</v>
      </c>
      <c r="M40" s="508"/>
      <c r="N40" s="505">
        <f t="shared" si="10"/>
        <v>1.65</v>
      </c>
      <c r="P40" s="480">
        <v>3</v>
      </c>
      <c r="Q40" s="504">
        <v>850</v>
      </c>
      <c r="R40" s="507" t="s">
        <v>115</v>
      </c>
      <c r="S40" s="507" t="s">
        <v>115</v>
      </c>
      <c r="T40" s="508"/>
      <c r="U40" s="505">
        <f t="shared" si="11"/>
        <v>0</v>
      </c>
    </row>
    <row r="41" spans="1:24" ht="13" x14ac:dyDescent="0.25">
      <c r="A41" s="927"/>
      <c r="B41" s="480">
        <v>4</v>
      </c>
      <c r="C41" s="511">
        <v>30</v>
      </c>
      <c r="D41" s="512">
        <v>-0.1</v>
      </c>
      <c r="E41" s="512">
        <v>-0.6</v>
      </c>
      <c r="F41" s="508"/>
      <c r="G41" s="505">
        <f t="shared" si="9"/>
        <v>0.25</v>
      </c>
      <c r="I41" s="480">
        <v>4</v>
      </c>
      <c r="J41" s="511">
        <v>60</v>
      </c>
      <c r="K41" s="512">
        <v>-4.2</v>
      </c>
      <c r="L41" s="512">
        <v>-0.3</v>
      </c>
      <c r="M41" s="508"/>
      <c r="N41" s="505">
        <f t="shared" si="10"/>
        <v>1.9500000000000002</v>
      </c>
      <c r="P41" s="480">
        <v>4</v>
      </c>
      <c r="Q41" s="511">
        <v>900</v>
      </c>
      <c r="R41" s="512" t="s">
        <v>115</v>
      </c>
      <c r="S41" s="512" t="s">
        <v>115</v>
      </c>
      <c r="T41" s="508"/>
      <c r="U41" s="505">
        <f t="shared" si="11"/>
        <v>0</v>
      </c>
    </row>
    <row r="42" spans="1:24" ht="13" x14ac:dyDescent="0.25">
      <c r="A42" s="927"/>
      <c r="B42" s="480">
        <v>5</v>
      </c>
      <c r="C42" s="511">
        <v>35</v>
      </c>
      <c r="D42" s="512">
        <v>-0.3</v>
      </c>
      <c r="E42" s="512">
        <v>-0.6</v>
      </c>
      <c r="F42" s="508"/>
      <c r="G42" s="505">
        <f t="shared" si="9"/>
        <v>0.15</v>
      </c>
      <c r="I42" s="480">
        <v>5</v>
      </c>
      <c r="J42" s="511">
        <v>70</v>
      </c>
      <c r="K42" s="512">
        <v>-4</v>
      </c>
      <c r="L42" s="512">
        <v>0.7</v>
      </c>
      <c r="M42" s="508"/>
      <c r="N42" s="505">
        <f t="shared" si="10"/>
        <v>2.35</v>
      </c>
      <c r="P42" s="480">
        <v>5</v>
      </c>
      <c r="Q42" s="511">
        <v>1000</v>
      </c>
      <c r="R42" s="512" t="s">
        <v>115</v>
      </c>
      <c r="S42" s="512" t="s">
        <v>115</v>
      </c>
      <c r="T42" s="508"/>
      <c r="U42" s="505">
        <f t="shared" si="11"/>
        <v>0</v>
      </c>
    </row>
    <row r="43" spans="1:24" ht="13" x14ac:dyDescent="0.25">
      <c r="A43" s="927"/>
      <c r="B43" s="480">
        <v>6</v>
      </c>
      <c r="C43" s="511">
        <v>37</v>
      </c>
      <c r="D43" s="512">
        <v>-0.4</v>
      </c>
      <c r="E43" s="512">
        <v>-0.6</v>
      </c>
      <c r="F43" s="508"/>
      <c r="G43" s="505">
        <f t="shared" si="9"/>
        <v>9.9999999999999978E-2</v>
      </c>
      <c r="I43" s="480">
        <v>6</v>
      </c>
      <c r="J43" s="511">
        <v>80</v>
      </c>
      <c r="K43" s="512">
        <v>-3.8</v>
      </c>
      <c r="L43" s="512">
        <v>1.9</v>
      </c>
      <c r="M43" s="508"/>
      <c r="N43" s="505">
        <f t="shared" si="10"/>
        <v>2.8499999999999996</v>
      </c>
      <c r="P43" s="480">
        <v>6</v>
      </c>
      <c r="Q43" s="511">
        <v>1005</v>
      </c>
      <c r="R43" s="512" t="s">
        <v>115</v>
      </c>
      <c r="S43" s="512" t="s">
        <v>115</v>
      </c>
      <c r="T43" s="508"/>
      <c r="U43" s="505">
        <f t="shared" si="11"/>
        <v>0</v>
      </c>
    </row>
    <row r="44" spans="1:24" ht="13.5" thickBot="1" x14ac:dyDescent="0.3">
      <c r="A44" s="928"/>
      <c r="B44" s="480">
        <v>7</v>
      </c>
      <c r="C44" s="511">
        <v>40</v>
      </c>
      <c r="D44" s="512">
        <v>-0.5</v>
      </c>
      <c r="E44" s="512">
        <v>-0.6</v>
      </c>
      <c r="F44" s="508"/>
      <c r="G44" s="505">
        <f t="shared" si="9"/>
        <v>4.9999999999999989E-2</v>
      </c>
      <c r="I44" s="480">
        <v>7</v>
      </c>
      <c r="J44" s="511">
        <v>90</v>
      </c>
      <c r="K44" s="512">
        <v>-3.5</v>
      </c>
      <c r="L44" s="512">
        <v>3.3</v>
      </c>
      <c r="M44" s="508"/>
      <c r="N44" s="505">
        <f t="shared" si="10"/>
        <v>3.4</v>
      </c>
      <c r="P44" s="480">
        <v>7</v>
      </c>
      <c r="Q44" s="511">
        <v>1020</v>
      </c>
      <c r="R44" s="512" t="s">
        <v>115</v>
      </c>
      <c r="S44" s="512" t="s">
        <v>115</v>
      </c>
      <c r="T44" s="508"/>
      <c r="U44" s="505">
        <f t="shared" si="11"/>
        <v>0</v>
      </c>
    </row>
    <row r="45" spans="1:24" ht="13.5" thickBot="1" x14ac:dyDescent="0.35">
      <c r="A45" s="455"/>
      <c r="B45" s="455"/>
      <c r="O45" s="513"/>
      <c r="P45" s="514"/>
    </row>
    <row r="46" spans="1:24" x14ac:dyDescent="0.25">
      <c r="A46" s="926">
        <v>5</v>
      </c>
      <c r="B46" s="923" t="s">
        <v>358</v>
      </c>
      <c r="C46" s="923"/>
      <c r="D46" s="923"/>
      <c r="E46" s="923"/>
      <c r="F46" s="923"/>
      <c r="G46" s="923"/>
      <c r="I46" s="923" t="str">
        <f>B46</f>
        <v>KOREKSI KIMO THERMOHYGROMETER 15062875</v>
      </c>
      <c r="J46" s="923"/>
      <c r="K46" s="923"/>
      <c r="L46" s="923"/>
      <c r="M46" s="923"/>
      <c r="N46" s="923"/>
      <c r="P46" s="923" t="str">
        <f>I46</f>
        <v>KOREKSI KIMO THERMOHYGROMETER 15062875</v>
      </c>
      <c r="Q46" s="923"/>
      <c r="R46" s="923"/>
      <c r="S46" s="923"/>
      <c r="T46" s="923"/>
      <c r="U46" s="923"/>
      <c r="W46" s="917" t="s">
        <v>240</v>
      </c>
      <c r="X46" s="918"/>
    </row>
    <row r="47" spans="1:24" ht="13" x14ac:dyDescent="0.25">
      <c r="A47" s="927"/>
      <c r="B47" s="919" t="s">
        <v>348</v>
      </c>
      <c r="C47" s="919"/>
      <c r="D47" s="919" t="s">
        <v>349</v>
      </c>
      <c r="E47" s="919"/>
      <c r="F47" s="919"/>
      <c r="G47" s="919" t="s">
        <v>350</v>
      </c>
      <c r="I47" s="919" t="s">
        <v>351</v>
      </c>
      <c r="J47" s="919"/>
      <c r="K47" s="919" t="s">
        <v>349</v>
      </c>
      <c r="L47" s="919"/>
      <c r="M47" s="919"/>
      <c r="N47" s="919" t="s">
        <v>350</v>
      </c>
      <c r="P47" s="919" t="s">
        <v>352</v>
      </c>
      <c r="Q47" s="919"/>
      <c r="R47" s="919" t="s">
        <v>349</v>
      </c>
      <c r="S47" s="919"/>
      <c r="T47" s="919"/>
      <c r="U47" s="919" t="s">
        <v>350</v>
      </c>
      <c r="W47" s="501" t="s">
        <v>348</v>
      </c>
      <c r="X47" s="502">
        <v>0.5</v>
      </c>
    </row>
    <row r="48" spans="1:24" ht="14.5" x14ac:dyDescent="0.25">
      <c r="A48" s="927"/>
      <c r="B48" s="920" t="s">
        <v>353</v>
      </c>
      <c r="C48" s="920"/>
      <c r="D48" s="503">
        <v>2023</v>
      </c>
      <c r="E48" s="503">
        <v>2020</v>
      </c>
      <c r="F48" s="503">
        <v>2017</v>
      </c>
      <c r="G48" s="919"/>
      <c r="I48" s="921" t="s">
        <v>32</v>
      </c>
      <c r="J48" s="920"/>
      <c r="K48" s="503">
        <f>D48</f>
        <v>2023</v>
      </c>
      <c r="L48" s="503">
        <f>E48</f>
        <v>2020</v>
      </c>
      <c r="M48" s="503">
        <v>2016</v>
      </c>
      <c r="N48" s="919"/>
      <c r="P48" s="921" t="s">
        <v>354</v>
      </c>
      <c r="Q48" s="920"/>
      <c r="R48" s="503">
        <f>K48</f>
        <v>2023</v>
      </c>
      <c r="S48" s="503">
        <f>L48</f>
        <v>2020</v>
      </c>
      <c r="T48" s="503">
        <v>2016</v>
      </c>
      <c r="U48" s="919"/>
      <c r="W48" s="501" t="s">
        <v>32</v>
      </c>
      <c r="X48" s="502">
        <v>2.2999999999999998</v>
      </c>
    </row>
    <row r="49" spans="1:24" ht="13.5" thickBot="1" x14ac:dyDescent="0.3">
      <c r="A49" s="927"/>
      <c r="B49" s="480">
        <v>1</v>
      </c>
      <c r="C49" s="504">
        <v>15</v>
      </c>
      <c r="D49" s="504">
        <v>0.3</v>
      </c>
      <c r="E49" s="504">
        <v>-0.3</v>
      </c>
      <c r="F49" s="504">
        <v>0.3</v>
      </c>
      <c r="G49" s="505">
        <f>0.5*(MAX(D49:F49)-MIN(D49:F49))</f>
        <v>0.3</v>
      </c>
      <c r="I49" s="480">
        <v>1</v>
      </c>
      <c r="J49" s="504">
        <v>35</v>
      </c>
      <c r="K49" s="504">
        <v>-10.5</v>
      </c>
      <c r="L49" s="504">
        <v>-7.7</v>
      </c>
      <c r="M49" s="504">
        <v>-9.6</v>
      </c>
      <c r="N49" s="505">
        <f>0.5*(MAX(K49:M49)-MIN(K49:M49))</f>
        <v>1.4</v>
      </c>
      <c r="P49" s="480">
        <v>1</v>
      </c>
      <c r="Q49" s="504">
        <v>750</v>
      </c>
      <c r="R49" s="507" t="s">
        <v>115</v>
      </c>
      <c r="S49" s="507" t="s">
        <v>115</v>
      </c>
      <c r="T49" s="508"/>
      <c r="U49" s="505">
        <f>0.5*(MAX(R49:T49)-MIN(R49:T49))</f>
        <v>0</v>
      </c>
      <c r="W49" s="509" t="s">
        <v>354</v>
      </c>
      <c r="X49" s="510">
        <v>0</v>
      </c>
    </row>
    <row r="50" spans="1:24" ht="13" x14ac:dyDescent="0.25">
      <c r="A50" s="927"/>
      <c r="B50" s="480">
        <v>2</v>
      </c>
      <c r="C50" s="504">
        <v>20</v>
      </c>
      <c r="D50" s="504">
        <v>0.4</v>
      </c>
      <c r="E50" s="504">
        <v>0.1</v>
      </c>
      <c r="F50" s="504">
        <v>0.3</v>
      </c>
      <c r="G50" s="505">
        <f t="shared" ref="G50:G55" si="12">0.5*(MAX(D50:F50)-MIN(D50:F50))</f>
        <v>0.15000000000000002</v>
      </c>
      <c r="I50" s="480">
        <v>2</v>
      </c>
      <c r="J50" s="504">
        <v>40</v>
      </c>
      <c r="K50" s="504">
        <v>-9.6</v>
      </c>
      <c r="L50" s="504">
        <v>-7.2</v>
      </c>
      <c r="M50" s="504">
        <v>-8</v>
      </c>
      <c r="N50" s="505">
        <f t="shared" ref="N50:N55" si="13">0.5*(MAX(K50:M50)-MIN(K50:M50))</f>
        <v>1.1999999999999997</v>
      </c>
      <c r="P50" s="480">
        <v>2</v>
      </c>
      <c r="Q50" s="504">
        <v>800</v>
      </c>
      <c r="R50" s="507" t="s">
        <v>115</v>
      </c>
      <c r="S50" s="507" t="s">
        <v>115</v>
      </c>
      <c r="T50" s="508"/>
      <c r="U50" s="505">
        <f t="shared" ref="U50:U55" si="14">0.5*(MAX(R50:T50)-MIN(R50:T50))</f>
        <v>0</v>
      </c>
    </row>
    <row r="51" spans="1:24" ht="13" x14ac:dyDescent="0.25">
      <c r="A51" s="927"/>
      <c r="B51" s="480">
        <v>3</v>
      </c>
      <c r="C51" s="504">
        <v>25</v>
      </c>
      <c r="D51" s="504">
        <v>0.4</v>
      </c>
      <c r="E51" s="504">
        <v>0.4</v>
      </c>
      <c r="F51" s="504">
        <v>0.2</v>
      </c>
      <c r="G51" s="505">
        <f t="shared" si="12"/>
        <v>0.1</v>
      </c>
      <c r="I51" s="480">
        <v>3</v>
      </c>
      <c r="J51" s="504">
        <v>50</v>
      </c>
      <c r="K51" s="504">
        <v>-8.8000000000000007</v>
      </c>
      <c r="L51" s="504">
        <v>-6.2</v>
      </c>
      <c r="M51" s="504">
        <v>-6.2</v>
      </c>
      <c r="N51" s="505">
        <f t="shared" si="13"/>
        <v>1.3000000000000003</v>
      </c>
      <c r="P51" s="480">
        <v>3</v>
      </c>
      <c r="Q51" s="504">
        <v>850</v>
      </c>
      <c r="R51" s="507" t="s">
        <v>115</v>
      </c>
      <c r="S51" s="507" t="s">
        <v>115</v>
      </c>
      <c r="T51" s="508"/>
      <c r="U51" s="505">
        <f t="shared" si="14"/>
        <v>0</v>
      </c>
    </row>
    <row r="52" spans="1:24" ht="13" x14ac:dyDescent="0.25">
      <c r="A52" s="927"/>
      <c r="B52" s="480">
        <v>4</v>
      </c>
      <c r="C52" s="511">
        <v>30</v>
      </c>
      <c r="D52" s="504">
        <v>0.4</v>
      </c>
      <c r="E52" s="512">
        <v>0.6</v>
      </c>
      <c r="F52" s="512">
        <v>0.1</v>
      </c>
      <c r="G52" s="505">
        <f t="shared" si="12"/>
        <v>0.25</v>
      </c>
      <c r="I52" s="480">
        <v>4</v>
      </c>
      <c r="J52" s="511">
        <v>60</v>
      </c>
      <c r="K52" s="512">
        <v>-8</v>
      </c>
      <c r="L52" s="512">
        <v>-5.2</v>
      </c>
      <c r="M52" s="512">
        <v>-4.2</v>
      </c>
      <c r="N52" s="505">
        <f t="shared" si="13"/>
        <v>1.9</v>
      </c>
      <c r="P52" s="480">
        <v>4</v>
      </c>
      <c r="Q52" s="511">
        <v>900</v>
      </c>
      <c r="R52" s="512" t="s">
        <v>115</v>
      </c>
      <c r="S52" s="512" t="s">
        <v>115</v>
      </c>
      <c r="T52" s="508"/>
      <c r="U52" s="505">
        <f t="shared" si="14"/>
        <v>0</v>
      </c>
    </row>
    <row r="53" spans="1:24" ht="13" x14ac:dyDescent="0.25">
      <c r="A53" s="927"/>
      <c r="B53" s="480">
        <v>5</v>
      </c>
      <c r="C53" s="511">
        <v>35</v>
      </c>
      <c r="D53" s="504">
        <v>0.4</v>
      </c>
      <c r="E53" s="512">
        <v>0.7</v>
      </c>
      <c r="F53" s="504">
        <v>9.9999999999999995E-7</v>
      </c>
      <c r="G53" s="505">
        <f t="shared" si="12"/>
        <v>0.34999949999999996</v>
      </c>
      <c r="I53" s="480">
        <v>5</v>
      </c>
      <c r="J53" s="511">
        <v>70</v>
      </c>
      <c r="K53" s="512">
        <v>-7.1</v>
      </c>
      <c r="L53" s="512">
        <v>-4.0999999999999996</v>
      </c>
      <c r="M53" s="512">
        <v>-2.1</v>
      </c>
      <c r="N53" s="505">
        <f t="shared" si="13"/>
        <v>2.5</v>
      </c>
      <c r="P53" s="480">
        <v>5</v>
      </c>
      <c r="Q53" s="511">
        <v>1000</v>
      </c>
      <c r="R53" s="512" t="s">
        <v>115</v>
      </c>
      <c r="S53" s="512" t="s">
        <v>115</v>
      </c>
      <c r="T53" s="508"/>
      <c r="U53" s="505">
        <f t="shared" si="14"/>
        <v>0</v>
      </c>
    </row>
    <row r="54" spans="1:24" ht="13" x14ac:dyDescent="0.25">
      <c r="A54" s="927"/>
      <c r="B54" s="480">
        <v>6</v>
      </c>
      <c r="C54" s="511">
        <v>37</v>
      </c>
      <c r="D54" s="504">
        <v>0.03</v>
      </c>
      <c r="E54" s="512">
        <v>0.7</v>
      </c>
      <c r="F54" s="504">
        <v>9.9999999999999995E-7</v>
      </c>
      <c r="G54" s="505">
        <f t="shared" si="12"/>
        <v>0.34999949999999996</v>
      </c>
      <c r="I54" s="480">
        <v>6</v>
      </c>
      <c r="J54" s="511">
        <v>80</v>
      </c>
      <c r="K54" s="512">
        <v>-6.3</v>
      </c>
      <c r="L54" s="512">
        <v>-3</v>
      </c>
      <c r="M54" s="512">
        <v>0.2</v>
      </c>
      <c r="N54" s="505">
        <f t="shared" si="13"/>
        <v>3.25</v>
      </c>
      <c r="P54" s="480">
        <v>6</v>
      </c>
      <c r="Q54" s="511">
        <v>1005</v>
      </c>
      <c r="R54" s="512" t="s">
        <v>115</v>
      </c>
      <c r="S54" s="512" t="s">
        <v>115</v>
      </c>
      <c r="T54" s="508"/>
      <c r="U54" s="505">
        <f t="shared" si="14"/>
        <v>0</v>
      </c>
    </row>
    <row r="55" spans="1:24" ht="13.5" thickBot="1" x14ac:dyDescent="0.3">
      <c r="A55" s="928"/>
      <c r="B55" s="480">
        <v>7</v>
      </c>
      <c r="C55" s="511">
        <v>40</v>
      </c>
      <c r="D55" s="512">
        <v>0.3</v>
      </c>
      <c r="E55" s="512">
        <v>0.7</v>
      </c>
      <c r="F55" s="512">
        <v>-0.1</v>
      </c>
      <c r="G55" s="505">
        <f t="shared" si="12"/>
        <v>0.39999999999999997</v>
      </c>
      <c r="I55" s="480">
        <v>7</v>
      </c>
      <c r="J55" s="511">
        <v>90</v>
      </c>
      <c r="K55" s="512">
        <v>-5.4</v>
      </c>
      <c r="L55" s="512">
        <v>-1.8</v>
      </c>
      <c r="M55" s="512">
        <v>2.7</v>
      </c>
      <c r="N55" s="505">
        <f t="shared" si="13"/>
        <v>4.0500000000000007</v>
      </c>
      <c r="P55" s="480">
        <v>7</v>
      </c>
      <c r="Q55" s="511">
        <v>1020</v>
      </c>
      <c r="R55" s="512" t="s">
        <v>115</v>
      </c>
      <c r="S55" s="512" t="s">
        <v>115</v>
      </c>
      <c r="T55" s="508"/>
      <c r="U55" s="505">
        <f t="shared" si="14"/>
        <v>0</v>
      </c>
    </row>
    <row r="56" spans="1:24" ht="13.5" thickBot="1" x14ac:dyDescent="0.35">
      <c r="A56" s="515"/>
      <c r="B56" s="516"/>
      <c r="C56" s="516"/>
      <c r="D56" s="516"/>
      <c r="E56" s="517"/>
      <c r="F56" s="516"/>
      <c r="G56" s="406"/>
      <c r="H56" s="516"/>
      <c r="I56" s="516"/>
      <c r="J56" s="516"/>
      <c r="K56" s="517"/>
      <c r="L56" s="516"/>
      <c r="O56" s="513"/>
      <c r="P56" s="514"/>
    </row>
    <row r="57" spans="1:24" x14ac:dyDescent="0.25">
      <c r="A57" s="922">
        <v>6</v>
      </c>
      <c r="B57" s="923" t="s">
        <v>359</v>
      </c>
      <c r="C57" s="923"/>
      <c r="D57" s="923"/>
      <c r="E57" s="923"/>
      <c r="F57" s="923"/>
      <c r="G57" s="923"/>
      <c r="I57" s="923" t="str">
        <f>B57</f>
        <v>KOREKSI GREISINGER 34903046</v>
      </c>
      <c r="J57" s="923"/>
      <c r="K57" s="923"/>
      <c r="L57" s="923"/>
      <c r="M57" s="923"/>
      <c r="N57" s="923"/>
      <c r="P57" s="923" t="str">
        <f>I57</f>
        <v>KOREKSI GREISINGER 34903046</v>
      </c>
      <c r="Q57" s="923"/>
      <c r="R57" s="923"/>
      <c r="S57" s="923"/>
      <c r="T57" s="923"/>
      <c r="U57" s="923"/>
      <c r="W57" s="917" t="s">
        <v>240</v>
      </c>
      <c r="X57" s="918"/>
    </row>
    <row r="58" spans="1:24" ht="13" x14ac:dyDescent="0.25">
      <c r="A58" s="922"/>
      <c r="B58" s="919" t="s">
        <v>348</v>
      </c>
      <c r="C58" s="919"/>
      <c r="D58" s="919" t="s">
        <v>349</v>
      </c>
      <c r="E58" s="919"/>
      <c r="F58" s="919"/>
      <c r="G58" s="919" t="s">
        <v>350</v>
      </c>
      <c r="I58" s="919" t="s">
        <v>351</v>
      </c>
      <c r="J58" s="919"/>
      <c r="K58" s="919" t="s">
        <v>349</v>
      </c>
      <c r="L58" s="919"/>
      <c r="M58" s="919"/>
      <c r="N58" s="919" t="s">
        <v>350</v>
      </c>
      <c r="P58" s="919" t="s">
        <v>352</v>
      </c>
      <c r="Q58" s="919"/>
      <c r="R58" s="929" t="s">
        <v>349</v>
      </c>
      <c r="S58" s="930"/>
      <c r="T58" s="931"/>
      <c r="U58" s="919" t="s">
        <v>350</v>
      </c>
      <c r="W58" s="501" t="s">
        <v>348</v>
      </c>
      <c r="X58" s="502">
        <v>0.8</v>
      </c>
    </row>
    <row r="59" spans="1:24" ht="14.5" x14ac:dyDescent="0.25">
      <c r="A59" s="922"/>
      <c r="B59" s="920" t="s">
        <v>353</v>
      </c>
      <c r="C59" s="920"/>
      <c r="D59" s="503">
        <v>2019</v>
      </c>
      <c r="E59" s="503">
        <v>2018</v>
      </c>
      <c r="F59" s="503">
        <v>2016</v>
      </c>
      <c r="G59" s="919"/>
      <c r="I59" s="921" t="s">
        <v>32</v>
      </c>
      <c r="J59" s="920"/>
      <c r="K59" s="503">
        <f>D59</f>
        <v>2019</v>
      </c>
      <c r="L59" s="503">
        <f>E59</f>
        <v>2018</v>
      </c>
      <c r="M59" s="503">
        <v>2016</v>
      </c>
      <c r="N59" s="919"/>
      <c r="P59" s="921" t="s">
        <v>354</v>
      </c>
      <c r="Q59" s="920"/>
      <c r="R59" s="503">
        <f>K59</f>
        <v>2019</v>
      </c>
      <c r="S59" s="503">
        <f>L59</f>
        <v>2018</v>
      </c>
      <c r="T59" s="503">
        <v>2016</v>
      </c>
      <c r="U59" s="919"/>
      <c r="W59" s="501" t="s">
        <v>32</v>
      </c>
      <c r="X59" s="502">
        <v>2.6</v>
      </c>
    </row>
    <row r="60" spans="1:24" ht="13.5" thickBot="1" x14ac:dyDescent="0.3">
      <c r="A60" s="922"/>
      <c r="B60" s="480">
        <v>1</v>
      </c>
      <c r="C60" s="504">
        <v>15</v>
      </c>
      <c r="D60" s="504">
        <v>0.4</v>
      </c>
      <c r="E60" s="504">
        <v>0.4</v>
      </c>
      <c r="F60" s="508"/>
      <c r="G60" s="505">
        <f>0.5*(MAX(D60:F60)-MIN(D60:F60))</f>
        <v>0</v>
      </c>
      <c r="I60" s="480">
        <v>1</v>
      </c>
      <c r="J60" s="504">
        <v>30</v>
      </c>
      <c r="K60" s="504">
        <v>-1.5</v>
      </c>
      <c r="L60" s="504">
        <v>1.7</v>
      </c>
      <c r="M60" s="508"/>
      <c r="N60" s="505">
        <f>0.5*(MAX(K60:M60)-MIN(K60:M60))</f>
        <v>1.6</v>
      </c>
      <c r="P60" s="480">
        <v>1</v>
      </c>
      <c r="Q60" s="504">
        <v>750</v>
      </c>
      <c r="R60" s="504">
        <v>0.9</v>
      </c>
      <c r="S60" s="504">
        <v>2.1</v>
      </c>
      <c r="T60" s="508"/>
      <c r="U60" s="505">
        <f>0.5*(MAX(R60:T60)-MIN(R60:T60))</f>
        <v>0.60000000000000009</v>
      </c>
      <c r="W60" s="509" t="s">
        <v>354</v>
      </c>
      <c r="X60" s="510">
        <v>1.6</v>
      </c>
    </row>
    <row r="61" spans="1:24" ht="13" x14ac:dyDescent="0.25">
      <c r="A61" s="922"/>
      <c r="B61" s="480">
        <v>2</v>
      </c>
      <c r="C61" s="504">
        <v>20</v>
      </c>
      <c r="D61" s="504">
        <v>0.3</v>
      </c>
      <c r="E61" s="504">
        <v>0.2</v>
      </c>
      <c r="F61" s="508"/>
      <c r="G61" s="505">
        <f t="shared" ref="G61:G66" si="15">0.5*(MAX(D61:F61)-MIN(D61:F61))</f>
        <v>4.9999999999999989E-2</v>
      </c>
      <c r="I61" s="480">
        <v>2</v>
      </c>
      <c r="J61" s="504">
        <v>40</v>
      </c>
      <c r="K61" s="504">
        <v>-3.8</v>
      </c>
      <c r="L61" s="504">
        <v>1.5</v>
      </c>
      <c r="M61" s="508"/>
      <c r="N61" s="505">
        <f t="shared" ref="N61:N66" si="16">0.5*(MAX(K61:M61)-MIN(K61:M61))</f>
        <v>2.65</v>
      </c>
      <c r="P61" s="480">
        <v>2</v>
      </c>
      <c r="Q61" s="504">
        <v>800</v>
      </c>
      <c r="R61" s="504">
        <v>0.9</v>
      </c>
      <c r="S61" s="504">
        <v>1.6</v>
      </c>
      <c r="T61" s="508"/>
      <c r="U61" s="505">
        <f t="shared" ref="U61:U66" si="17">0.5*(MAX(R61:T61)-MIN(R61:T61))</f>
        <v>0.35000000000000003</v>
      </c>
    </row>
    <row r="62" spans="1:24" ht="13" x14ac:dyDescent="0.25">
      <c r="A62" s="922"/>
      <c r="B62" s="480">
        <v>3</v>
      </c>
      <c r="C62" s="504">
        <v>25</v>
      </c>
      <c r="D62" s="504">
        <v>0.2</v>
      </c>
      <c r="E62" s="504">
        <v>-0.1</v>
      </c>
      <c r="F62" s="508"/>
      <c r="G62" s="505">
        <f t="shared" si="15"/>
        <v>0.15000000000000002</v>
      </c>
      <c r="I62" s="480">
        <v>3</v>
      </c>
      <c r="J62" s="504">
        <v>50</v>
      </c>
      <c r="K62" s="504">
        <v>-5.4</v>
      </c>
      <c r="L62" s="504">
        <v>1.2</v>
      </c>
      <c r="M62" s="508"/>
      <c r="N62" s="505">
        <f t="shared" si="16"/>
        <v>3.3000000000000003</v>
      </c>
      <c r="P62" s="480">
        <v>3</v>
      </c>
      <c r="Q62" s="504">
        <v>850</v>
      </c>
      <c r="R62" s="504">
        <v>0.9</v>
      </c>
      <c r="S62" s="504">
        <v>1.1000000000000001</v>
      </c>
      <c r="T62" s="508"/>
      <c r="U62" s="505">
        <f t="shared" si="17"/>
        <v>0.10000000000000003</v>
      </c>
    </row>
    <row r="63" spans="1:24" ht="13" x14ac:dyDescent="0.25">
      <c r="A63" s="922"/>
      <c r="B63" s="480">
        <v>4</v>
      </c>
      <c r="C63" s="511">
        <v>30</v>
      </c>
      <c r="D63" s="511">
        <v>0.1</v>
      </c>
      <c r="E63" s="511">
        <v>-0.5</v>
      </c>
      <c r="F63" s="508"/>
      <c r="G63" s="505">
        <f t="shared" si="15"/>
        <v>0.3</v>
      </c>
      <c r="I63" s="480">
        <v>4</v>
      </c>
      <c r="J63" s="511">
        <v>60</v>
      </c>
      <c r="K63" s="511">
        <v>-6.4</v>
      </c>
      <c r="L63" s="511">
        <v>1.1000000000000001</v>
      </c>
      <c r="M63" s="508"/>
      <c r="N63" s="505">
        <f t="shared" si="16"/>
        <v>3.75</v>
      </c>
      <c r="P63" s="480">
        <v>4</v>
      </c>
      <c r="Q63" s="511">
        <v>900</v>
      </c>
      <c r="R63" s="511">
        <v>0.9</v>
      </c>
      <c r="S63" s="511">
        <v>0.7</v>
      </c>
      <c r="T63" s="508"/>
      <c r="U63" s="505">
        <f t="shared" si="17"/>
        <v>0.10000000000000003</v>
      </c>
    </row>
    <row r="64" spans="1:24" ht="13" x14ac:dyDescent="0.25">
      <c r="A64" s="922"/>
      <c r="B64" s="480">
        <v>5</v>
      </c>
      <c r="C64" s="511">
        <v>35</v>
      </c>
      <c r="D64" s="511">
        <v>0.1</v>
      </c>
      <c r="E64" s="511">
        <v>-0.9</v>
      </c>
      <c r="F64" s="508"/>
      <c r="G64" s="505">
        <f t="shared" si="15"/>
        <v>0.5</v>
      </c>
      <c r="I64" s="480">
        <v>5</v>
      </c>
      <c r="J64" s="511">
        <v>70</v>
      </c>
      <c r="K64" s="511">
        <v>-6.7</v>
      </c>
      <c r="L64" s="511">
        <v>0.9</v>
      </c>
      <c r="M64" s="508"/>
      <c r="N64" s="505">
        <f t="shared" si="16"/>
        <v>3.8000000000000003</v>
      </c>
      <c r="P64" s="480">
        <v>5</v>
      </c>
      <c r="Q64" s="511">
        <v>1000</v>
      </c>
      <c r="R64" s="511">
        <v>0.9</v>
      </c>
      <c r="S64" s="511">
        <v>-0.3</v>
      </c>
      <c r="T64" s="508"/>
      <c r="U64" s="505">
        <f t="shared" si="17"/>
        <v>0.6</v>
      </c>
    </row>
    <row r="65" spans="1:24" ht="13" x14ac:dyDescent="0.25">
      <c r="A65" s="922"/>
      <c r="B65" s="480">
        <v>6</v>
      </c>
      <c r="C65" s="511">
        <v>37</v>
      </c>
      <c r="D65" s="511">
        <v>0.1</v>
      </c>
      <c r="E65" s="511">
        <v>-1.1000000000000001</v>
      </c>
      <c r="F65" s="508"/>
      <c r="G65" s="505">
        <f t="shared" si="15"/>
        <v>0.60000000000000009</v>
      </c>
      <c r="I65" s="480">
        <v>6</v>
      </c>
      <c r="J65" s="511">
        <v>80</v>
      </c>
      <c r="K65" s="511">
        <v>-6.3</v>
      </c>
      <c r="L65" s="511">
        <v>0.8</v>
      </c>
      <c r="M65" s="508"/>
      <c r="N65" s="505">
        <f t="shared" si="16"/>
        <v>3.55</v>
      </c>
      <c r="P65" s="480">
        <v>6</v>
      </c>
      <c r="Q65" s="511">
        <v>1005</v>
      </c>
      <c r="R65" s="511">
        <v>0.9</v>
      </c>
      <c r="S65" s="511">
        <v>-0.3</v>
      </c>
      <c r="T65" s="508"/>
      <c r="U65" s="505">
        <f t="shared" si="17"/>
        <v>0.6</v>
      </c>
    </row>
    <row r="66" spans="1:24" ht="13" x14ac:dyDescent="0.25">
      <c r="A66" s="922"/>
      <c r="B66" s="480">
        <v>7</v>
      </c>
      <c r="C66" s="511">
        <v>40</v>
      </c>
      <c r="D66" s="511">
        <v>0.1</v>
      </c>
      <c r="E66" s="511">
        <v>-1.4</v>
      </c>
      <c r="F66" s="508"/>
      <c r="G66" s="505">
        <f t="shared" si="15"/>
        <v>0.75</v>
      </c>
      <c r="I66" s="480">
        <v>7</v>
      </c>
      <c r="J66" s="511">
        <v>90</v>
      </c>
      <c r="K66" s="511">
        <v>-5.2</v>
      </c>
      <c r="L66" s="511">
        <v>0.7</v>
      </c>
      <c r="M66" s="508"/>
      <c r="N66" s="505">
        <f t="shared" si="16"/>
        <v>2.95</v>
      </c>
      <c r="P66" s="480">
        <v>7</v>
      </c>
      <c r="Q66" s="511">
        <v>1020</v>
      </c>
      <c r="R66" s="511">
        <v>0.9</v>
      </c>
      <c r="S66" s="504">
        <v>9.9999999999999995E-7</v>
      </c>
      <c r="T66" s="508"/>
      <c r="U66" s="505">
        <f t="shared" si="17"/>
        <v>0.4499995</v>
      </c>
    </row>
    <row r="67" spans="1:24" ht="13.5" thickBot="1" x14ac:dyDescent="0.35">
      <c r="A67" s="515"/>
      <c r="B67" s="516"/>
      <c r="C67" s="516"/>
      <c r="D67" s="516"/>
      <c r="E67" s="517"/>
      <c r="F67" s="516"/>
      <c r="G67" s="406"/>
      <c r="I67" s="516"/>
      <c r="J67" s="516"/>
      <c r="K67" s="516"/>
      <c r="L67" s="517"/>
      <c r="M67" s="516"/>
      <c r="R67" s="514"/>
    </row>
    <row r="68" spans="1:24" x14ac:dyDescent="0.25">
      <c r="A68" s="922">
        <v>7</v>
      </c>
      <c r="B68" s="923" t="s">
        <v>360</v>
      </c>
      <c r="C68" s="923"/>
      <c r="D68" s="923"/>
      <c r="E68" s="923"/>
      <c r="F68" s="923"/>
      <c r="G68" s="923"/>
      <c r="I68" s="923" t="str">
        <f>B68</f>
        <v>KOREKSI GREISINGER 34903053</v>
      </c>
      <c r="J68" s="923"/>
      <c r="K68" s="923"/>
      <c r="L68" s="923"/>
      <c r="M68" s="923"/>
      <c r="N68" s="923"/>
      <c r="P68" s="923" t="str">
        <f>I68</f>
        <v>KOREKSI GREISINGER 34903053</v>
      </c>
      <c r="Q68" s="923"/>
      <c r="R68" s="923"/>
      <c r="S68" s="923"/>
      <c r="T68" s="923"/>
      <c r="U68" s="923"/>
      <c r="W68" s="917" t="s">
        <v>240</v>
      </c>
      <c r="X68" s="918"/>
    </row>
    <row r="69" spans="1:24" ht="13" x14ac:dyDescent="0.25">
      <c r="A69" s="922"/>
      <c r="B69" s="919" t="s">
        <v>348</v>
      </c>
      <c r="C69" s="919"/>
      <c r="D69" s="919" t="s">
        <v>349</v>
      </c>
      <c r="E69" s="919"/>
      <c r="F69" s="919"/>
      <c r="G69" s="919" t="s">
        <v>350</v>
      </c>
      <c r="I69" s="919" t="s">
        <v>351</v>
      </c>
      <c r="J69" s="919"/>
      <c r="K69" s="919" t="s">
        <v>349</v>
      </c>
      <c r="L69" s="919"/>
      <c r="M69" s="919"/>
      <c r="N69" s="919" t="s">
        <v>350</v>
      </c>
      <c r="P69" s="919" t="s">
        <v>352</v>
      </c>
      <c r="Q69" s="919"/>
      <c r="R69" s="919" t="s">
        <v>349</v>
      </c>
      <c r="S69" s="919"/>
      <c r="T69" s="919"/>
      <c r="U69" s="919" t="s">
        <v>350</v>
      </c>
      <c r="W69" s="501" t="s">
        <v>348</v>
      </c>
      <c r="X69" s="502">
        <v>0.5</v>
      </c>
    </row>
    <row r="70" spans="1:24" ht="14.5" x14ac:dyDescent="0.25">
      <c r="A70" s="922"/>
      <c r="B70" s="920" t="s">
        <v>353</v>
      </c>
      <c r="C70" s="920"/>
      <c r="D70" s="503">
        <v>2023</v>
      </c>
      <c r="E70" s="503">
        <v>2021</v>
      </c>
      <c r="F70" s="503">
        <v>2018</v>
      </c>
      <c r="G70" s="919"/>
      <c r="I70" s="921" t="s">
        <v>32</v>
      </c>
      <c r="J70" s="920"/>
      <c r="K70" s="503">
        <f>D70</f>
        <v>2023</v>
      </c>
      <c r="L70" s="503">
        <f>E70</f>
        <v>2021</v>
      </c>
      <c r="M70" s="503">
        <v>2016</v>
      </c>
      <c r="N70" s="919"/>
      <c r="P70" s="921" t="s">
        <v>354</v>
      </c>
      <c r="Q70" s="920"/>
      <c r="R70" s="503">
        <f>K70</f>
        <v>2023</v>
      </c>
      <c r="S70" s="503">
        <f>L70</f>
        <v>2021</v>
      </c>
      <c r="T70" s="503">
        <v>2016</v>
      </c>
      <c r="U70" s="919"/>
      <c r="W70" s="501" t="s">
        <v>32</v>
      </c>
      <c r="X70" s="502">
        <v>2.2999999999999998</v>
      </c>
    </row>
    <row r="71" spans="1:24" ht="13.5" thickBot="1" x14ac:dyDescent="0.3">
      <c r="A71" s="922"/>
      <c r="B71" s="480">
        <v>1</v>
      </c>
      <c r="C71" s="504">
        <v>15</v>
      </c>
      <c r="D71" s="504">
        <v>0.1</v>
      </c>
      <c r="E71" s="504">
        <v>0.1</v>
      </c>
      <c r="F71" s="504">
        <v>0.3</v>
      </c>
      <c r="G71" s="505">
        <f>0.5*(MAX(D71:F71)-MIN(D71:F71))</f>
        <v>9.9999999999999992E-2</v>
      </c>
      <c r="I71" s="480">
        <v>1</v>
      </c>
      <c r="J71" s="504">
        <v>30</v>
      </c>
      <c r="K71" s="504">
        <v>-1.7</v>
      </c>
      <c r="L71" s="504">
        <v>-1.9</v>
      </c>
      <c r="M71" s="504">
        <v>1.8</v>
      </c>
      <c r="N71" s="505">
        <f>0.5*(MAX(K71:M71)-MIN(K71:M71))</f>
        <v>1.85</v>
      </c>
      <c r="P71" s="480">
        <v>1</v>
      </c>
      <c r="Q71" s="504">
        <v>960</v>
      </c>
      <c r="R71" s="504">
        <v>0.7</v>
      </c>
      <c r="S71" s="518" t="s">
        <v>115</v>
      </c>
      <c r="T71" s="518" t="s">
        <v>115</v>
      </c>
      <c r="U71" s="505">
        <f>0.5*(MAX(R71:T71)-MIN(R71:T71))</f>
        <v>0</v>
      </c>
      <c r="W71" s="509" t="s">
        <v>354</v>
      </c>
      <c r="X71" s="510">
        <v>2</v>
      </c>
    </row>
    <row r="72" spans="1:24" ht="13" x14ac:dyDescent="0.25">
      <c r="A72" s="922"/>
      <c r="B72" s="480">
        <v>2</v>
      </c>
      <c r="C72" s="504">
        <v>20</v>
      </c>
      <c r="D72" s="504">
        <v>0</v>
      </c>
      <c r="E72" s="504">
        <v>9.9999999999999995E-7</v>
      </c>
      <c r="F72" s="504">
        <v>0.1</v>
      </c>
      <c r="G72" s="505">
        <f t="shared" ref="G72:G77" si="18">0.5*(MAX(D72:F72)-MIN(D72:F72))</f>
        <v>0.05</v>
      </c>
      <c r="I72" s="480">
        <v>2</v>
      </c>
      <c r="J72" s="504">
        <v>40</v>
      </c>
      <c r="K72" s="504">
        <v>-2</v>
      </c>
      <c r="L72" s="504">
        <v>-1.9</v>
      </c>
      <c r="M72" s="504">
        <v>1.2</v>
      </c>
      <c r="N72" s="505">
        <f t="shared" ref="N72:N77" si="19">0.5*(MAX(K72:M72)-MIN(K72:M72))</f>
        <v>1.6</v>
      </c>
      <c r="P72" s="480">
        <v>2</v>
      </c>
      <c r="Q72" s="504">
        <v>970</v>
      </c>
      <c r="R72" s="504">
        <v>0.6</v>
      </c>
      <c r="S72" s="518" t="s">
        <v>115</v>
      </c>
      <c r="T72" s="518" t="s">
        <v>115</v>
      </c>
      <c r="U72" s="505">
        <f t="shared" ref="U72:U77" si="20">0.5*(MAX(R72:T72)-MIN(R72:T72))</f>
        <v>0</v>
      </c>
    </row>
    <row r="73" spans="1:24" ht="13" x14ac:dyDescent="0.25">
      <c r="A73" s="922"/>
      <c r="B73" s="480">
        <v>3</v>
      </c>
      <c r="C73" s="504">
        <v>25</v>
      </c>
      <c r="D73" s="504">
        <v>-0.1</v>
      </c>
      <c r="E73" s="504">
        <v>9.9999999999999995E-7</v>
      </c>
      <c r="F73" s="504">
        <v>-0.2</v>
      </c>
      <c r="G73" s="505">
        <f t="shared" si="18"/>
        <v>0.10000050000000001</v>
      </c>
      <c r="I73" s="480">
        <v>3</v>
      </c>
      <c r="J73" s="504">
        <v>50</v>
      </c>
      <c r="K73" s="504">
        <v>-2.1</v>
      </c>
      <c r="L73" s="504">
        <v>-1.9</v>
      </c>
      <c r="M73" s="504">
        <v>0.8</v>
      </c>
      <c r="N73" s="505">
        <f t="shared" si="19"/>
        <v>1.4500000000000002</v>
      </c>
      <c r="P73" s="480">
        <v>3</v>
      </c>
      <c r="Q73" s="504">
        <v>980</v>
      </c>
      <c r="R73" s="504">
        <v>0.5</v>
      </c>
      <c r="S73" s="518" t="s">
        <v>115</v>
      </c>
      <c r="T73" s="518" t="s">
        <v>115</v>
      </c>
      <c r="U73" s="505">
        <f t="shared" si="20"/>
        <v>0</v>
      </c>
    </row>
    <row r="74" spans="1:24" ht="13" x14ac:dyDescent="0.25">
      <c r="A74" s="922"/>
      <c r="B74" s="480">
        <v>4</v>
      </c>
      <c r="C74" s="511">
        <v>30</v>
      </c>
      <c r="D74" s="504">
        <v>-0.2</v>
      </c>
      <c r="E74" s="504">
        <v>9.9999999999999995E-7</v>
      </c>
      <c r="F74" s="511">
        <v>-0.6</v>
      </c>
      <c r="G74" s="505">
        <f t="shared" si="18"/>
        <v>0.3000005</v>
      </c>
      <c r="I74" s="480">
        <v>4</v>
      </c>
      <c r="J74" s="511">
        <v>60</v>
      </c>
      <c r="K74" s="511">
        <v>-2.2000000000000002</v>
      </c>
      <c r="L74" s="511">
        <v>-2.1</v>
      </c>
      <c r="M74" s="511">
        <v>0.7</v>
      </c>
      <c r="N74" s="505">
        <f t="shared" si="19"/>
        <v>1.4500000000000002</v>
      </c>
      <c r="P74" s="480">
        <v>4</v>
      </c>
      <c r="Q74" s="511">
        <v>990</v>
      </c>
      <c r="R74" s="504">
        <v>0.5</v>
      </c>
      <c r="S74" s="518" t="s">
        <v>115</v>
      </c>
      <c r="T74" s="518" t="s">
        <v>115</v>
      </c>
      <c r="U74" s="505">
        <f t="shared" si="20"/>
        <v>0</v>
      </c>
    </row>
    <row r="75" spans="1:24" ht="13" x14ac:dyDescent="0.25">
      <c r="A75" s="922"/>
      <c r="B75" s="480">
        <v>5</v>
      </c>
      <c r="C75" s="511">
        <v>35</v>
      </c>
      <c r="D75" s="504">
        <v>-0.4</v>
      </c>
      <c r="E75" s="504">
        <v>9.9999999999999995E-7</v>
      </c>
      <c r="F75" s="511">
        <v>-1.1000000000000001</v>
      </c>
      <c r="G75" s="505">
        <f t="shared" si="18"/>
        <v>0.5500005</v>
      </c>
      <c r="I75" s="480">
        <v>5</v>
      </c>
      <c r="J75" s="511">
        <v>70</v>
      </c>
      <c r="K75" s="511">
        <v>-2.1</v>
      </c>
      <c r="L75" s="511">
        <v>-2.2999999999999998</v>
      </c>
      <c r="M75" s="511">
        <v>0.9</v>
      </c>
      <c r="N75" s="505">
        <f t="shared" si="19"/>
        <v>1.5999999999999999</v>
      </c>
      <c r="P75" s="480">
        <v>5</v>
      </c>
      <c r="Q75" s="511">
        <v>1000</v>
      </c>
      <c r="R75" s="511">
        <v>0.4</v>
      </c>
      <c r="S75" s="511">
        <v>-3.9</v>
      </c>
      <c r="T75" s="511">
        <v>-0.4</v>
      </c>
      <c r="U75" s="505">
        <f t="shared" si="20"/>
        <v>2.15</v>
      </c>
    </row>
    <row r="76" spans="1:24" ht="13" x14ac:dyDescent="0.25">
      <c r="A76" s="922"/>
      <c r="B76" s="480">
        <v>6</v>
      </c>
      <c r="C76" s="511">
        <v>37</v>
      </c>
      <c r="D76" s="504">
        <v>-0.4</v>
      </c>
      <c r="E76" s="504">
        <v>9.9999999999999995E-7</v>
      </c>
      <c r="F76" s="511">
        <v>-1.4</v>
      </c>
      <c r="G76" s="505">
        <f t="shared" si="18"/>
        <v>0.70000049999999991</v>
      </c>
      <c r="I76" s="480">
        <v>6</v>
      </c>
      <c r="J76" s="511">
        <v>80</v>
      </c>
      <c r="K76" s="511">
        <v>-1.9</v>
      </c>
      <c r="L76" s="511">
        <v>-2.6</v>
      </c>
      <c r="M76" s="511">
        <v>1.2</v>
      </c>
      <c r="N76" s="505">
        <f t="shared" si="19"/>
        <v>1.9</v>
      </c>
      <c r="P76" s="480">
        <v>6</v>
      </c>
      <c r="Q76" s="511">
        <v>1005</v>
      </c>
      <c r="R76" s="511" t="s">
        <v>115</v>
      </c>
      <c r="S76" s="511">
        <v>-3.8</v>
      </c>
      <c r="T76" s="511">
        <v>-0.5</v>
      </c>
      <c r="U76" s="505">
        <f t="shared" si="20"/>
        <v>1.65</v>
      </c>
    </row>
    <row r="77" spans="1:24" ht="13.5" thickBot="1" x14ac:dyDescent="0.3">
      <c r="A77" s="922"/>
      <c r="B77" s="480">
        <v>7</v>
      </c>
      <c r="C77" s="511">
        <v>40</v>
      </c>
      <c r="D77" s="511">
        <v>-0.5</v>
      </c>
      <c r="E77" s="511">
        <v>0.1</v>
      </c>
      <c r="F77" s="511">
        <v>-1.7</v>
      </c>
      <c r="G77" s="505">
        <f t="shared" si="18"/>
        <v>0.9</v>
      </c>
      <c r="I77" s="480">
        <v>7</v>
      </c>
      <c r="J77" s="511">
        <v>90</v>
      </c>
      <c r="K77" s="511">
        <v>-1.6</v>
      </c>
      <c r="L77" s="511">
        <v>-3</v>
      </c>
      <c r="M77" s="511">
        <v>1.8</v>
      </c>
      <c r="N77" s="505">
        <f t="shared" si="19"/>
        <v>2.4</v>
      </c>
      <c r="P77" s="480">
        <v>7</v>
      </c>
      <c r="Q77" s="511">
        <v>1020</v>
      </c>
      <c r="R77" s="511">
        <v>0.3</v>
      </c>
      <c r="S77" s="511">
        <v>-3.8</v>
      </c>
      <c r="T77" s="504">
        <v>9.9999999999999995E-7</v>
      </c>
      <c r="U77" s="505">
        <f t="shared" si="20"/>
        <v>2.0499999999999998</v>
      </c>
    </row>
    <row r="78" spans="1:24" ht="13.5" thickBot="1" x14ac:dyDescent="0.35">
      <c r="A78" s="515"/>
      <c r="B78" s="516"/>
      <c r="C78" s="516"/>
      <c r="D78" s="516"/>
      <c r="E78" s="517"/>
      <c r="F78" s="516"/>
      <c r="G78" s="406"/>
      <c r="H78" s="516"/>
      <c r="I78" s="516"/>
      <c r="J78" s="516"/>
      <c r="K78" s="517"/>
      <c r="L78" s="516"/>
      <c r="O78" s="513"/>
      <c r="P78" s="514"/>
    </row>
    <row r="79" spans="1:24" x14ac:dyDescent="0.25">
      <c r="A79" s="922">
        <v>8</v>
      </c>
      <c r="B79" s="923" t="s">
        <v>361</v>
      </c>
      <c r="C79" s="923"/>
      <c r="D79" s="923"/>
      <c r="E79" s="923"/>
      <c r="F79" s="923"/>
      <c r="G79" s="923"/>
      <c r="I79" s="923" t="str">
        <f>B79</f>
        <v>KOREKSI GREISINGER 34903051</v>
      </c>
      <c r="J79" s="923"/>
      <c r="K79" s="923"/>
      <c r="L79" s="923"/>
      <c r="M79" s="923"/>
      <c r="N79" s="923"/>
      <c r="P79" s="923" t="str">
        <f>I79</f>
        <v>KOREKSI GREISINGER 34903051</v>
      </c>
      <c r="Q79" s="923"/>
      <c r="R79" s="923"/>
      <c r="S79" s="923"/>
      <c r="T79" s="923"/>
      <c r="U79" s="923"/>
      <c r="W79" s="917" t="s">
        <v>240</v>
      </c>
      <c r="X79" s="918"/>
    </row>
    <row r="80" spans="1:24" ht="13" x14ac:dyDescent="0.25">
      <c r="A80" s="922"/>
      <c r="B80" s="919" t="s">
        <v>348</v>
      </c>
      <c r="C80" s="919"/>
      <c r="D80" s="919" t="s">
        <v>349</v>
      </c>
      <c r="E80" s="919"/>
      <c r="F80" s="919"/>
      <c r="G80" s="919" t="s">
        <v>350</v>
      </c>
      <c r="I80" s="919" t="s">
        <v>351</v>
      </c>
      <c r="J80" s="919"/>
      <c r="K80" s="919" t="s">
        <v>349</v>
      </c>
      <c r="L80" s="919"/>
      <c r="M80" s="919"/>
      <c r="N80" s="919" t="s">
        <v>350</v>
      </c>
      <c r="P80" s="919" t="s">
        <v>352</v>
      </c>
      <c r="Q80" s="919"/>
      <c r="R80" s="919" t="s">
        <v>349</v>
      </c>
      <c r="S80" s="919"/>
      <c r="T80" s="919"/>
      <c r="U80" s="919" t="s">
        <v>350</v>
      </c>
      <c r="W80" s="501" t="s">
        <v>348</v>
      </c>
      <c r="X80" s="502">
        <v>0.3</v>
      </c>
    </row>
    <row r="81" spans="1:24" ht="14.5" x14ac:dyDescent="0.25">
      <c r="A81" s="922"/>
      <c r="B81" s="920" t="s">
        <v>353</v>
      </c>
      <c r="C81" s="920"/>
      <c r="D81" s="503">
        <v>2021</v>
      </c>
      <c r="E81" s="503">
        <v>2019</v>
      </c>
      <c r="F81" s="503">
        <v>2016</v>
      </c>
      <c r="G81" s="919"/>
      <c r="I81" s="921" t="s">
        <v>32</v>
      </c>
      <c r="J81" s="920"/>
      <c r="K81" s="503">
        <f>D81</f>
        <v>2021</v>
      </c>
      <c r="L81" s="503">
        <f>E81</f>
        <v>2019</v>
      </c>
      <c r="M81" s="503">
        <v>2016</v>
      </c>
      <c r="N81" s="919"/>
      <c r="P81" s="921" t="s">
        <v>354</v>
      </c>
      <c r="Q81" s="920"/>
      <c r="R81" s="503">
        <f>K81</f>
        <v>2021</v>
      </c>
      <c r="S81" s="503">
        <f>L81</f>
        <v>2019</v>
      </c>
      <c r="T81" s="503">
        <v>2016</v>
      </c>
      <c r="U81" s="919"/>
      <c r="W81" s="501" t="s">
        <v>32</v>
      </c>
      <c r="X81" s="502">
        <v>2.5</v>
      </c>
    </row>
    <row r="82" spans="1:24" ht="13.5" thickBot="1" x14ac:dyDescent="0.3">
      <c r="A82" s="922"/>
      <c r="B82" s="480">
        <v>1</v>
      </c>
      <c r="C82" s="504">
        <v>15</v>
      </c>
      <c r="D82" s="504">
        <v>0.1</v>
      </c>
      <c r="E82" s="504">
        <v>9.9999999999999995E-7</v>
      </c>
      <c r="F82" s="508"/>
      <c r="G82" s="505">
        <f>0.5*(MAX(D82:F82)-MIN(D82:F82))</f>
        <v>4.9999500000000002E-2</v>
      </c>
      <c r="I82" s="480">
        <v>1</v>
      </c>
      <c r="J82" s="504">
        <v>30</v>
      </c>
      <c r="K82" s="504">
        <v>-4</v>
      </c>
      <c r="L82" s="504">
        <v>-1.4</v>
      </c>
      <c r="M82" s="508"/>
      <c r="N82" s="505">
        <f>0.5*(MAX(K82:M82)-MIN(K82:M82))</f>
        <v>1.3</v>
      </c>
      <c r="P82" s="480">
        <v>1</v>
      </c>
      <c r="Q82" s="504">
        <v>750</v>
      </c>
      <c r="R82" s="504">
        <v>9.9999999999999995E-7</v>
      </c>
      <c r="S82" s="504">
        <v>9.9999999999999995E-7</v>
      </c>
      <c r="T82" s="508"/>
      <c r="U82" s="505">
        <f>0.5*(MAX(R82:T82)-MIN(R82:T82))</f>
        <v>0</v>
      </c>
      <c r="W82" s="509" t="s">
        <v>354</v>
      </c>
      <c r="X82" s="510">
        <v>2.1</v>
      </c>
    </row>
    <row r="83" spans="1:24" ht="13" x14ac:dyDescent="0.25">
      <c r="A83" s="922"/>
      <c r="B83" s="480">
        <v>2</v>
      </c>
      <c r="C83" s="504">
        <v>20</v>
      </c>
      <c r="D83" s="504">
        <v>9.9999999999999995E-7</v>
      </c>
      <c r="E83" s="504">
        <v>-0.2</v>
      </c>
      <c r="F83" s="508"/>
      <c r="G83" s="505">
        <f t="shared" ref="G83:G88" si="21">0.5*(MAX(D83:F83)-MIN(D83:F83))</f>
        <v>0.10000050000000001</v>
      </c>
      <c r="I83" s="480">
        <v>2</v>
      </c>
      <c r="J83" s="504">
        <v>40</v>
      </c>
      <c r="K83" s="504">
        <v>-3.8</v>
      </c>
      <c r="L83" s="504">
        <v>-1.2</v>
      </c>
      <c r="M83" s="508"/>
      <c r="N83" s="505">
        <f t="shared" ref="N83:N88" si="22">0.5*(MAX(K83:M83)-MIN(K83:M83))</f>
        <v>1.2999999999999998</v>
      </c>
      <c r="P83" s="480">
        <v>2</v>
      </c>
      <c r="Q83" s="504">
        <v>800</v>
      </c>
      <c r="R83" s="504">
        <v>9.9999999999999995E-7</v>
      </c>
      <c r="S83" s="504">
        <v>9.9999999999999995E-7</v>
      </c>
      <c r="T83" s="508"/>
      <c r="U83" s="505">
        <f t="shared" ref="U83:U88" si="23">0.5*(MAX(R83:T83)-MIN(R83:T83))</f>
        <v>0</v>
      </c>
    </row>
    <row r="84" spans="1:24" ht="13" x14ac:dyDescent="0.25">
      <c r="A84" s="922"/>
      <c r="B84" s="480">
        <v>3</v>
      </c>
      <c r="C84" s="504">
        <v>25</v>
      </c>
      <c r="D84" s="504">
        <v>-0.1</v>
      </c>
      <c r="E84" s="504">
        <v>-0.4</v>
      </c>
      <c r="F84" s="508"/>
      <c r="G84" s="505">
        <f t="shared" si="21"/>
        <v>0.15000000000000002</v>
      </c>
      <c r="I84" s="480">
        <v>3</v>
      </c>
      <c r="J84" s="504">
        <v>50</v>
      </c>
      <c r="K84" s="504">
        <v>-3.8</v>
      </c>
      <c r="L84" s="504">
        <v>-1.2</v>
      </c>
      <c r="M84" s="508"/>
      <c r="N84" s="505">
        <f t="shared" si="22"/>
        <v>1.2999999999999998</v>
      </c>
      <c r="P84" s="480">
        <v>3</v>
      </c>
      <c r="Q84" s="504">
        <v>850</v>
      </c>
      <c r="R84" s="504">
        <v>9.9999999999999995E-7</v>
      </c>
      <c r="S84" s="504">
        <v>9.9999999999999995E-7</v>
      </c>
      <c r="T84" s="508"/>
      <c r="U84" s="505">
        <f t="shared" si="23"/>
        <v>0</v>
      </c>
    </row>
    <row r="85" spans="1:24" ht="13" x14ac:dyDescent="0.25">
      <c r="A85" s="922"/>
      <c r="B85" s="480">
        <v>4</v>
      </c>
      <c r="C85" s="511">
        <v>30</v>
      </c>
      <c r="D85" s="504">
        <v>-0.2</v>
      </c>
      <c r="E85" s="504">
        <v>-0.4</v>
      </c>
      <c r="F85" s="508"/>
      <c r="G85" s="505">
        <f t="shared" si="21"/>
        <v>0.1</v>
      </c>
      <c r="I85" s="480">
        <v>4</v>
      </c>
      <c r="J85" s="511">
        <v>60</v>
      </c>
      <c r="K85" s="511">
        <v>-3.9</v>
      </c>
      <c r="L85" s="511">
        <v>-1.1000000000000001</v>
      </c>
      <c r="M85" s="508"/>
      <c r="N85" s="505">
        <f t="shared" si="22"/>
        <v>1.4</v>
      </c>
      <c r="P85" s="480">
        <v>4</v>
      </c>
      <c r="Q85" s="511">
        <v>900</v>
      </c>
      <c r="R85" s="512">
        <v>-4.4000000000000004</v>
      </c>
      <c r="S85" s="504">
        <v>9.9999999999999995E-7</v>
      </c>
      <c r="T85" s="508"/>
      <c r="U85" s="505">
        <f t="shared" si="23"/>
        <v>2.2000005000000002</v>
      </c>
    </row>
    <row r="86" spans="1:24" ht="13" x14ac:dyDescent="0.25">
      <c r="A86" s="922"/>
      <c r="B86" s="480">
        <v>5</v>
      </c>
      <c r="C86" s="511">
        <v>35</v>
      </c>
      <c r="D86" s="511">
        <v>-0.1</v>
      </c>
      <c r="E86" s="511">
        <v>-0.5</v>
      </c>
      <c r="F86" s="508"/>
      <c r="G86" s="505">
        <f t="shared" si="21"/>
        <v>0.2</v>
      </c>
      <c r="I86" s="480">
        <v>5</v>
      </c>
      <c r="J86" s="511">
        <v>70</v>
      </c>
      <c r="K86" s="511">
        <v>-4.0999999999999996</v>
      </c>
      <c r="L86" s="511">
        <v>-1.2</v>
      </c>
      <c r="M86" s="508"/>
      <c r="N86" s="505">
        <f t="shared" si="22"/>
        <v>1.4499999999999997</v>
      </c>
      <c r="P86" s="480">
        <v>5</v>
      </c>
      <c r="Q86" s="511">
        <v>1000</v>
      </c>
      <c r="R86" s="512">
        <v>-3.5</v>
      </c>
      <c r="S86" s="512">
        <v>0.2</v>
      </c>
      <c r="T86" s="508"/>
      <c r="U86" s="505">
        <f t="shared" si="23"/>
        <v>1.85</v>
      </c>
    </row>
    <row r="87" spans="1:24" ht="13" x14ac:dyDescent="0.25">
      <c r="A87" s="922"/>
      <c r="B87" s="480">
        <v>6</v>
      </c>
      <c r="C87" s="511">
        <v>37</v>
      </c>
      <c r="D87" s="511">
        <v>-0.1</v>
      </c>
      <c r="E87" s="511">
        <v>-0.5</v>
      </c>
      <c r="F87" s="508"/>
      <c r="G87" s="505">
        <f t="shared" si="21"/>
        <v>0.2</v>
      </c>
      <c r="I87" s="480">
        <v>6</v>
      </c>
      <c r="J87" s="511">
        <v>80</v>
      </c>
      <c r="K87" s="511">
        <v>-4.5</v>
      </c>
      <c r="L87" s="511">
        <v>-1.2</v>
      </c>
      <c r="M87" s="508"/>
      <c r="N87" s="505">
        <f t="shared" si="22"/>
        <v>1.65</v>
      </c>
      <c r="P87" s="480">
        <v>6</v>
      </c>
      <c r="Q87" s="511">
        <v>1005</v>
      </c>
      <c r="R87" s="512">
        <v>-3.4</v>
      </c>
      <c r="S87" s="512">
        <v>0.2</v>
      </c>
      <c r="T87" s="508"/>
      <c r="U87" s="505">
        <f t="shared" si="23"/>
        <v>1.8</v>
      </c>
    </row>
    <row r="88" spans="1:24" ht="13" x14ac:dyDescent="0.25">
      <c r="A88" s="922"/>
      <c r="B88" s="480">
        <v>7</v>
      </c>
      <c r="C88" s="511">
        <v>40</v>
      </c>
      <c r="D88" s="504">
        <v>9.9999999999999995E-7</v>
      </c>
      <c r="E88" s="511">
        <v>-0.4</v>
      </c>
      <c r="F88" s="508"/>
      <c r="G88" s="505">
        <f t="shared" si="21"/>
        <v>0.2000005</v>
      </c>
      <c r="I88" s="480">
        <v>7</v>
      </c>
      <c r="J88" s="511">
        <v>90</v>
      </c>
      <c r="K88" s="511">
        <v>-4.9000000000000004</v>
      </c>
      <c r="L88" s="511">
        <v>-1.3</v>
      </c>
      <c r="M88" s="508"/>
      <c r="N88" s="505">
        <f t="shared" si="22"/>
        <v>1.8000000000000003</v>
      </c>
      <c r="P88" s="480">
        <v>7</v>
      </c>
      <c r="Q88" s="511">
        <v>1020</v>
      </c>
      <c r="R88" s="512">
        <v>-3.4</v>
      </c>
      <c r="S88" s="504">
        <v>9.9999999999999995E-7</v>
      </c>
      <c r="T88" s="508"/>
      <c r="U88" s="505">
        <f t="shared" si="23"/>
        <v>1.7000005</v>
      </c>
    </row>
    <row r="89" spans="1:24" ht="13.5" thickBot="1" x14ac:dyDescent="0.35">
      <c r="A89" s="515"/>
      <c r="B89" s="516"/>
      <c r="C89" s="516"/>
      <c r="D89" s="516"/>
      <c r="E89" s="517"/>
      <c r="G89" s="516"/>
      <c r="I89" s="516"/>
      <c r="J89" s="516"/>
      <c r="K89" s="516"/>
      <c r="L89" s="517"/>
      <c r="N89" s="516"/>
      <c r="R89" s="514"/>
    </row>
    <row r="90" spans="1:24" x14ac:dyDescent="0.25">
      <c r="A90" s="922">
        <v>9</v>
      </c>
      <c r="B90" s="923" t="s">
        <v>362</v>
      </c>
      <c r="C90" s="923"/>
      <c r="D90" s="923"/>
      <c r="E90" s="923"/>
      <c r="F90" s="923"/>
      <c r="G90" s="923"/>
      <c r="I90" s="923" t="str">
        <f>B90</f>
        <v>KOREKSI GREISINGER 34904091</v>
      </c>
      <c r="J90" s="923"/>
      <c r="K90" s="923"/>
      <c r="L90" s="923"/>
      <c r="M90" s="923"/>
      <c r="N90" s="923"/>
      <c r="P90" s="923" t="str">
        <f>I90</f>
        <v>KOREKSI GREISINGER 34904091</v>
      </c>
      <c r="Q90" s="923"/>
      <c r="R90" s="923"/>
      <c r="S90" s="923"/>
      <c r="T90" s="923"/>
      <c r="U90" s="923"/>
      <c r="W90" s="917" t="s">
        <v>240</v>
      </c>
      <c r="X90" s="918"/>
    </row>
    <row r="91" spans="1:24" ht="13" x14ac:dyDescent="0.25">
      <c r="A91" s="922"/>
      <c r="B91" s="919" t="s">
        <v>348</v>
      </c>
      <c r="C91" s="919"/>
      <c r="D91" s="919" t="s">
        <v>349</v>
      </c>
      <c r="E91" s="919"/>
      <c r="F91" s="919"/>
      <c r="G91" s="919" t="s">
        <v>350</v>
      </c>
      <c r="I91" s="919" t="s">
        <v>351</v>
      </c>
      <c r="J91" s="919"/>
      <c r="K91" s="919" t="s">
        <v>349</v>
      </c>
      <c r="L91" s="919"/>
      <c r="M91" s="919"/>
      <c r="N91" s="919" t="s">
        <v>350</v>
      </c>
      <c r="P91" s="919" t="s">
        <v>352</v>
      </c>
      <c r="Q91" s="919"/>
      <c r="R91" s="919" t="s">
        <v>349</v>
      </c>
      <c r="S91" s="919"/>
      <c r="T91" s="919"/>
      <c r="U91" s="919" t="s">
        <v>350</v>
      </c>
      <c r="W91" s="501" t="s">
        <v>348</v>
      </c>
      <c r="X91" s="502">
        <v>0.3</v>
      </c>
    </row>
    <row r="92" spans="1:24" ht="14.5" x14ac:dyDescent="0.25">
      <c r="A92" s="922"/>
      <c r="B92" s="920" t="s">
        <v>353</v>
      </c>
      <c r="C92" s="920"/>
      <c r="D92" s="503">
        <v>2019</v>
      </c>
      <c r="E92" s="519" t="s">
        <v>115</v>
      </c>
      <c r="F92" s="503">
        <v>2016</v>
      </c>
      <c r="G92" s="919"/>
      <c r="I92" s="921" t="s">
        <v>32</v>
      </c>
      <c r="J92" s="920"/>
      <c r="K92" s="520">
        <f>D92</f>
        <v>2019</v>
      </c>
      <c r="L92" s="520" t="str">
        <f>E92</f>
        <v>-</v>
      </c>
      <c r="M92" s="503">
        <v>2016</v>
      </c>
      <c r="N92" s="919"/>
      <c r="P92" s="921" t="s">
        <v>354</v>
      </c>
      <c r="Q92" s="920"/>
      <c r="R92" s="520">
        <f>K92</f>
        <v>2019</v>
      </c>
      <c r="S92" s="520" t="str">
        <f>L92</f>
        <v>-</v>
      </c>
      <c r="T92" s="503">
        <v>2016</v>
      </c>
      <c r="U92" s="919"/>
      <c r="W92" s="501" t="s">
        <v>32</v>
      </c>
      <c r="X92" s="502">
        <v>2.4</v>
      </c>
    </row>
    <row r="93" spans="1:24" ht="13.5" thickBot="1" x14ac:dyDescent="0.3">
      <c r="A93" s="922"/>
      <c r="B93" s="480">
        <v>1</v>
      </c>
      <c r="C93" s="504">
        <v>15</v>
      </c>
      <c r="D93" s="504">
        <v>9.9999999999999995E-7</v>
      </c>
      <c r="E93" s="504" t="s">
        <v>115</v>
      </c>
      <c r="F93" s="508"/>
      <c r="G93" s="505">
        <f>0.5*(MAX(D93:F93)-MIN(D93:F93))</f>
        <v>0</v>
      </c>
      <c r="I93" s="480">
        <v>1</v>
      </c>
      <c r="J93" s="504">
        <v>30</v>
      </c>
      <c r="K93" s="504">
        <v>-1.2</v>
      </c>
      <c r="L93" s="504" t="s">
        <v>115</v>
      </c>
      <c r="M93" s="508"/>
      <c r="N93" s="505">
        <f>0.5*(MAX(K93:M93)-MIN(K93:M93))</f>
        <v>0</v>
      </c>
      <c r="P93" s="480">
        <v>1</v>
      </c>
      <c r="Q93" s="504">
        <v>750</v>
      </c>
      <c r="R93" s="504">
        <v>9.9999999999999995E-7</v>
      </c>
      <c r="S93" s="507" t="s">
        <v>115</v>
      </c>
      <c r="T93" s="508"/>
      <c r="U93" s="505">
        <f>0.5*(MAX(R93:T93)-MIN(R93:T93))</f>
        <v>0</v>
      </c>
      <c r="W93" s="509" t="s">
        <v>354</v>
      </c>
      <c r="X93" s="510">
        <v>2.2000000000000002</v>
      </c>
    </row>
    <row r="94" spans="1:24" ht="13" x14ac:dyDescent="0.25">
      <c r="A94" s="922"/>
      <c r="B94" s="480">
        <v>2</v>
      </c>
      <c r="C94" s="504">
        <v>20</v>
      </c>
      <c r="D94" s="504">
        <v>-0.2</v>
      </c>
      <c r="E94" s="504" t="s">
        <v>115</v>
      </c>
      <c r="F94" s="508"/>
      <c r="G94" s="505">
        <f t="shared" ref="G94:G99" si="24">0.5*(MAX(D94:F94)-MIN(D94:F94))</f>
        <v>0</v>
      </c>
      <c r="I94" s="480">
        <v>2</v>
      </c>
      <c r="J94" s="504">
        <v>40</v>
      </c>
      <c r="K94" s="504">
        <v>-1</v>
      </c>
      <c r="L94" s="504" t="s">
        <v>115</v>
      </c>
      <c r="M94" s="508"/>
      <c r="N94" s="505">
        <f t="shared" ref="N94:N99" si="25">0.5*(MAX(K94:M94)-MIN(K94:M94))</f>
        <v>0</v>
      </c>
      <c r="P94" s="480">
        <v>2</v>
      </c>
      <c r="Q94" s="504">
        <v>800</v>
      </c>
      <c r="R94" s="504">
        <v>9.9999999999999995E-7</v>
      </c>
      <c r="S94" s="507" t="s">
        <v>115</v>
      </c>
      <c r="T94" s="508"/>
      <c r="U94" s="505">
        <f t="shared" ref="U94:U99" si="26">0.5*(MAX(R94:T94)-MIN(R94:T94))</f>
        <v>0</v>
      </c>
    </row>
    <row r="95" spans="1:24" ht="13" x14ac:dyDescent="0.25">
      <c r="A95" s="922"/>
      <c r="B95" s="480">
        <v>3</v>
      </c>
      <c r="C95" s="504">
        <v>25</v>
      </c>
      <c r="D95" s="504">
        <v>-0.4</v>
      </c>
      <c r="E95" s="504" t="s">
        <v>115</v>
      </c>
      <c r="F95" s="508"/>
      <c r="G95" s="505">
        <f t="shared" si="24"/>
        <v>0</v>
      </c>
      <c r="I95" s="480">
        <v>3</v>
      </c>
      <c r="J95" s="504">
        <v>50</v>
      </c>
      <c r="K95" s="504">
        <v>-0.9</v>
      </c>
      <c r="L95" s="504" t="s">
        <v>115</v>
      </c>
      <c r="M95" s="508"/>
      <c r="N95" s="505">
        <f t="shared" si="25"/>
        <v>0</v>
      </c>
      <c r="P95" s="480">
        <v>3</v>
      </c>
      <c r="Q95" s="504">
        <v>850</v>
      </c>
      <c r="R95" s="504">
        <v>9.9999999999999995E-7</v>
      </c>
      <c r="S95" s="507" t="s">
        <v>115</v>
      </c>
      <c r="T95" s="508"/>
      <c r="U95" s="505">
        <f t="shared" si="26"/>
        <v>0</v>
      </c>
    </row>
    <row r="96" spans="1:24" ht="13" x14ac:dyDescent="0.25">
      <c r="A96" s="922"/>
      <c r="B96" s="480">
        <v>4</v>
      </c>
      <c r="C96" s="511">
        <v>30</v>
      </c>
      <c r="D96" s="504">
        <v>-0.5</v>
      </c>
      <c r="E96" s="512" t="s">
        <v>115</v>
      </c>
      <c r="F96" s="508"/>
      <c r="G96" s="505">
        <f t="shared" si="24"/>
        <v>0</v>
      </c>
      <c r="I96" s="480">
        <v>4</v>
      </c>
      <c r="J96" s="511">
        <v>60</v>
      </c>
      <c r="K96" s="504">
        <v>-0.8</v>
      </c>
      <c r="L96" s="512" t="s">
        <v>115</v>
      </c>
      <c r="M96" s="508"/>
      <c r="N96" s="505">
        <f t="shared" si="25"/>
        <v>0</v>
      </c>
      <c r="P96" s="480">
        <v>4</v>
      </c>
      <c r="Q96" s="511">
        <v>900</v>
      </c>
      <c r="R96" s="504">
        <v>9.9999999999999995E-7</v>
      </c>
      <c r="S96" s="512" t="s">
        <v>115</v>
      </c>
      <c r="T96" s="508"/>
      <c r="U96" s="505">
        <f t="shared" si="26"/>
        <v>0</v>
      </c>
    </row>
    <row r="97" spans="1:28" ht="13" x14ac:dyDescent="0.25">
      <c r="A97" s="922"/>
      <c r="B97" s="480">
        <v>5</v>
      </c>
      <c r="C97" s="511">
        <v>35</v>
      </c>
      <c r="D97" s="504">
        <v>-0.5</v>
      </c>
      <c r="E97" s="512" t="s">
        <v>115</v>
      </c>
      <c r="F97" s="508"/>
      <c r="G97" s="505">
        <f t="shared" si="24"/>
        <v>0</v>
      </c>
      <c r="I97" s="480">
        <v>5</v>
      </c>
      <c r="J97" s="511">
        <v>70</v>
      </c>
      <c r="K97" s="504">
        <v>-0.6</v>
      </c>
      <c r="L97" s="512" t="s">
        <v>115</v>
      </c>
      <c r="M97" s="508"/>
      <c r="N97" s="505">
        <f t="shared" si="25"/>
        <v>0</v>
      </c>
      <c r="P97" s="480">
        <v>5</v>
      </c>
      <c r="Q97" s="511">
        <v>1000</v>
      </c>
      <c r="R97" s="512">
        <v>0.2</v>
      </c>
      <c r="S97" s="512" t="s">
        <v>115</v>
      </c>
      <c r="T97" s="508"/>
      <c r="U97" s="505">
        <f t="shared" si="26"/>
        <v>0</v>
      </c>
    </row>
    <row r="98" spans="1:28" ht="13" x14ac:dyDescent="0.25">
      <c r="A98" s="922"/>
      <c r="B98" s="480">
        <v>6</v>
      </c>
      <c r="C98" s="511">
        <v>37</v>
      </c>
      <c r="D98" s="504">
        <v>-0.5</v>
      </c>
      <c r="E98" s="512" t="s">
        <v>115</v>
      </c>
      <c r="F98" s="508"/>
      <c r="G98" s="505">
        <f t="shared" si="24"/>
        <v>0</v>
      </c>
      <c r="I98" s="480">
        <v>6</v>
      </c>
      <c r="J98" s="511">
        <v>80</v>
      </c>
      <c r="K98" s="504">
        <v>-0.5</v>
      </c>
      <c r="L98" s="512" t="s">
        <v>115</v>
      </c>
      <c r="M98" s="508"/>
      <c r="N98" s="505">
        <f t="shared" si="25"/>
        <v>0</v>
      </c>
      <c r="P98" s="480">
        <v>6</v>
      </c>
      <c r="Q98" s="511">
        <v>1005</v>
      </c>
      <c r="R98" s="512">
        <v>0.2</v>
      </c>
      <c r="S98" s="512" t="s">
        <v>115</v>
      </c>
      <c r="T98" s="508"/>
      <c r="U98" s="505">
        <f t="shared" si="26"/>
        <v>0</v>
      </c>
    </row>
    <row r="99" spans="1:28" ht="13" x14ac:dyDescent="0.25">
      <c r="A99" s="922"/>
      <c r="B99" s="480">
        <v>7</v>
      </c>
      <c r="C99" s="511">
        <v>40</v>
      </c>
      <c r="D99" s="504">
        <v>-0.4</v>
      </c>
      <c r="E99" s="512" t="s">
        <v>115</v>
      </c>
      <c r="F99" s="508"/>
      <c r="G99" s="505">
        <f t="shared" si="24"/>
        <v>0</v>
      </c>
      <c r="I99" s="480">
        <v>7</v>
      </c>
      <c r="J99" s="511">
        <v>90</v>
      </c>
      <c r="K99" s="504">
        <v>-0.2</v>
      </c>
      <c r="L99" s="512" t="s">
        <v>115</v>
      </c>
      <c r="M99" s="508"/>
      <c r="N99" s="505">
        <f t="shared" si="25"/>
        <v>0</v>
      </c>
      <c r="P99" s="480">
        <v>7</v>
      </c>
      <c r="Q99" s="511">
        <v>1020</v>
      </c>
      <c r="R99" s="504">
        <v>9.9999999999999995E-7</v>
      </c>
      <c r="S99" s="512" t="s">
        <v>115</v>
      </c>
      <c r="T99" s="508"/>
      <c r="U99" s="505">
        <f t="shared" si="26"/>
        <v>0</v>
      </c>
    </row>
    <row r="100" spans="1:28" ht="13.5" thickBot="1" x14ac:dyDescent="0.35">
      <c r="A100" s="515"/>
      <c r="B100" s="516"/>
      <c r="C100" s="516"/>
      <c r="D100" s="516"/>
      <c r="E100" s="517"/>
      <c r="G100" s="516"/>
      <c r="I100" s="516"/>
      <c r="J100" s="516"/>
      <c r="K100" s="516"/>
      <c r="L100" s="517"/>
      <c r="N100" s="516"/>
      <c r="R100" s="514"/>
      <c r="AB100" s="406"/>
    </row>
    <row r="101" spans="1:28" x14ac:dyDescent="0.25">
      <c r="A101" s="922">
        <v>10</v>
      </c>
      <c r="B101" s="923" t="s">
        <v>363</v>
      </c>
      <c r="C101" s="923"/>
      <c r="D101" s="923"/>
      <c r="E101" s="923"/>
      <c r="F101" s="923"/>
      <c r="G101" s="923"/>
      <c r="I101" s="923" t="str">
        <f>B101</f>
        <v>KOREKSI Sekonic HE-21.000669</v>
      </c>
      <c r="J101" s="923"/>
      <c r="K101" s="923"/>
      <c r="L101" s="923"/>
      <c r="M101" s="923"/>
      <c r="N101" s="923"/>
      <c r="P101" s="923" t="str">
        <f>I101</f>
        <v>KOREKSI Sekonic HE-21.000669</v>
      </c>
      <c r="Q101" s="923"/>
      <c r="R101" s="923"/>
      <c r="S101" s="923"/>
      <c r="T101" s="923"/>
      <c r="U101" s="923"/>
      <c r="W101" s="917" t="s">
        <v>240</v>
      </c>
      <c r="X101" s="918"/>
    </row>
    <row r="102" spans="1:28" ht="13" x14ac:dyDescent="0.25">
      <c r="A102" s="922"/>
      <c r="B102" s="919" t="s">
        <v>348</v>
      </c>
      <c r="C102" s="919"/>
      <c r="D102" s="919" t="s">
        <v>349</v>
      </c>
      <c r="E102" s="919"/>
      <c r="F102" s="919"/>
      <c r="G102" s="919" t="s">
        <v>350</v>
      </c>
      <c r="I102" s="919" t="s">
        <v>351</v>
      </c>
      <c r="J102" s="919"/>
      <c r="K102" s="919" t="s">
        <v>349</v>
      </c>
      <c r="L102" s="919"/>
      <c r="M102" s="919"/>
      <c r="N102" s="919" t="s">
        <v>350</v>
      </c>
      <c r="P102" s="919" t="s">
        <v>352</v>
      </c>
      <c r="Q102" s="919"/>
      <c r="R102" s="919" t="s">
        <v>349</v>
      </c>
      <c r="S102" s="919"/>
      <c r="T102" s="919"/>
      <c r="U102" s="919" t="s">
        <v>350</v>
      </c>
      <c r="W102" s="501" t="s">
        <v>348</v>
      </c>
      <c r="X102" s="502">
        <v>0.3</v>
      </c>
    </row>
    <row r="103" spans="1:28" ht="14.5" x14ac:dyDescent="0.25">
      <c r="A103" s="922"/>
      <c r="B103" s="920" t="s">
        <v>353</v>
      </c>
      <c r="C103" s="920"/>
      <c r="D103" s="503">
        <v>2019</v>
      </c>
      <c r="E103" s="503">
        <v>2016</v>
      </c>
      <c r="F103" s="503">
        <v>2016</v>
      </c>
      <c r="G103" s="919"/>
      <c r="I103" s="921" t="s">
        <v>32</v>
      </c>
      <c r="J103" s="920"/>
      <c r="K103" s="520">
        <f>D103</f>
        <v>2019</v>
      </c>
      <c r="L103" s="520">
        <f>E103</f>
        <v>2016</v>
      </c>
      <c r="M103" s="503">
        <v>2016</v>
      </c>
      <c r="N103" s="919"/>
      <c r="P103" s="921" t="s">
        <v>354</v>
      </c>
      <c r="Q103" s="920"/>
      <c r="R103" s="503">
        <f>K103</f>
        <v>2019</v>
      </c>
      <c r="S103" s="503">
        <f>L103</f>
        <v>2016</v>
      </c>
      <c r="T103" s="503">
        <v>2016</v>
      </c>
      <c r="U103" s="919"/>
      <c r="W103" s="501" t="s">
        <v>32</v>
      </c>
      <c r="X103" s="502">
        <v>1.5</v>
      </c>
    </row>
    <row r="104" spans="1:28" ht="13.5" thickBot="1" x14ac:dyDescent="0.3">
      <c r="A104" s="922"/>
      <c r="B104" s="480">
        <v>1</v>
      </c>
      <c r="C104" s="504">
        <v>15</v>
      </c>
      <c r="D104" s="504">
        <v>0.2</v>
      </c>
      <c r="E104" s="504">
        <v>0.2</v>
      </c>
      <c r="F104" s="508"/>
      <c r="G104" s="505">
        <f>0.5*(MAX(D104:F104)-MIN(D104:F104))</f>
        <v>0</v>
      </c>
      <c r="I104" s="480">
        <v>1</v>
      </c>
      <c r="J104" s="504">
        <v>30</v>
      </c>
      <c r="K104" s="504">
        <v>-2.9</v>
      </c>
      <c r="L104" s="504">
        <v>-5.8</v>
      </c>
      <c r="M104" s="508"/>
      <c r="N104" s="505">
        <f>0.5*(MAX(K104:M104)-MIN(K104:M104))</f>
        <v>1.45</v>
      </c>
      <c r="P104" s="480">
        <v>1</v>
      </c>
      <c r="Q104" s="504">
        <v>750</v>
      </c>
      <c r="R104" s="507" t="s">
        <v>115</v>
      </c>
      <c r="S104" s="507" t="s">
        <v>115</v>
      </c>
      <c r="T104" s="508"/>
      <c r="U104" s="505">
        <f>0.5*(MAX(R104:T104)-MIN(R104:T104))</f>
        <v>0</v>
      </c>
      <c r="W104" s="509" t="s">
        <v>354</v>
      </c>
      <c r="X104" s="510">
        <v>0</v>
      </c>
    </row>
    <row r="105" spans="1:28" ht="13" x14ac:dyDescent="0.25">
      <c r="A105" s="922"/>
      <c r="B105" s="480">
        <v>2</v>
      </c>
      <c r="C105" s="504">
        <v>20</v>
      </c>
      <c r="D105" s="504">
        <v>0.2</v>
      </c>
      <c r="E105" s="504">
        <v>-0.7</v>
      </c>
      <c r="F105" s="508"/>
      <c r="G105" s="505">
        <f t="shared" ref="G105:G110" si="27">0.5*(MAX(D105:F105)-MIN(D105:F105))</f>
        <v>0.44999999999999996</v>
      </c>
      <c r="I105" s="480">
        <v>2</v>
      </c>
      <c r="J105" s="504">
        <v>40</v>
      </c>
      <c r="K105" s="504">
        <v>-3.3</v>
      </c>
      <c r="L105" s="504">
        <v>-6.4</v>
      </c>
      <c r="M105" s="508"/>
      <c r="N105" s="505">
        <f t="shared" ref="N105:N110" si="28">0.5*(MAX(K105:M105)-MIN(K105:M105))</f>
        <v>1.5500000000000003</v>
      </c>
      <c r="P105" s="480">
        <v>2</v>
      </c>
      <c r="Q105" s="504">
        <v>800</v>
      </c>
      <c r="R105" s="507" t="s">
        <v>115</v>
      </c>
      <c r="S105" s="507" t="s">
        <v>115</v>
      </c>
      <c r="T105" s="508"/>
      <c r="U105" s="505">
        <f t="shared" ref="U105:U110" si="29">0.5*(MAX(R105:T105)-MIN(R105:T105))</f>
        <v>0</v>
      </c>
    </row>
    <row r="106" spans="1:28" ht="13" x14ac:dyDescent="0.25">
      <c r="A106" s="922"/>
      <c r="B106" s="480">
        <v>3</v>
      </c>
      <c r="C106" s="504">
        <v>25</v>
      </c>
      <c r="D106" s="504">
        <v>0.1</v>
      </c>
      <c r="E106" s="504">
        <v>-0.5</v>
      </c>
      <c r="F106" s="508"/>
      <c r="G106" s="505">
        <f t="shared" si="27"/>
        <v>0.3</v>
      </c>
      <c r="I106" s="480">
        <v>3</v>
      </c>
      <c r="J106" s="504">
        <v>50</v>
      </c>
      <c r="K106" s="504">
        <v>-3.1</v>
      </c>
      <c r="L106" s="504">
        <v>-6.1</v>
      </c>
      <c r="M106" s="508"/>
      <c r="N106" s="505">
        <f t="shared" si="28"/>
        <v>1.4999999999999998</v>
      </c>
      <c r="P106" s="480">
        <v>3</v>
      </c>
      <c r="Q106" s="504">
        <v>850</v>
      </c>
      <c r="R106" s="507" t="s">
        <v>115</v>
      </c>
      <c r="S106" s="507" t="s">
        <v>115</v>
      </c>
      <c r="T106" s="508"/>
      <c r="U106" s="505">
        <f t="shared" si="29"/>
        <v>0</v>
      </c>
    </row>
    <row r="107" spans="1:28" ht="13" x14ac:dyDescent="0.25">
      <c r="A107" s="922"/>
      <c r="B107" s="480">
        <v>4</v>
      </c>
      <c r="C107" s="511">
        <v>30</v>
      </c>
      <c r="D107" s="511">
        <v>0.1</v>
      </c>
      <c r="E107" s="511">
        <v>0.2</v>
      </c>
      <c r="F107" s="508"/>
      <c r="G107" s="505">
        <f t="shared" si="27"/>
        <v>0.05</v>
      </c>
      <c r="I107" s="480">
        <v>4</v>
      </c>
      <c r="J107" s="511">
        <v>60</v>
      </c>
      <c r="K107" s="511">
        <v>-2.1</v>
      </c>
      <c r="L107" s="511">
        <v>-5.6</v>
      </c>
      <c r="M107" s="508"/>
      <c r="N107" s="505">
        <f t="shared" si="28"/>
        <v>1.7499999999999998</v>
      </c>
      <c r="P107" s="480">
        <v>4</v>
      </c>
      <c r="Q107" s="511">
        <v>900</v>
      </c>
      <c r="R107" s="512" t="s">
        <v>115</v>
      </c>
      <c r="S107" s="512" t="s">
        <v>115</v>
      </c>
      <c r="T107" s="508"/>
      <c r="U107" s="505">
        <f t="shared" si="29"/>
        <v>0</v>
      </c>
    </row>
    <row r="108" spans="1:28" ht="13" x14ac:dyDescent="0.25">
      <c r="A108" s="922"/>
      <c r="B108" s="480">
        <v>5</v>
      </c>
      <c r="C108" s="511">
        <v>35</v>
      </c>
      <c r="D108" s="511">
        <v>0.2</v>
      </c>
      <c r="E108" s="511">
        <v>0.8</v>
      </c>
      <c r="F108" s="508"/>
      <c r="G108" s="505">
        <f t="shared" si="27"/>
        <v>0.30000000000000004</v>
      </c>
      <c r="I108" s="480">
        <v>5</v>
      </c>
      <c r="J108" s="511">
        <v>70</v>
      </c>
      <c r="K108" s="511">
        <v>-0.3</v>
      </c>
      <c r="L108" s="511">
        <v>-5.0999999999999996</v>
      </c>
      <c r="M108" s="508"/>
      <c r="N108" s="505">
        <f t="shared" si="28"/>
        <v>2.4</v>
      </c>
      <c r="P108" s="480">
        <v>5</v>
      </c>
      <c r="Q108" s="511">
        <v>1000</v>
      </c>
      <c r="R108" s="512" t="s">
        <v>115</v>
      </c>
      <c r="S108" s="512" t="s">
        <v>115</v>
      </c>
      <c r="T108" s="508"/>
      <c r="U108" s="505">
        <f t="shared" si="29"/>
        <v>0</v>
      </c>
    </row>
    <row r="109" spans="1:28" ht="13" x14ac:dyDescent="0.25">
      <c r="A109" s="922"/>
      <c r="B109" s="480">
        <v>6</v>
      </c>
      <c r="C109" s="511">
        <v>37</v>
      </c>
      <c r="D109" s="511">
        <v>0.2</v>
      </c>
      <c r="E109" s="511">
        <v>0.4</v>
      </c>
      <c r="F109" s="508"/>
      <c r="G109" s="505">
        <f t="shared" si="27"/>
        <v>0.1</v>
      </c>
      <c r="I109" s="480">
        <v>6</v>
      </c>
      <c r="J109" s="511">
        <v>80</v>
      </c>
      <c r="K109" s="511">
        <v>2.2000000000000002</v>
      </c>
      <c r="L109" s="511">
        <v>-4.7</v>
      </c>
      <c r="M109" s="508"/>
      <c r="N109" s="505">
        <f t="shared" si="28"/>
        <v>3.45</v>
      </c>
      <c r="P109" s="480">
        <v>6</v>
      </c>
      <c r="Q109" s="511">
        <v>1005</v>
      </c>
      <c r="R109" s="512" t="s">
        <v>115</v>
      </c>
      <c r="S109" s="512" t="s">
        <v>115</v>
      </c>
      <c r="T109" s="508"/>
      <c r="U109" s="505">
        <f t="shared" si="29"/>
        <v>0</v>
      </c>
    </row>
    <row r="110" spans="1:28" ht="13.5" thickBot="1" x14ac:dyDescent="0.3">
      <c r="A110" s="922"/>
      <c r="B110" s="480">
        <v>7</v>
      </c>
      <c r="C110" s="511">
        <v>40</v>
      </c>
      <c r="D110" s="504">
        <v>0.2</v>
      </c>
      <c r="E110" s="504">
        <v>9.9999999999999995E-7</v>
      </c>
      <c r="F110" s="508"/>
      <c r="G110" s="505">
        <f t="shared" si="27"/>
        <v>9.9999500000000005E-2</v>
      </c>
      <c r="I110" s="480">
        <v>7</v>
      </c>
      <c r="J110" s="511">
        <v>90</v>
      </c>
      <c r="K110" s="511">
        <v>5.4</v>
      </c>
      <c r="L110" s="504">
        <v>9.9999999999999995E-7</v>
      </c>
      <c r="M110" s="508"/>
      <c r="N110" s="505">
        <f t="shared" si="28"/>
        <v>2.6999995000000001</v>
      </c>
      <c r="P110" s="480">
        <v>7</v>
      </c>
      <c r="Q110" s="511">
        <v>1020</v>
      </c>
      <c r="R110" s="512" t="s">
        <v>115</v>
      </c>
      <c r="S110" s="512" t="s">
        <v>115</v>
      </c>
      <c r="T110" s="508"/>
      <c r="U110" s="505">
        <f t="shared" si="29"/>
        <v>0</v>
      </c>
    </row>
    <row r="111" spans="1:28" ht="13.5" thickBot="1" x14ac:dyDescent="0.35">
      <c r="A111" s="515"/>
      <c r="B111" s="516"/>
      <c r="C111" s="516"/>
      <c r="D111" s="516"/>
      <c r="E111" s="517"/>
      <c r="F111" s="516"/>
      <c r="G111" s="406"/>
      <c r="H111" s="516"/>
      <c r="I111" s="516"/>
      <c r="J111" s="516"/>
      <c r="K111" s="517"/>
      <c r="L111" s="516"/>
      <c r="M111" s="406"/>
      <c r="O111" s="521"/>
      <c r="P111" s="514"/>
    </row>
    <row r="112" spans="1:28" x14ac:dyDescent="0.25">
      <c r="A112" s="922">
        <v>11</v>
      </c>
      <c r="B112" s="923" t="s">
        <v>364</v>
      </c>
      <c r="C112" s="923"/>
      <c r="D112" s="923"/>
      <c r="E112" s="923"/>
      <c r="F112" s="923"/>
      <c r="G112" s="923"/>
      <c r="I112" s="923" t="str">
        <f>B112</f>
        <v>KOREKSI Sekonic HE-21.000670</v>
      </c>
      <c r="J112" s="923"/>
      <c r="K112" s="923"/>
      <c r="L112" s="923"/>
      <c r="M112" s="923"/>
      <c r="N112" s="923"/>
      <c r="P112" s="923" t="str">
        <f>I112</f>
        <v>KOREKSI Sekonic HE-21.000670</v>
      </c>
      <c r="Q112" s="923"/>
      <c r="R112" s="923"/>
      <c r="S112" s="923"/>
      <c r="T112" s="923"/>
      <c r="U112" s="923"/>
      <c r="W112" s="917" t="s">
        <v>240</v>
      </c>
      <c r="X112" s="918"/>
      <c r="AB112" s="521"/>
    </row>
    <row r="113" spans="1:24" ht="13" x14ac:dyDescent="0.25">
      <c r="A113" s="922"/>
      <c r="B113" s="919" t="s">
        <v>348</v>
      </c>
      <c r="C113" s="919"/>
      <c r="D113" s="919" t="s">
        <v>349</v>
      </c>
      <c r="E113" s="919"/>
      <c r="F113" s="919"/>
      <c r="G113" s="919" t="s">
        <v>350</v>
      </c>
      <c r="I113" s="919" t="s">
        <v>351</v>
      </c>
      <c r="J113" s="919"/>
      <c r="K113" s="919" t="s">
        <v>349</v>
      </c>
      <c r="L113" s="919"/>
      <c r="M113" s="919"/>
      <c r="N113" s="919" t="s">
        <v>350</v>
      </c>
      <c r="P113" s="919" t="s">
        <v>352</v>
      </c>
      <c r="Q113" s="919"/>
      <c r="R113" s="919" t="s">
        <v>349</v>
      </c>
      <c r="S113" s="919"/>
      <c r="T113" s="919"/>
      <c r="U113" s="919" t="s">
        <v>350</v>
      </c>
      <c r="W113" s="501" t="s">
        <v>348</v>
      </c>
      <c r="X113" s="502">
        <v>0.3</v>
      </c>
    </row>
    <row r="114" spans="1:24" ht="14.5" x14ac:dyDescent="0.25">
      <c r="A114" s="922"/>
      <c r="B114" s="920" t="s">
        <v>353</v>
      </c>
      <c r="C114" s="920"/>
      <c r="D114" s="503">
        <v>2020</v>
      </c>
      <c r="E114" s="519">
        <v>2016</v>
      </c>
      <c r="F114" s="503">
        <v>2016</v>
      </c>
      <c r="G114" s="919"/>
      <c r="I114" s="921" t="s">
        <v>32</v>
      </c>
      <c r="J114" s="920"/>
      <c r="K114" s="520">
        <f>D114</f>
        <v>2020</v>
      </c>
      <c r="L114" s="520">
        <f>E114</f>
        <v>2016</v>
      </c>
      <c r="M114" s="503">
        <v>2016</v>
      </c>
      <c r="N114" s="919"/>
      <c r="P114" s="921" t="s">
        <v>354</v>
      </c>
      <c r="Q114" s="920"/>
      <c r="R114" s="520">
        <f>K114</f>
        <v>2020</v>
      </c>
      <c r="S114" s="520">
        <f>L114</f>
        <v>2016</v>
      </c>
      <c r="T114" s="503">
        <v>2016</v>
      </c>
      <c r="U114" s="919"/>
      <c r="W114" s="501" t="s">
        <v>32</v>
      </c>
      <c r="X114" s="502">
        <v>1.8</v>
      </c>
    </row>
    <row r="115" spans="1:24" ht="13.5" thickBot="1" x14ac:dyDescent="0.3">
      <c r="A115" s="922"/>
      <c r="B115" s="480">
        <v>1</v>
      </c>
      <c r="C115" s="504">
        <v>15</v>
      </c>
      <c r="D115" s="504">
        <v>0.3</v>
      </c>
      <c r="E115" s="504">
        <v>0.3</v>
      </c>
      <c r="F115" s="508"/>
      <c r="G115" s="505">
        <f>0.5*(MAX(D115:F115)-MIN(D115:F115))</f>
        <v>0</v>
      </c>
      <c r="I115" s="480">
        <v>1</v>
      </c>
      <c r="J115" s="504">
        <v>30</v>
      </c>
      <c r="K115" s="504">
        <v>-5.2</v>
      </c>
      <c r="L115" s="504">
        <v>-6.4</v>
      </c>
      <c r="M115" s="508"/>
      <c r="N115" s="505">
        <f>0.5*(MAX(K115:M115)-MIN(K115:M115))</f>
        <v>0.60000000000000009</v>
      </c>
      <c r="P115" s="480">
        <v>1</v>
      </c>
      <c r="Q115" s="504">
        <v>750</v>
      </c>
      <c r="R115" s="507" t="s">
        <v>115</v>
      </c>
      <c r="S115" s="504" t="s">
        <v>115</v>
      </c>
      <c r="T115" s="508"/>
      <c r="U115" s="505">
        <f>0.5*(MAX(R115:T115)-MIN(R115:T115))</f>
        <v>0</v>
      </c>
      <c r="W115" s="509" t="s">
        <v>354</v>
      </c>
      <c r="X115" s="510">
        <v>0</v>
      </c>
    </row>
    <row r="116" spans="1:24" ht="13" x14ac:dyDescent="0.25">
      <c r="A116" s="922"/>
      <c r="B116" s="480">
        <v>2</v>
      </c>
      <c r="C116" s="504">
        <v>20</v>
      </c>
      <c r="D116" s="504">
        <v>0.4</v>
      </c>
      <c r="E116" s="504">
        <v>0.5</v>
      </c>
      <c r="F116" s="508"/>
      <c r="G116" s="505">
        <f t="shared" ref="G116:G121" si="30">0.5*(MAX(D116:F116)-MIN(D116:F116))</f>
        <v>4.9999999999999989E-2</v>
      </c>
      <c r="I116" s="480">
        <v>2</v>
      </c>
      <c r="J116" s="504">
        <v>40</v>
      </c>
      <c r="K116" s="504">
        <v>-5.5</v>
      </c>
      <c r="L116" s="504">
        <v>-5.9</v>
      </c>
      <c r="M116" s="508"/>
      <c r="N116" s="505">
        <f t="shared" ref="N116:N121" si="31">0.5*(MAX(K116:M116)-MIN(K116:M116))</f>
        <v>0.20000000000000018</v>
      </c>
      <c r="P116" s="480">
        <v>2</v>
      </c>
      <c r="Q116" s="504">
        <v>800</v>
      </c>
      <c r="R116" s="507" t="s">
        <v>115</v>
      </c>
      <c r="S116" s="504" t="s">
        <v>115</v>
      </c>
      <c r="T116" s="508"/>
      <c r="U116" s="505">
        <f t="shared" ref="U116:U121" si="32">0.5*(MAX(R116:T116)-MIN(R116:T116))</f>
        <v>0</v>
      </c>
    </row>
    <row r="117" spans="1:24" ht="13" x14ac:dyDescent="0.25">
      <c r="A117" s="922"/>
      <c r="B117" s="480">
        <v>3</v>
      </c>
      <c r="C117" s="504">
        <v>25</v>
      </c>
      <c r="D117" s="504">
        <v>0.4</v>
      </c>
      <c r="E117" s="504">
        <v>0.5</v>
      </c>
      <c r="F117" s="508"/>
      <c r="G117" s="505">
        <f t="shared" si="30"/>
        <v>4.9999999999999989E-2</v>
      </c>
      <c r="I117" s="480">
        <v>3</v>
      </c>
      <c r="J117" s="504">
        <v>50</v>
      </c>
      <c r="K117" s="504">
        <v>-5.5</v>
      </c>
      <c r="L117" s="504">
        <v>-5.6</v>
      </c>
      <c r="M117" s="508"/>
      <c r="N117" s="505">
        <f t="shared" si="31"/>
        <v>4.9999999999999822E-2</v>
      </c>
      <c r="P117" s="480">
        <v>3</v>
      </c>
      <c r="Q117" s="504">
        <v>850</v>
      </c>
      <c r="R117" s="507" t="s">
        <v>115</v>
      </c>
      <c r="S117" s="504" t="s">
        <v>115</v>
      </c>
      <c r="T117" s="508"/>
      <c r="U117" s="505">
        <f t="shared" si="32"/>
        <v>0</v>
      </c>
    </row>
    <row r="118" spans="1:24" ht="13" x14ac:dyDescent="0.25">
      <c r="A118" s="922"/>
      <c r="B118" s="480">
        <v>4</v>
      </c>
      <c r="C118" s="511">
        <v>30</v>
      </c>
      <c r="D118" s="511">
        <v>0.5</v>
      </c>
      <c r="E118" s="511">
        <v>0.4</v>
      </c>
      <c r="F118" s="508"/>
      <c r="G118" s="505">
        <f t="shared" si="30"/>
        <v>4.9999999999999989E-2</v>
      </c>
      <c r="I118" s="480">
        <v>4</v>
      </c>
      <c r="J118" s="511">
        <v>60</v>
      </c>
      <c r="K118" s="511">
        <v>-4.8</v>
      </c>
      <c r="L118" s="511">
        <v>-4.5</v>
      </c>
      <c r="M118" s="508"/>
      <c r="N118" s="505">
        <f t="shared" si="31"/>
        <v>0.14999999999999991</v>
      </c>
      <c r="P118" s="480">
        <v>4</v>
      </c>
      <c r="Q118" s="511">
        <v>900</v>
      </c>
      <c r="R118" s="512" t="s">
        <v>115</v>
      </c>
      <c r="S118" s="512" t="s">
        <v>115</v>
      </c>
      <c r="T118" s="508"/>
      <c r="U118" s="505">
        <f t="shared" si="32"/>
        <v>0</v>
      </c>
    </row>
    <row r="119" spans="1:24" ht="13" x14ac:dyDescent="0.25">
      <c r="A119" s="922"/>
      <c r="B119" s="480">
        <v>5</v>
      </c>
      <c r="C119" s="511">
        <v>35</v>
      </c>
      <c r="D119" s="511">
        <v>0.5</v>
      </c>
      <c r="E119" s="511">
        <v>0.4</v>
      </c>
      <c r="F119" s="508"/>
      <c r="G119" s="505">
        <f t="shared" si="30"/>
        <v>4.9999999999999989E-2</v>
      </c>
      <c r="I119" s="480">
        <v>5</v>
      </c>
      <c r="J119" s="511">
        <v>70</v>
      </c>
      <c r="K119" s="511">
        <v>-3.4</v>
      </c>
      <c r="L119" s="511">
        <v>-1.7</v>
      </c>
      <c r="M119" s="508"/>
      <c r="N119" s="505">
        <f t="shared" si="31"/>
        <v>0.85</v>
      </c>
      <c r="P119" s="480">
        <v>5</v>
      </c>
      <c r="Q119" s="511">
        <v>1000</v>
      </c>
      <c r="R119" s="512" t="s">
        <v>115</v>
      </c>
      <c r="S119" s="512" t="s">
        <v>115</v>
      </c>
      <c r="T119" s="508"/>
      <c r="U119" s="505">
        <f t="shared" si="32"/>
        <v>0</v>
      </c>
    </row>
    <row r="120" spans="1:24" ht="13" x14ac:dyDescent="0.25">
      <c r="A120" s="922"/>
      <c r="B120" s="480">
        <v>6</v>
      </c>
      <c r="C120" s="511">
        <v>37</v>
      </c>
      <c r="D120" s="511">
        <v>0.5</v>
      </c>
      <c r="E120" s="511">
        <v>0.5</v>
      </c>
      <c r="F120" s="508"/>
      <c r="G120" s="505">
        <f t="shared" si="30"/>
        <v>0</v>
      </c>
      <c r="I120" s="480">
        <v>6</v>
      </c>
      <c r="J120" s="511">
        <v>80</v>
      </c>
      <c r="K120" s="511">
        <v>-1.4</v>
      </c>
      <c r="L120" s="511">
        <v>2.6</v>
      </c>
      <c r="M120" s="508"/>
      <c r="N120" s="505">
        <f t="shared" si="31"/>
        <v>2</v>
      </c>
      <c r="P120" s="480">
        <v>6</v>
      </c>
      <c r="Q120" s="511">
        <v>1005</v>
      </c>
      <c r="R120" s="512" t="s">
        <v>115</v>
      </c>
      <c r="S120" s="512" t="s">
        <v>115</v>
      </c>
      <c r="T120" s="508"/>
      <c r="U120" s="505">
        <f t="shared" si="32"/>
        <v>0</v>
      </c>
    </row>
    <row r="121" spans="1:24" ht="13.5" thickBot="1" x14ac:dyDescent="0.3">
      <c r="A121" s="922"/>
      <c r="B121" s="480">
        <v>7</v>
      </c>
      <c r="C121" s="511">
        <v>40</v>
      </c>
      <c r="D121" s="511">
        <v>0.5</v>
      </c>
      <c r="E121" s="504">
        <v>9.9999999999999995E-7</v>
      </c>
      <c r="F121" s="508"/>
      <c r="G121" s="505">
        <f t="shared" si="30"/>
        <v>0.24999950000000001</v>
      </c>
      <c r="I121" s="480">
        <v>7</v>
      </c>
      <c r="J121" s="511">
        <v>90</v>
      </c>
      <c r="K121" s="511">
        <v>1.3</v>
      </c>
      <c r="L121" s="504">
        <v>9.9999999999999995E-7</v>
      </c>
      <c r="M121" s="508"/>
      <c r="N121" s="505">
        <f t="shared" si="31"/>
        <v>0.64999950000000006</v>
      </c>
      <c r="P121" s="480">
        <v>7</v>
      </c>
      <c r="Q121" s="511">
        <v>1020</v>
      </c>
      <c r="R121" s="512" t="s">
        <v>115</v>
      </c>
      <c r="S121" s="512" t="s">
        <v>115</v>
      </c>
      <c r="T121" s="508"/>
      <c r="U121" s="505">
        <f t="shared" si="32"/>
        <v>0</v>
      </c>
    </row>
    <row r="122" spans="1:24" ht="13.5" thickBot="1" x14ac:dyDescent="0.35">
      <c r="A122" s="515"/>
      <c r="B122" s="516"/>
      <c r="C122" s="516"/>
      <c r="D122" s="516"/>
      <c r="E122" s="517"/>
      <c r="F122" s="516"/>
      <c r="G122" s="406"/>
      <c r="I122" s="516"/>
      <c r="J122" s="516"/>
      <c r="K122" s="516"/>
      <c r="L122" s="517"/>
      <c r="M122" s="516"/>
      <c r="Q122" s="521"/>
      <c r="R122" s="514"/>
    </row>
    <row r="123" spans="1:24" x14ac:dyDescent="0.25">
      <c r="A123" s="922">
        <v>12</v>
      </c>
      <c r="B123" s="923" t="s">
        <v>365</v>
      </c>
      <c r="C123" s="923"/>
      <c r="D123" s="923"/>
      <c r="E123" s="923"/>
      <c r="F123" s="923"/>
      <c r="G123" s="923"/>
      <c r="I123" s="923" t="str">
        <f>B123</f>
        <v>KOREKSI EXTECH A.100586</v>
      </c>
      <c r="J123" s="923"/>
      <c r="K123" s="923"/>
      <c r="L123" s="923"/>
      <c r="M123" s="923"/>
      <c r="N123" s="923"/>
      <c r="P123" s="923" t="str">
        <f>I123</f>
        <v>KOREKSI EXTECH A.100586</v>
      </c>
      <c r="Q123" s="923"/>
      <c r="R123" s="923"/>
      <c r="S123" s="923"/>
      <c r="T123" s="923"/>
      <c r="U123" s="923"/>
      <c r="W123" s="917" t="s">
        <v>240</v>
      </c>
      <c r="X123" s="918"/>
    </row>
    <row r="124" spans="1:24" ht="13" x14ac:dyDescent="0.25">
      <c r="A124" s="922"/>
      <c r="B124" s="919" t="s">
        <v>348</v>
      </c>
      <c r="C124" s="919"/>
      <c r="D124" s="919" t="s">
        <v>349</v>
      </c>
      <c r="E124" s="919"/>
      <c r="F124" s="919"/>
      <c r="G124" s="919" t="s">
        <v>350</v>
      </c>
      <c r="I124" s="919" t="s">
        <v>351</v>
      </c>
      <c r="J124" s="919"/>
      <c r="K124" s="919" t="s">
        <v>349</v>
      </c>
      <c r="L124" s="919"/>
      <c r="M124" s="919"/>
      <c r="N124" s="919" t="s">
        <v>350</v>
      </c>
      <c r="P124" s="919" t="s">
        <v>352</v>
      </c>
      <c r="Q124" s="919"/>
      <c r="R124" s="919" t="s">
        <v>349</v>
      </c>
      <c r="S124" s="919"/>
      <c r="T124" s="919"/>
      <c r="U124" s="919" t="s">
        <v>350</v>
      </c>
      <c r="W124" s="501" t="s">
        <v>348</v>
      </c>
      <c r="X124" s="502">
        <v>0.3</v>
      </c>
    </row>
    <row r="125" spans="1:24" ht="14.5" x14ac:dyDescent="0.25">
      <c r="A125" s="922"/>
      <c r="B125" s="920" t="s">
        <v>353</v>
      </c>
      <c r="C125" s="920"/>
      <c r="D125" s="503">
        <v>2020</v>
      </c>
      <c r="E125" s="519" t="s">
        <v>115</v>
      </c>
      <c r="F125" s="503">
        <v>2016</v>
      </c>
      <c r="G125" s="919"/>
      <c r="I125" s="921" t="s">
        <v>32</v>
      </c>
      <c r="J125" s="920"/>
      <c r="K125" s="503">
        <f>D125</f>
        <v>2020</v>
      </c>
      <c r="L125" s="503" t="str">
        <f>E125</f>
        <v>-</v>
      </c>
      <c r="M125" s="503">
        <v>2016</v>
      </c>
      <c r="N125" s="919"/>
      <c r="P125" s="921" t="s">
        <v>354</v>
      </c>
      <c r="Q125" s="920"/>
      <c r="R125" s="503">
        <f>K125</f>
        <v>2020</v>
      </c>
      <c r="S125" s="503" t="str">
        <f>L125</f>
        <v>-</v>
      </c>
      <c r="T125" s="503">
        <v>2016</v>
      </c>
      <c r="U125" s="919"/>
      <c r="W125" s="501" t="s">
        <v>32</v>
      </c>
      <c r="X125" s="502">
        <v>2</v>
      </c>
    </row>
    <row r="126" spans="1:24" ht="13.5" thickBot="1" x14ac:dyDescent="0.3">
      <c r="A126" s="922"/>
      <c r="B126" s="480">
        <v>1</v>
      </c>
      <c r="C126" s="504">
        <v>15</v>
      </c>
      <c r="D126" s="504">
        <v>9.9999999999999995E-7</v>
      </c>
      <c r="E126" s="504" t="s">
        <v>115</v>
      </c>
      <c r="F126" s="508"/>
      <c r="G126" s="505">
        <f>0.5*(MAX(D126:F126)-MIN(D126:F126))</f>
        <v>0</v>
      </c>
      <c r="I126" s="480">
        <v>1</v>
      </c>
      <c r="J126" s="504">
        <v>30</v>
      </c>
      <c r="K126" s="504">
        <v>-0.4</v>
      </c>
      <c r="L126" s="504" t="s">
        <v>115</v>
      </c>
      <c r="M126" s="508"/>
      <c r="N126" s="505">
        <f>0.5*(MAX(K126:M126)-MIN(K126:M126))</f>
        <v>0</v>
      </c>
      <c r="P126" s="480">
        <v>1</v>
      </c>
      <c r="Q126" s="504">
        <v>800</v>
      </c>
      <c r="R126" s="507">
        <v>-0.4</v>
      </c>
      <c r="S126" s="504" t="s">
        <v>115</v>
      </c>
      <c r="T126" s="508"/>
      <c r="U126" s="505">
        <f>0.5*(MAX(R126:T126)-MIN(R126:T126))</f>
        <v>0</v>
      </c>
      <c r="W126" s="509" t="s">
        <v>354</v>
      </c>
      <c r="X126" s="510">
        <v>2.4</v>
      </c>
    </row>
    <row r="127" spans="1:24" ht="13" x14ac:dyDescent="0.25">
      <c r="A127" s="922"/>
      <c r="B127" s="480">
        <v>2</v>
      </c>
      <c r="C127" s="504">
        <v>20</v>
      </c>
      <c r="D127" s="504">
        <v>9.9999999999999995E-7</v>
      </c>
      <c r="E127" s="504" t="s">
        <v>115</v>
      </c>
      <c r="F127" s="508"/>
      <c r="G127" s="505">
        <f t="shared" ref="G127:G132" si="33">0.5*(MAX(D127:F127)-MIN(D127:F127))</f>
        <v>0</v>
      </c>
      <c r="I127" s="480">
        <v>2</v>
      </c>
      <c r="J127" s="504">
        <v>40</v>
      </c>
      <c r="K127" s="504">
        <v>-0.1</v>
      </c>
      <c r="L127" s="504" t="s">
        <v>115</v>
      </c>
      <c r="M127" s="508"/>
      <c r="N127" s="505">
        <f t="shared" ref="N127:N132" si="34">0.5*(MAX(K127:M127)-MIN(K127:M127))</f>
        <v>0</v>
      </c>
      <c r="P127" s="480">
        <v>2</v>
      </c>
      <c r="Q127" s="504">
        <v>850</v>
      </c>
      <c r="R127" s="507">
        <v>-0.5</v>
      </c>
      <c r="S127" s="504" t="s">
        <v>115</v>
      </c>
      <c r="T127" s="508"/>
      <c r="U127" s="505">
        <f t="shared" ref="U127:U132" si="35">0.5*(MAX(R127:T127)-MIN(R127:T127))</f>
        <v>0</v>
      </c>
    </row>
    <row r="128" spans="1:24" ht="13" x14ac:dyDescent="0.25">
      <c r="A128" s="922"/>
      <c r="B128" s="480">
        <v>3</v>
      </c>
      <c r="C128" s="504">
        <v>25</v>
      </c>
      <c r="D128" s="504">
        <v>9.9999999999999995E-7</v>
      </c>
      <c r="E128" s="504" t="s">
        <v>115</v>
      </c>
      <c r="F128" s="508"/>
      <c r="G128" s="505">
        <f t="shared" si="33"/>
        <v>0</v>
      </c>
      <c r="I128" s="480">
        <v>3</v>
      </c>
      <c r="J128" s="504">
        <v>50</v>
      </c>
      <c r="K128" s="504">
        <v>9.9999999999999995E-7</v>
      </c>
      <c r="L128" s="504" t="s">
        <v>115</v>
      </c>
      <c r="M128" s="508"/>
      <c r="N128" s="505">
        <f t="shared" si="34"/>
        <v>0</v>
      </c>
      <c r="P128" s="480">
        <v>3</v>
      </c>
      <c r="Q128" s="511">
        <v>900</v>
      </c>
      <c r="R128" s="512">
        <v>-0.6</v>
      </c>
      <c r="S128" s="504" t="s">
        <v>115</v>
      </c>
      <c r="T128" s="508"/>
      <c r="U128" s="505">
        <f t="shared" si="35"/>
        <v>0</v>
      </c>
    </row>
    <row r="129" spans="1:24" ht="13" x14ac:dyDescent="0.25">
      <c r="A129" s="922"/>
      <c r="B129" s="480">
        <v>4</v>
      </c>
      <c r="C129" s="511">
        <v>30</v>
      </c>
      <c r="D129" s="511">
        <v>-0.1</v>
      </c>
      <c r="E129" s="512" t="s">
        <v>115</v>
      </c>
      <c r="F129" s="508"/>
      <c r="G129" s="505">
        <f t="shared" si="33"/>
        <v>0</v>
      </c>
      <c r="I129" s="480">
        <v>4</v>
      </c>
      <c r="J129" s="511">
        <v>60</v>
      </c>
      <c r="K129" s="504">
        <v>9.9999999999999995E-7</v>
      </c>
      <c r="L129" s="512" t="s">
        <v>115</v>
      </c>
      <c r="M129" s="508"/>
      <c r="N129" s="505">
        <f t="shared" si="34"/>
        <v>0</v>
      </c>
      <c r="P129" s="480">
        <v>4</v>
      </c>
      <c r="Q129" s="511">
        <v>950</v>
      </c>
      <c r="R129" s="512">
        <v>-0.7</v>
      </c>
      <c r="S129" s="512" t="s">
        <v>115</v>
      </c>
      <c r="T129" s="508"/>
      <c r="U129" s="505">
        <f t="shared" si="35"/>
        <v>0</v>
      </c>
    </row>
    <row r="130" spans="1:24" ht="13" x14ac:dyDescent="0.25">
      <c r="A130" s="922"/>
      <c r="B130" s="480">
        <v>5</v>
      </c>
      <c r="C130" s="511">
        <v>35</v>
      </c>
      <c r="D130" s="511">
        <v>-0.2</v>
      </c>
      <c r="E130" s="512" t="s">
        <v>115</v>
      </c>
      <c r="F130" s="508"/>
      <c r="G130" s="505">
        <f t="shared" si="33"/>
        <v>0</v>
      </c>
      <c r="I130" s="480">
        <v>5</v>
      </c>
      <c r="J130" s="511">
        <v>70</v>
      </c>
      <c r="K130" s="511">
        <v>-0.1</v>
      </c>
      <c r="L130" s="512" t="s">
        <v>115</v>
      </c>
      <c r="M130" s="508"/>
      <c r="N130" s="505">
        <f t="shared" si="34"/>
        <v>0</v>
      </c>
      <c r="P130" s="480">
        <v>5</v>
      </c>
      <c r="Q130" s="511">
        <v>1000</v>
      </c>
      <c r="R130" s="512">
        <v>-0.8</v>
      </c>
      <c r="S130" s="512" t="s">
        <v>115</v>
      </c>
      <c r="T130" s="508"/>
      <c r="U130" s="505">
        <f t="shared" si="35"/>
        <v>0</v>
      </c>
    </row>
    <row r="131" spans="1:24" ht="13" x14ac:dyDescent="0.25">
      <c r="A131" s="922"/>
      <c r="B131" s="480">
        <v>6</v>
      </c>
      <c r="C131" s="511">
        <v>37</v>
      </c>
      <c r="D131" s="511">
        <v>-0.3</v>
      </c>
      <c r="E131" s="512" t="s">
        <v>115</v>
      </c>
      <c r="F131" s="508"/>
      <c r="G131" s="505">
        <f t="shared" si="33"/>
        <v>0</v>
      </c>
      <c r="I131" s="480">
        <v>6</v>
      </c>
      <c r="J131" s="511">
        <v>80</v>
      </c>
      <c r="K131" s="511">
        <v>-0.5</v>
      </c>
      <c r="L131" s="512" t="s">
        <v>115</v>
      </c>
      <c r="M131" s="508"/>
      <c r="N131" s="505">
        <f t="shared" si="34"/>
        <v>0</v>
      </c>
      <c r="P131" s="480">
        <v>6</v>
      </c>
      <c r="Q131" s="511">
        <v>1005</v>
      </c>
      <c r="R131" s="512">
        <v>-0.8</v>
      </c>
      <c r="S131" s="512" t="s">
        <v>115</v>
      </c>
      <c r="T131" s="508"/>
      <c r="U131" s="505">
        <f t="shared" si="35"/>
        <v>0</v>
      </c>
    </row>
    <row r="132" spans="1:24" ht="13" x14ac:dyDescent="0.25">
      <c r="A132" s="922"/>
      <c r="B132" s="480">
        <v>7</v>
      </c>
      <c r="C132" s="511">
        <v>40</v>
      </c>
      <c r="D132" s="511">
        <v>-0.4</v>
      </c>
      <c r="E132" s="512" t="s">
        <v>115</v>
      </c>
      <c r="F132" s="508"/>
      <c r="G132" s="505">
        <f t="shared" si="33"/>
        <v>0</v>
      </c>
      <c r="I132" s="480">
        <v>7</v>
      </c>
      <c r="J132" s="511">
        <v>90</v>
      </c>
      <c r="K132" s="511">
        <v>-0.9</v>
      </c>
      <c r="L132" s="512" t="s">
        <v>115</v>
      </c>
      <c r="M132" s="508"/>
      <c r="N132" s="505">
        <f t="shared" si="34"/>
        <v>0</v>
      </c>
      <c r="P132" s="480">
        <v>7</v>
      </c>
      <c r="Q132" s="511">
        <v>1020</v>
      </c>
      <c r="R132" s="512">
        <v>9.9999999999999995E-7</v>
      </c>
      <c r="S132" s="512" t="s">
        <v>115</v>
      </c>
      <c r="T132" s="508"/>
      <c r="U132" s="505">
        <f t="shared" si="35"/>
        <v>0</v>
      </c>
    </row>
    <row r="133" spans="1:24" ht="13" thickBot="1" x14ac:dyDescent="0.3">
      <c r="A133" s="522"/>
      <c r="C133" s="483"/>
      <c r="D133" s="483"/>
      <c r="E133" s="523"/>
      <c r="F133" s="483"/>
      <c r="I133" s="483"/>
      <c r="J133" s="483"/>
      <c r="K133" s="523"/>
      <c r="L133" s="483"/>
      <c r="O133" s="483"/>
      <c r="P133" s="523"/>
      <c r="Q133" s="523"/>
      <c r="R133" s="483"/>
    </row>
    <row r="134" spans="1:24" x14ac:dyDescent="0.25">
      <c r="A134" s="922">
        <v>13</v>
      </c>
      <c r="B134" s="923" t="s">
        <v>366</v>
      </c>
      <c r="C134" s="923"/>
      <c r="D134" s="923"/>
      <c r="E134" s="923"/>
      <c r="F134" s="923"/>
      <c r="G134" s="923"/>
      <c r="I134" s="923" t="str">
        <f>B134</f>
        <v>KOREKSI EXTECH A.100605</v>
      </c>
      <c r="J134" s="923"/>
      <c r="K134" s="923"/>
      <c r="L134" s="923"/>
      <c r="M134" s="923"/>
      <c r="N134" s="923"/>
      <c r="P134" s="923" t="str">
        <f>I134</f>
        <v>KOREKSI EXTECH A.100605</v>
      </c>
      <c r="Q134" s="923"/>
      <c r="R134" s="923"/>
      <c r="S134" s="923"/>
      <c r="T134" s="923"/>
      <c r="U134" s="923"/>
      <c r="W134" s="917" t="s">
        <v>240</v>
      </c>
      <c r="X134" s="918"/>
    </row>
    <row r="135" spans="1:24" ht="13" x14ac:dyDescent="0.25">
      <c r="A135" s="922"/>
      <c r="B135" s="919" t="s">
        <v>348</v>
      </c>
      <c r="C135" s="919"/>
      <c r="D135" s="919" t="s">
        <v>349</v>
      </c>
      <c r="E135" s="919"/>
      <c r="F135" s="919"/>
      <c r="G135" s="919" t="s">
        <v>350</v>
      </c>
      <c r="I135" s="919" t="s">
        <v>351</v>
      </c>
      <c r="J135" s="919"/>
      <c r="K135" s="919" t="s">
        <v>349</v>
      </c>
      <c r="L135" s="919"/>
      <c r="M135" s="919"/>
      <c r="N135" s="919" t="s">
        <v>350</v>
      </c>
      <c r="P135" s="919" t="s">
        <v>352</v>
      </c>
      <c r="Q135" s="919"/>
      <c r="R135" s="919" t="s">
        <v>349</v>
      </c>
      <c r="S135" s="919"/>
      <c r="T135" s="919"/>
      <c r="U135" s="919" t="s">
        <v>350</v>
      </c>
      <c r="W135" s="501" t="s">
        <v>348</v>
      </c>
      <c r="X135" s="502">
        <v>0.5</v>
      </c>
    </row>
    <row r="136" spans="1:24" ht="14.5" x14ac:dyDescent="0.25">
      <c r="A136" s="922"/>
      <c r="B136" s="920" t="s">
        <v>353</v>
      </c>
      <c r="C136" s="920"/>
      <c r="D136" s="518">
        <v>2022</v>
      </c>
      <c r="E136" s="503">
        <v>2020</v>
      </c>
      <c r="F136" s="519" t="s">
        <v>115</v>
      </c>
      <c r="G136" s="919"/>
      <c r="I136" s="921" t="s">
        <v>32</v>
      </c>
      <c r="J136" s="920"/>
      <c r="K136" s="518">
        <v>2022</v>
      </c>
      <c r="L136" s="520">
        <f>E136</f>
        <v>2020</v>
      </c>
      <c r="M136" s="520" t="str">
        <f>F136</f>
        <v>-</v>
      </c>
      <c r="N136" s="919"/>
      <c r="P136" s="921" t="s">
        <v>354</v>
      </c>
      <c r="Q136" s="920"/>
      <c r="R136" s="524">
        <v>2022</v>
      </c>
      <c r="S136" s="520">
        <f>L136</f>
        <v>2020</v>
      </c>
      <c r="T136" s="520" t="str">
        <f>M136</f>
        <v>-</v>
      </c>
      <c r="U136" s="919"/>
      <c r="W136" s="501" t="s">
        <v>32</v>
      </c>
      <c r="X136" s="502">
        <v>2.2999999999999998</v>
      </c>
    </row>
    <row r="137" spans="1:24" ht="13.5" thickBot="1" x14ac:dyDescent="0.3">
      <c r="A137" s="922"/>
      <c r="B137" s="480">
        <v>1</v>
      </c>
      <c r="C137" s="504">
        <v>15</v>
      </c>
      <c r="D137" s="504">
        <v>0.5</v>
      </c>
      <c r="E137" s="504">
        <v>-0.7</v>
      </c>
      <c r="F137" s="504" t="s">
        <v>115</v>
      </c>
      <c r="G137" s="505">
        <f t="shared" ref="G137:G143" si="36">0.5*(MAX(E137:F137)-MIN(E137:F137))</f>
        <v>0</v>
      </c>
      <c r="I137" s="480">
        <v>1</v>
      </c>
      <c r="J137" s="504">
        <v>30</v>
      </c>
      <c r="K137" s="504">
        <v>-2.2000000000000002</v>
      </c>
      <c r="L137" s="504">
        <v>-1.4</v>
      </c>
      <c r="M137" s="504" t="s">
        <v>115</v>
      </c>
      <c r="N137" s="505">
        <f t="shared" ref="N137:N143" si="37">0.5*(MAX(L137:M137)-MIN(L137:M137))</f>
        <v>0</v>
      </c>
      <c r="P137" s="480">
        <v>1</v>
      </c>
      <c r="Q137" s="504">
        <v>960</v>
      </c>
      <c r="R137" s="504">
        <f>MAX(R138:R143)</f>
        <v>4</v>
      </c>
      <c r="S137" s="507">
        <v>0.9</v>
      </c>
      <c r="T137" s="504" t="s">
        <v>115</v>
      </c>
      <c r="U137" s="505">
        <f t="shared" ref="U137:U143" si="38">0.5*(MAX(S137:T137)-MIN(S137:T137))</f>
        <v>0</v>
      </c>
      <c r="W137" s="509" t="s">
        <v>354</v>
      </c>
      <c r="X137" s="510">
        <v>2.4</v>
      </c>
    </row>
    <row r="138" spans="1:24" ht="13" x14ac:dyDescent="0.25">
      <c r="A138" s="922"/>
      <c r="B138" s="480">
        <v>2</v>
      </c>
      <c r="C138" s="504">
        <v>20</v>
      </c>
      <c r="D138" s="504">
        <v>0.2</v>
      </c>
      <c r="E138" s="504">
        <v>-0.4</v>
      </c>
      <c r="F138" s="504" t="s">
        <v>115</v>
      </c>
      <c r="G138" s="505">
        <f t="shared" si="36"/>
        <v>0</v>
      </c>
      <c r="I138" s="480">
        <v>2</v>
      </c>
      <c r="J138" s="504">
        <v>40</v>
      </c>
      <c r="K138" s="504">
        <v>-2</v>
      </c>
      <c r="L138" s="504">
        <v>-1.3</v>
      </c>
      <c r="M138" s="504" t="s">
        <v>115</v>
      </c>
      <c r="N138" s="505">
        <f t="shared" si="37"/>
        <v>0</v>
      </c>
      <c r="P138" s="480">
        <v>2</v>
      </c>
      <c r="Q138" s="504">
        <v>970</v>
      </c>
      <c r="R138" s="504">
        <v>4</v>
      </c>
      <c r="S138" s="507">
        <v>1</v>
      </c>
      <c r="T138" s="504" t="s">
        <v>115</v>
      </c>
      <c r="U138" s="505">
        <f t="shared" si="38"/>
        <v>0</v>
      </c>
    </row>
    <row r="139" spans="1:24" ht="13" x14ac:dyDescent="0.25">
      <c r="A139" s="922"/>
      <c r="B139" s="480">
        <v>3</v>
      </c>
      <c r="C139" s="504">
        <v>25</v>
      </c>
      <c r="D139" s="504">
        <v>0.1</v>
      </c>
      <c r="E139" s="504">
        <v>-0.2</v>
      </c>
      <c r="F139" s="504" t="s">
        <v>115</v>
      </c>
      <c r="G139" s="505">
        <f t="shared" si="36"/>
        <v>0</v>
      </c>
      <c r="I139" s="480">
        <v>3</v>
      </c>
      <c r="J139" s="504">
        <v>50</v>
      </c>
      <c r="K139" s="504">
        <v>-1.8</v>
      </c>
      <c r="L139" s="504">
        <v>-1.3</v>
      </c>
      <c r="M139" s="504" t="s">
        <v>115</v>
      </c>
      <c r="N139" s="505">
        <f t="shared" si="37"/>
        <v>0</v>
      </c>
      <c r="P139" s="480">
        <v>3</v>
      </c>
      <c r="Q139" s="511">
        <v>980</v>
      </c>
      <c r="R139" s="504">
        <v>3.9</v>
      </c>
      <c r="S139" s="512">
        <v>1</v>
      </c>
      <c r="T139" s="504" t="s">
        <v>115</v>
      </c>
      <c r="U139" s="505">
        <f t="shared" si="38"/>
        <v>0</v>
      </c>
    </row>
    <row r="140" spans="1:24" ht="13" x14ac:dyDescent="0.25">
      <c r="A140" s="922"/>
      <c r="B140" s="480">
        <v>4</v>
      </c>
      <c r="C140" s="511">
        <v>30</v>
      </c>
      <c r="D140" s="504">
        <v>-0.1</v>
      </c>
      <c r="E140" s="511">
        <v>0.1</v>
      </c>
      <c r="F140" s="512" t="s">
        <v>115</v>
      </c>
      <c r="G140" s="505">
        <f t="shared" si="36"/>
        <v>0</v>
      </c>
      <c r="I140" s="480">
        <v>4</v>
      </c>
      <c r="J140" s="511">
        <v>60</v>
      </c>
      <c r="K140" s="504">
        <v>-1.6</v>
      </c>
      <c r="L140" s="511">
        <v>-1.5</v>
      </c>
      <c r="M140" s="512" t="s">
        <v>115</v>
      </c>
      <c r="N140" s="505">
        <f t="shared" si="37"/>
        <v>0</v>
      </c>
      <c r="P140" s="480">
        <v>4</v>
      </c>
      <c r="Q140" s="511">
        <v>990</v>
      </c>
      <c r="R140" s="504">
        <v>3.8</v>
      </c>
      <c r="S140" s="512">
        <v>1.1000000000000001</v>
      </c>
      <c r="T140" s="512" t="s">
        <v>115</v>
      </c>
      <c r="U140" s="505">
        <f t="shared" si="38"/>
        <v>0</v>
      </c>
    </row>
    <row r="141" spans="1:24" ht="13" x14ac:dyDescent="0.25">
      <c r="A141" s="922"/>
      <c r="B141" s="480">
        <v>5</v>
      </c>
      <c r="C141" s="511">
        <v>35</v>
      </c>
      <c r="D141" s="504">
        <v>-0.2</v>
      </c>
      <c r="E141" s="511">
        <v>0.3</v>
      </c>
      <c r="F141" s="512" t="s">
        <v>115</v>
      </c>
      <c r="G141" s="505">
        <f t="shared" si="36"/>
        <v>0</v>
      </c>
      <c r="I141" s="480">
        <v>5</v>
      </c>
      <c r="J141" s="511">
        <v>70</v>
      </c>
      <c r="K141" s="504">
        <v>-1.4</v>
      </c>
      <c r="L141" s="511">
        <v>-1.9</v>
      </c>
      <c r="M141" s="512" t="s">
        <v>115</v>
      </c>
      <c r="N141" s="505">
        <f t="shared" si="37"/>
        <v>0</v>
      </c>
      <c r="P141" s="480">
        <v>5</v>
      </c>
      <c r="Q141" s="511">
        <v>1000</v>
      </c>
      <c r="R141" s="504">
        <v>3.7</v>
      </c>
      <c r="S141" s="512">
        <v>1.1000000000000001</v>
      </c>
      <c r="T141" s="512" t="s">
        <v>115</v>
      </c>
      <c r="U141" s="505">
        <f t="shared" si="38"/>
        <v>0</v>
      </c>
    </row>
    <row r="142" spans="1:24" ht="13" x14ac:dyDescent="0.25">
      <c r="A142" s="922"/>
      <c r="B142" s="480">
        <v>6</v>
      </c>
      <c r="C142" s="511">
        <v>37</v>
      </c>
      <c r="D142" s="504">
        <v>-0.2</v>
      </c>
      <c r="E142" s="511">
        <v>0.4</v>
      </c>
      <c r="F142" s="512" t="s">
        <v>115</v>
      </c>
      <c r="G142" s="505">
        <f t="shared" si="36"/>
        <v>0</v>
      </c>
      <c r="I142" s="480">
        <v>6</v>
      </c>
      <c r="J142" s="511">
        <v>80</v>
      </c>
      <c r="K142" s="504">
        <v>-1.2</v>
      </c>
      <c r="L142" s="511">
        <v>-2.5</v>
      </c>
      <c r="M142" s="512" t="s">
        <v>115</v>
      </c>
      <c r="N142" s="505">
        <f t="shared" si="37"/>
        <v>0</v>
      </c>
      <c r="P142" s="480">
        <v>6</v>
      </c>
      <c r="Q142" s="511">
        <v>1005</v>
      </c>
      <c r="R142" s="504">
        <v>3.6</v>
      </c>
      <c r="S142" s="512">
        <v>1.1000000000000001</v>
      </c>
      <c r="T142" s="512" t="s">
        <v>115</v>
      </c>
      <c r="U142" s="505">
        <f t="shared" si="38"/>
        <v>0</v>
      </c>
    </row>
    <row r="143" spans="1:24" ht="13" x14ac:dyDescent="0.25">
      <c r="A143" s="922"/>
      <c r="B143" s="480">
        <v>7</v>
      </c>
      <c r="C143" s="511">
        <v>40</v>
      </c>
      <c r="D143" s="504">
        <v>-0.2</v>
      </c>
      <c r="E143" s="511">
        <v>0.5</v>
      </c>
      <c r="F143" s="512" t="s">
        <v>115</v>
      </c>
      <c r="G143" s="505">
        <f t="shared" si="36"/>
        <v>0</v>
      </c>
      <c r="I143" s="480">
        <v>7</v>
      </c>
      <c r="J143" s="511">
        <v>90</v>
      </c>
      <c r="K143" s="504">
        <v>-1</v>
      </c>
      <c r="L143" s="511">
        <v>-3.2</v>
      </c>
      <c r="M143" s="512" t="s">
        <v>115</v>
      </c>
      <c r="N143" s="505">
        <f t="shared" si="37"/>
        <v>0</v>
      </c>
      <c r="P143" s="480">
        <v>7</v>
      </c>
      <c r="Q143" s="511">
        <v>1010</v>
      </c>
      <c r="R143" s="504">
        <v>3.5</v>
      </c>
      <c r="S143" s="512">
        <f>MAX(S137:S142)</f>
        <v>1.1000000000000001</v>
      </c>
      <c r="T143" s="512" t="s">
        <v>115</v>
      </c>
      <c r="U143" s="505">
        <f t="shared" si="38"/>
        <v>0</v>
      </c>
    </row>
    <row r="144" spans="1:24" ht="13" thickBot="1" x14ac:dyDescent="0.3">
      <c r="A144" s="522"/>
      <c r="C144" s="483"/>
      <c r="D144" s="483"/>
      <c r="E144" s="523"/>
      <c r="F144" s="483"/>
      <c r="J144" s="483"/>
      <c r="K144" s="483"/>
      <c r="L144" s="523"/>
      <c r="M144" s="483"/>
      <c r="Q144" s="483"/>
      <c r="R144" s="523"/>
      <c r="S144" s="523"/>
      <c r="T144" s="483"/>
    </row>
    <row r="145" spans="1:24" x14ac:dyDescent="0.25">
      <c r="A145" s="922">
        <v>14</v>
      </c>
      <c r="B145" s="923" t="s">
        <v>367</v>
      </c>
      <c r="C145" s="923"/>
      <c r="D145" s="923"/>
      <c r="E145" s="923"/>
      <c r="F145" s="923"/>
      <c r="G145" s="923"/>
      <c r="I145" s="923" t="str">
        <f>B145</f>
        <v>KOREKSI EXTECH A.100609</v>
      </c>
      <c r="J145" s="923"/>
      <c r="K145" s="923"/>
      <c r="L145" s="923"/>
      <c r="M145" s="923"/>
      <c r="N145" s="923"/>
      <c r="P145" s="923" t="str">
        <f>I145</f>
        <v>KOREKSI EXTECH A.100609</v>
      </c>
      <c r="Q145" s="923"/>
      <c r="R145" s="923"/>
      <c r="S145" s="923"/>
      <c r="T145" s="923"/>
      <c r="U145" s="923"/>
      <c r="W145" s="917" t="s">
        <v>240</v>
      </c>
      <c r="X145" s="918"/>
    </row>
    <row r="146" spans="1:24" ht="13" x14ac:dyDescent="0.25">
      <c r="A146" s="922"/>
      <c r="B146" s="919" t="s">
        <v>348</v>
      </c>
      <c r="C146" s="919"/>
      <c r="D146" s="919" t="s">
        <v>349</v>
      </c>
      <c r="E146" s="919"/>
      <c r="F146" s="919"/>
      <c r="G146" s="919" t="s">
        <v>350</v>
      </c>
      <c r="I146" s="919" t="s">
        <v>351</v>
      </c>
      <c r="J146" s="919"/>
      <c r="K146" s="919" t="s">
        <v>349</v>
      </c>
      <c r="L146" s="919"/>
      <c r="M146" s="919"/>
      <c r="N146" s="919" t="s">
        <v>350</v>
      </c>
      <c r="P146" s="919" t="s">
        <v>352</v>
      </c>
      <c r="Q146" s="919"/>
      <c r="R146" s="919" t="s">
        <v>349</v>
      </c>
      <c r="S146" s="919"/>
      <c r="T146" s="919"/>
      <c r="U146" s="919" t="s">
        <v>350</v>
      </c>
      <c r="W146" s="501" t="s">
        <v>348</v>
      </c>
      <c r="X146" s="502">
        <v>0.5</v>
      </c>
    </row>
    <row r="147" spans="1:24" ht="14.5" x14ac:dyDescent="0.25">
      <c r="A147" s="922"/>
      <c r="B147" s="920" t="s">
        <v>353</v>
      </c>
      <c r="C147" s="920"/>
      <c r="D147" s="518">
        <v>2022</v>
      </c>
      <c r="E147" s="503">
        <v>2020</v>
      </c>
      <c r="F147" s="519" t="s">
        <v>115</v>
      </c>
      <c r="G147" s="919"/>
      <c r="I147" s="921" t="s">
        <v>32</v>
      </c>
      <c r="J147" s="920"/>
      <c r="K147" s="518">
        <v>2022</v>
      </c>
      <c r="L147" s="520">
        <f>E147</f>
        <v>2020</v>
      </c>
      <c r="M147" s="520" t="str">
        <f>F147</f>
        <v>-</v>
      </c>
      <c r="N147" s="919"/>
      <c r="P147" s="921" t="s">
        <v>354</v>
      </c>
      <c r="Q147" s="920"/>
      <c r="R147" s="518">
        <v>2022</v>
      </c>
      <c r="S147" s="520">
        <f>L147</f>
        <v>2020</v>
      </c>
      <c r="T147" s="520" t="str">
        <f>M147</f>
        <v>-</v>
      </c>
      <c r="U147" s="919"/>
      <c r="W147" s="501" t="s">
        <v>32</v>
      </c>
      <c r="X147" s="502">
        <v>2.7</v>
      </c>
    </row>
    <row r="148" spans="1:24" ht="13.5" thickBot="1" x14ac:dyDescent="0.3">
      <c r="A148" s="922"/>
      <c r="B148" s="480">
        <v>1</v>
      </c>
      <c r="C148" s="504">
        <v>15</v>
      </c>
      <c r="D148" s="504">
        <v>0.5</v>
      </c>
      <c r="E148" s="504">
        <v>-0.2</v>
      </c>
      <c r="F148" s="504" t="s">
        <v>115</v>
      </c>
      <c r="G148" s="505">
        <f t="shared" ref="G148:G154" si="39">0.5*(MAX(E148:F148)-MIN(E148:F148))</f>
        <v>0</v>
      </c>
      <c r="I148" s="480">
        <v>1</v>
      </c>
      <c r="J148" s="504">
        <v>30</v>
      </c>
      <c r="K148" s="504">
        <v>-0.8</v>
      </c>
      <c r="L148" s="504">
        <v>0.6</v>
      </c>
      <c r="M148" s="504" t="s">
        <v>115</v>
      </c>
      <c r="N148" s="505">
        <f t="shared" ref="N148:N154" si="40">0.5*(MAX(L148:M148)-MIN(L148:M148))</f>
        <v>0</v>
      </c>
      <c r="P148" s="480">
        <v>1</v>
      </c>
      <c r="Q148" s="504">
        <v>960</v>
      </c>
      <c r="R148" s="504">
        <f>MAX(R149:R154)</f>
        <v>4</v>
      </c>
      <c r="S148" s="507">
        <v>0.9</v>
      </c>
      <c r="T148" s="504" t="s">
        <v>115</v>
      </c>
      <c r="U148" s="505">
        <f t="shared" ref="U148:U154" si="41">0.5*(MAX(S148:T148)-MIN(S148:T148))</f>
        <v>0</v>
      </c>
      <c r="W148" s="509" t="s">
        <v>354</v>
      </c>
      <c r="X148" s="510">
        <v>2.4</v>
      </c>
    </row>
    <row r="149" spans="1:24" ht="13" x14ac:dyDescent="0.25">
      <c r="A149" s="922"/>
      <c r="B149" s="480">
        <v>2</v>
      </c>
      <c r="C149" s="504">
        <v>20</v>
      </c>
      <c r="D149" s="504">
        <v>0.2</v>
      </c>
      <c r="E149" s="504">
        <v>-0.1</v>
      </c>
      <c r="F149" s="504" t="s">
        <v>115</v>
      </c>
      <c r="G149" s="505">
        <f t="shared" si="39"/>
        <v>0</v>
      </c>
      <c r="I149" s="480">
        <v>2</v>
      </c>
      <c r="J149" s="504">
        <v>40</v>
      </c>
      <c r="K149" s="504">
        <v>-0.4</v>
      </c>
      <c r="L149" s="504">
        <v>0.3</v>
      </c>
      <c r="M149" s="504" t="s">
        <v>115</v>
      </c>
      <c r="N149" s="505">
        <f t="shared" si="40"/>
        <v>0</v>
      </c>
      <c r="P149" s="480">
        <v>2</v>
      </c>
      <c r="Q149" s="504">
        <v>970</v>
      </c>
      <c r="R149" s="504">
        <v>4</v>
      </c>
      <c r="S149" s="507">
        <v>1</v>
      </c>
      <c r="T149" s="504" t="s">
        <v>115</v>
      </c>
      <c r="U149" s="505">
        <f t="shared" si="41"/>
        <v>0</v>
      </c>
    </row>
    <row r="150" spans="1:24" ht="13" x14ac:dyDescent="0.25">
      <c r="A150" s="922"/>
      <c r="B150" s="480">
        <v>3</v>
      </c>
      <c r="C150" s="504">
        <v>25</v>
      </c>
      <c r="D150" s="504">
        <v>-0.1</v>
      </c>
      <c r="E150" s="504">
        <v>-0.1</v>
      </c>
      <c r="F150" s="504" t="s">
        <v>115</v>
      </c>
      <c r="G150" s="505">
        <f t="shared" si="39"/>
        <v>0</v>
      </c>
      <c r="I150" s="480">
        <v>3</v>
      </c>
      <c r="J150" s="504">
        <v>50</v>
      </c>
      <c r="K150" s="504">
        <v>0</v>
      </c>
      <c r="L150" s="504">
        <v>-0.2</v>
      </c>
      <c r="M150" s="504" t="s">
        <v>115</v>
      </c>
      <c r="N150" s="505">
        <f t="shared" si="40"/>
        <v>0</v>
      </c>
      <c r="P150" s="480">
        <v>3</v>
      </c>
      <c r="Q150" s="511">
        <v>980</v>
      </c>
      <c r="R150" s="504">
        <v>3.9</v>
      </c>
      <c r="S150" s="512">
        <v>1</v>
      </c>
      <c r="T150" s="504" t="s">
        <v>115</v>
      </c>
      <c r="U150" s="505">
        <f t="shared" si="41"/>
        <v>0</v>
      </c>
    </row>
    <row r="151" spans="1:24" ht="13" x14ac:dyDescent="0.25">
      <c r="A151" s="922"/>
      <c r="B151" s="480">
        <v>4</v>
      </c>
      <c r="C151" s="511">
        <v>30</v>
      </c>
      <c r="D151" s="504">
        <v>-0.4</v>
      </c>
      <c r="E151" s="511">
        <v>-0.3</v>
      </c>
      <c r="F151" s="512" t="s">
        <v>115</v>
      </c>
      <c r="G151" s="505">
        <f t="shared" si="39"/>
        <v>0</v>
      </c>
      <c r="I151" s="480">
        <v>4</v>
      </c>
      <c r="J151" s="511">
        <v>60</v>
      </c>
      <c r="K151" s="504">
        <v>0.3</v>
      </c>
      <c r="L151" s="511">
        <v>-0.6</v>
      </c>
      <c r="M151" s="512" t="s">
        <v>115</v>
      </c>
      <c r="N151" s="505">
        <f t="shared" si="40"/>
        <v>0</v>
      </c>
      <c r="P151" s="480">
        <v>4</v>
      </c>
      <c r="Q151" s="511">
        <v>990</v>
      </c>
      <c r="R151" s="504">
        <v>3.9</v>
      </c>
      <c r="S151" s="512">
        <v>1.1000000000000001</v>
      </c>
      <c r="T151" s="512" t="s">
        <v>115</v>
      </c>
      <c r="U151" s="505">
        <f t="shared" si="41"/>
        <v>0</v>
      </c>
    </row>
    <row r="152" spans="1:24" ht="13" x14ac:dyDescent="0.25">
      <c r="A152" s="922"/>
      <c r="B152" s="480">
        <v>5</v>
      </c>
      <c r="C152" s="511">
        <v>35</v>
      </c>
      <c r="D152" s="504">
        <v>-0.6</v>
      </c>
      <c r="E152" s="511">
        <v>-0.6</v>
      </c>
      <c r="F152" s="512" t="s">
        <v>115</v>
      </c>
      <c r="G152" s="505">
        <f t="shared" si="39"/>
        <v>0</v>
      </c>
      <c r="I152" s="480">
        <v>5</v>
      </c>
      <c r="J152" s="511">
        <v>70</v>
      </c>
      <c r="K152" s="504">
        <v>0.7</v>
      </c>
      <c r="L152" s="511">
        <v>-0.8</v>
      </c>
      <c r="M152" s="512" t="s">
        <v>115</v>
      </c>
      <c r="N152" s="505">
        <f t="shared" si="40"/>
        <v>0</v>
      </c>
      <c r="P152" s="480">
        <v>5</v>
      </c>
      <c r="Q152" s="511">
        <v>1000</v>
      </c>
      <c r="R152" s="504">
        <v>3.8</v>
      </c>
      <c r="S152" s="512">
        <v>1.1000000000000001</v>
      </c>
      <c r="T152" s="512" t="s">
        <v>115</v>
      </c>
      <c r="U152" s="505">
        <f t="shared" si="41"/>
        <v>0</v>
      </c>
    </row>
    <row r="153" spans="1:24" ht="13" x14ac:dyDescent="0.25">
      <c r="A153" s="922"/>
      <c r="B153" s="480">
        <v>6</v>
      </c>
      <c r="C153" s="511">
        <v>37</v>
      </c>
      <c r="D153" s="504">
        <v>-0.7</v>
      </c>
      <c r="E153" s="511">
        <v>-0.8</v>
      </c>
      <c r="F153" s="512" t="s">
        <v>115</v>
      </c>
      <c r="G153" s="505">
        <f t="shared" si="39"/>
        <v>0</v>
      </c>
      <c r="I153" s="480">
        <v>6</v>
      </c>
      <c r="J153" s="511">
        <v>80</v>
      </c>
      <c r="K153" s="504">
        <v>1.1000000000000001</v>
      </c>
      <c r="L153" s="511">
        <v>-0.9</v>
      </c>
      <c r="M153" s="512" t="s">
        <v>115</v>
      </c>
      <c r="N153" s="505">
        <f t="shared" si="40"/>
        <v>0</v>
      </c>
      <c r="P153" s="480">
        <v>6</v>
      </c>
      <c r="Q153" s="511">
        <v>1005</v>
      </c>
      <c r="R153" s="504">
        <v>3.8</v>
      </c>
      <c r="S153" s="512">
        <v>1.1000000000000001</v>
      </c>
      <c r="T153" s="512" t="s">
        <v>115</v>
      </c>
      <c r="U153" s="505">
        <f t="shared" si="41"/>
        <v>0</v>
      </c>
    </row>
    <row r="154" spans="1:24" ht="13" x14ac:dyDescent="0.25">
      <c r="A154" s="922"/>
      <c r="B154" s="480">
        <v>7</v>
      </c>
      <c r="C154" s="511">
        <v>40</v>
      </c>
      <c r="D154" s="504">
        <v>-0.8</v>
      </c>
      <c r="E154" s="511">
        <v>-1.1000000000000001</v>
      </c>
      <c r="F154" s="512" t="s">
        <v>115</v>
      </c>
      <c r="G154" s="505">
        <f t="shared" si="39"/>
        <v>0</v>
      </c>
      <c r="I154" s="480">
        <v>7</v>
      </c>
      <c r="J154" s="511">
        <v>90</v>
      </c>
      <c r="K154" s="504">
        <v>1.5</v>
      </c>
      <c r="L154" s="511">
        <v>-0.8</v>
      </c>
      <c r="M154" s="512" t="s">
        <v>115</v>
      </c>
      <c r="N154" s="505">
        <f t="shared" si="40"/>
        <v>0</v>
      </c>
      <c r="P154" s="480">
        <v>7</v>
      </c>
      <c r="Q154" s="511">
        <v>1010</v>
      </c>
      <c r="R154" s="504">
        <v>3.7</v>
      </c>
      <c r="S154" s="512">
        <v>9.9999999999999995E-7</v>
      </c>
      <c r="T154" s="512" t="s">
        <v>115</v>
      </c>
      <c r="U154" s="505">
        <f t="shared" si="41"/>
        <v>0</v>
      </c>
    </row>
    <row r="155" spans="1:24" ht="13" thickBot="1" x14ac:dyDescent="0.3">
      <c r="A155" s="522"/>
      <c r="C155" s="483"/>
      <c r="D155" s="483"/>
      <c r="E155" s="523"/>
      <c r="F155" s="483"/>
      <c r="J155" s="483"/>
      <c r="K155" s="483"/>
      <c r="L155" s="523"/>
      <c r="M155" s="483"/>
      <c r="Q155" s="483"/>
      <c r="R155" s="523"/>
      <c r="S155" s="523"/>
      <c r="T155" s="483"/>
    </row>
    <row r="156" spans="1:24" x14ac:dyDescent="0.25">
      <c r="A156" s="922">
        <v>15</v>
      </c>
      <c r="B156" s="923" t="s">
        <v>368</v>
      </c>
      <c r="C156" s="923"/>
      <c r="D156" s="923"/>
      <c r="E156" s="923"/>
      <c r="F156" s="923"/>
      <c r="G156" s="923"/>
      <c r="I156" s="923" t="str">
        <f>B156</f>
        <v>KOREKSI EXTECH A.100611</v>
      </c>
      <c r="J156" s="923"/>
      <c r="K156" s="923"/>
      <c r="L156" s="923"/>
      <c r="M156" s="923"/>
      <c r="N156" s="923"/>
      <c r="P156" s="923" t="str">
        <f>I156</f>
        <v>KOREKSI EXTECH A.100611</v>
      </c>
      <c r="Q156" s="923"/>
      <c r="R156" s="923"/>
      <c r="S156" s="923"/>
      <c r="T156" s="923"/>
      <c r="U156" s="923"/>
      <c r="W156" s="917" t="s">
        <v>240</v>
      </c>
      <c r="X156" s="918"/>
    </row>
    <row r="157" spans="1:24" ht="13" x14ac:dyDescent="0.25">
      <c r="A157" s="922"/>
      <c r="B157" s="919" t="s">
        <v>348</v>
      </c>
      <c r="C157" s="919"/>
      <c r="D157" s="919" t="s">
        <v>349</v>
      </c>
      <c r="E157" s="919"/>
      <c r="F157" s="919"/>
      <c r="G157" s="919" t="s">
        <v>350</v>
      </c>
      <c r="I157" s="919" t="s">
        <v>351</v>
      </c>
      <c r="J157" s="919"/>
      <c r="K157" s="919" t="s">
        <v>349</v>
      </c>
      <c r="L157" s="919"/>
      <c r="M157" s="919"/>
      <c r="N157" s="919" t="s">
        <v>350</v>
      </c>
      <c r="P157" s="919" t="s">
        <v>352</v>
      </c>
      <c r="Q157" s="919"/>
      <c r="R157" s="919" t="s">
        <v>349</v>
      </c>
      <c r="S157" s="919"/>
      <c r="T157" s="919"/>
      <c r="U157" s="919" t="s">
        <v>350</v>
      </c>
      <c r="W157" s="501" t="s">
        <v>348</v>
      </c>
      <c r="X157" s="502">
        <v>0.5</v>
      </c>
    </row>
    <row r="158" spans="1:24" ht="14.5" x14ac:dyDescent="0.25">
      <c r="A158" s="922"/>
      <c r="B158" s="920" t="s">
        <v>353</v>
      </c>
      <c r="C158" s="920"/>
      <c r="D158" s="518">
        <v>2022</v>
      </c>
      <c r="E158" s="503">
        <v>2020</v>
      </c>
      <c r="F158" s="519" t="s">
        <v>115</v>
      </c>
      <c r="G158" s="919"/>
      <c r="I158" s="921" t="s">
        <v>32</v>
      </c>
      <c r="J158" s="920"/>
      <c r="K158" s="518">
        <v>2022</v>
      </c>
      <c r="L158" s="520">
        <f>E158</f>
        <v>2020</v>
      </c>
      <c r="M158" s="520" t="str">
        <f>F158</f>
        <v>-</v>
      </c>
      <c r="N158" s="919"/>
      <c r="P158" s="921" t="s">
        <v>354</v>
      </c>
      <c r="Q158" s="920"/>
      <c r="R158" s="518">
        <v>2022</v>
      </c>
      <c r="S158" s="520">
        <f>L158</f>
        <v>2020</v>
      </c>
      <c r="T158" s="520" t="str">
        <f>M158</f>
        <v>-</v>
      </c>
      <c r="U158" s="919"/>
      <c r="W158" s="501" t="s">
        <v>32</v>
      </c>
      <c r="X158" s="502">
        <v>2.6</v>
      </c>
    </row>
    <row r="159" spans="1:24" ht="13.5" thickBot="1" x14ac:dyDescent="0.3">
      <c r="A159" s="922"/>
      <c r="B159" s="480">
        <v>1</v>
      </c>
      <c r="C159" s="504">
        <v>15</v>
      </c>
      <c r="D159" s="504">
        <v>0.6</v>
      </c>
      <c r="E159" s="504">
        <v>-0.6</v>
      </c>
      <c r="F159" s="504" t="s">
        <v>115</v>
      </c>
      <c r="G159" s="505">
        <f t="shared" ref="G159:G165" si="42">0.5*(MAX(E159:F159)-MIN(E159:F159))</f>
        <v>0</v>
      </c>
      <c r="I159" s="480">
        <v>1</v>
      </c>
      <c r="J159" s="504">
        <v>30</v>
      </c>
      <c r="K159" s="504">
        <v>-2</v>
      </c>
      <c r="L159" s="504">
        <v>-0.4</v>
      </c>
      <c r="M159" s="504" t="s">
        <v>115</v>
      </c>
      <c r="N159" s="505">
        <f t="shared" ref="N159:N165" si="43">0.5*(MAX(L159:M159)-MIN(L159:M159))</f>
        <v>0</v>
      </c>
      <c r="P159" s="480">
        <v>1</v>
      </c>
      <c r="Q159" s="504">
        <v>960</v>
      </c>
      <c r="R159" s="504">
        <f>MAX(R160:R165)</f>
        <v>4.5</v>
      </c>
      <c r="S159" s="507">
        <v>0.9</v>
      </c>
      <c r="T159" s="504" t="s">
        <v>115</v>
      </c>
      <c r="U159" s="505">
        <f t="shared" ref="U159:U165" si="44">0.5*(MAX(S159:T159)-MIN(S159:T159))</f>
        <v>0</v>
      </c>
      <c r="W159" s="509" t="s">
        <v>354</v>
      </c>
      <c r="X159" s="510">
        <v>2.6</v>
      </c>
    </row>
    <row r="160" spans="1:24" ht="13" x14ac:dyDescent="0.25">
      <c r="A160" s="922"/>
      <c r="B160" s="480">
        <v>2</v>
      </c>
      <c r="C160" s="504">
        <v>20</v>
      </c>
      <c r="D160" s="504">
        <v>0.3</v>
      </c>
      <c r="E160" s="504">
        <v>-0.5</v>
      </c>
      <c r="F160" s="504" t="s">
        <v>115</v>
      </c>
      <c r="G160" s="505">
        <f t="shared" si="42"/>
        <v>0</v>
      </c>
      <c r="I160" s="480">
        <v>2</v>
      </c>
      <c r="J160" s="504">
        <v>40</v>
      </c>
      <c r="K160" s="504">
        <v>-1.7</v>
      </c>
      <c r="L160" s="504">
        <v>-0.3</v>
      </c>
      <c r="M160" s="504" t="s">
        <v>115</v>
      </c>
      <c r="N160" s="505">
        <f t="shared" si="43"/>
        <v>0</v>
      </c>
      <c r="P160" s="480">
        <v>2</v>
      </c>
      <c r="Q160" s="504">
        <v>970</v>
      </c>
      <c r="R160" s="504">
        <v>4.5</v>
      </c>
      <c r="S160" s="507">
        <v>1</v>
      </c>
      <c r="T160" s="504" t="s">
        <v>115</v>
      </c>
      <c r="U160" s="505">
        <f t="shared" si="44"/>
        <v>0</v>
      </c>
    </row>
    <row r="161" spans="1:24" ht="13" x14ac:dyDescent="0.25">
      <c r="A161" s="922"/>
      <c r="B161" s="480">
        <v>3</v>
      </c>
      <c r="C161" s="504">
        <v>25</v>
      </c>
      <c r="D161" s="504">
        <v>0.2</v>
      </c>
      <c r="E161" s="504">
        <v>-0.4</v>
      </c>
      <c r="F161" s="504" t="s">
        <v>115</v>
      </c>
      <c r="G161" s="505">
        <f t="shared" si="42"/>
        <v>0</v>
      </c>
      <c r="I161" s="480">
        <v>3</v>
      </c>
      <c r="J161" s="504">
        <v>50</v>
      </c>
      <c r="K161" s="504">
        <v>-1.4</v>
      </c>
      <c r="L161" s="504">
        <v>-0.3</v>
      </c>
      <c r="M161" s="504" t="s">
        <v>115</v>
      </c>
      <c r="N161" s="505">
        <f t="shared" si="43"/>
        <v>0</v>
      </c>
      <c r="P161" s="480">
        <v>3</v>
      </c>
      <c r="Q161" s="511">
        <v>980</v>
      </c>
      <c r="R161" s="504">
        <v>4.3</v>
      </c>
      <c r="S161" s="512">
        <v>1</v>
      </c>
      <c r="T161" s="504" t="s">
        <v>115</v>
      </c>
      <c r="U161" s="505">
        <f t="shared" si="44"/>
        <v>0</v>
      </c>
    </row>
    <row r="162" spans="1:24" ht="13" x14ac:dyDescent="0.25">
      <c r="A162" s="922"/>
      <c r="B162" s="480">
        <v>4</v>
      </c>
      <c r="C162" s="511">
        <v>30</v>
      </c>
      <c r="D162" s="504">
        <v>0.4</v>
      </c>
      <c r="E162" s="511">
        <v>-0.2</v>
      </c>
      <c r="F162" s="512" t="s">
        <v>115</v>
      </c>
      <c r="G162" s="505">
        <f t="shared" si="42"/>
        <v>0</v>
      </c>
      <c r="I162" s="480">
        <v>4</v>
      </c>
      <c r="J162" s="511">
        <v>60</v>
      </c>
      <c r="K162" s="504">
        <v>-1.1000000000000001</v>
      </c>
      <c r="L162" s="511">
        <v>-0.5</v>
      </c>
      <c r="M162" s="512" t="s">
        <v>115</v>
      </c>
      <c r="N162" s="505">
        <f t="shared" si="43"/>
        <v>0</v>
      </c>
      <c r="P162" s="480">
        <v>4</v>
      </c>
      <c r="Q162" s="511">
        <v>990</v>
      </c>
      <c r="R162" s="504">
        <v>4.2</v>
      </c>
      <c r="S162" s="512">
        <v>1.1000000000000001</v>
      </c>
      <c r="T162" s="512" t="s">
        <v>115</v>
      </c>
      <c r="U162" s="505">
        <f t="shared" si="44"/>
        <v>0</v>
      </c>
    </row>
    <row r="163" spans="1:24" ht="13" x14ac:dyDescent="0.25">
      <c r="A163" s="922"/>
      <c r="B163" s="480">
        <v>5</v>
      </c>
      <c r="C163" s="511">
        <v>35</v>
      </c>
      <c r="D163" s="504">
        <v>0.8</v>
      </c>
      <c r="E163" s="511">
        <v>-0.1</v>
      </c>
      <c r="F163" s="512" t="s">
        <v>115</v>
      </c>
      <c r="G163" s="505">
        <f t="shared" si="42"/>
        <v>0</v>
      </c>
      <c r="I163" s="480">
        <v>5</v>
      </c>
      <c r="J163" s="511">
        <v>70</v>
      </c>
      <c r="K163" s="504">
        <v>-0.7</v>
      </c>
      <c r="L163" s="511">
        <v>-0.8</v>
      </c>
      <c r="M163" s="512" t="s">
        <v>115</v>
      </c>
      <c r="N163" s="505">
        <f t="shared" si="43"/>
        <v>0</v>
      </c>
      <c r="P163" s="480">
        <v>5</v>
      </c>
      <c r="Q163" s="511">
        <v>1000</v>
      </c>
      <c r="R163" s="504">
        <v>4.0999999999999996</v>
      </c>
      <c r="S163" s="512">
        <v>1.1000000000000001</v>
      </c>
      <c r="T163" s="512" t="s">
        <v>115</v>
      </c>
      <c r="U163" s="505">
        <f t="shared" si="44"/>
        <v>0</v>
      </c>
    </row>
    <row r="164" spans="1:24" ht="13" x14ac:dyDescent="0.25">
      <c r="A164" s="922"/>
      <c r="B164" s="480">
        <v>6</v>
      </c>
      <c r="C164" s="511">
        <v>37</v>
      </c>
      <c r="D164" s="504">
        <v>1</v>
      </c>
      <c r="E164" s="511">
        <v>-0.1</v>
      </c>
      <c r="F164" s="512" t="s">
        <v>115</v>
      </c>
      <c r="G164" s="505">
        <f t="shared" si="42"/>
        <v>0</v>
      </c>
      <c r="I164" s="480">
        <v>6</v>
      </c>
      <c r="J164" s="511">
        <v>80</v>
      </c>
      <c r="K164" s="504">
        <v>-0.4</v>
      </c>
      <c r="L164" s="511">
        <v>-1.3</v>
      </c>
      <c r="M164" s="512" t="s">
        <v>115</v>
      </c>
      <c r="N164" s="505">
        <f t="shared" si="43"/>
        <v>0</v>
      </c>
      <c r="P164" s="480">
        <v>6</v>
      </c>
      <c r="Q164" s="511">
        <v>1005</v>
      </c>
      <c r="R164" s="504">
        <v>4</v>
      </c>
      <c r="S164" s="512">
        <v>1.1000000000000001</v>
      </c>
      <c r="T164" s="512" t="s">
        <v>115</v>
      </c>
      <c r="U164" s="505">
        <f t="shared" si="44"/>
        <v>0</v>
      </c>
    </row>
    <row r="165" spans="1:24" ht="13" x14ac:dyDescent="0.25">
      <c r="A165" s="922"/>
      <c r="B165" s="480">
        <v>7</v>
      </c>
      <c r="C165" s="511">
        <v>40</v>
      </c>
      <c r="D165" s="504">
        <v>1.4</v>
      </c>
      <c r="E165" s="504">
        <v>9.9999999999999995E-7</v>
      </c>
      <c r="F165" s="512" t="s">
        <v>115</v>
      </c>
      <c r="G165" s="505">
        <f t="shared" si="42"/>
        <v>0</v>
      </c>
      <c r="I165" s="480">
        <v>7</v>
      </c>
      <c r="J165" s="511">
        <v>90</v>
      </c>
      <c r="K165" s="504">
        <v>-0.1</v>
      </c>
      <c r="L165" s="511">
        <v>-2</v>
      </c>
      <c r="M165" s="512" t="s">
        <v>115</v>
      </c>
      <c r="N165" s="505">
        <f t="shared" si="43"/>
        <v>0</v>
      </c>
      <c r="P165" s="480">
        <v>7</v>
      </c>
      <c r="Q165" s="511">
        <v>1010</v>
      </c>
      <c r="R165" s="504">
        <v>3.9</v>
      </c>
      <c r="S165" s="512">
        <v>9.9999999999999995E-7</v>
      </c>
      <c r="T165" s="512" t="s">
        <v>115</v>
      </c>
      <c r="U165" s="505">
        <f t="shared" si="44"/>
        <v>0</v>
      </c>
    </row>
    <row r="166" spans="1:24" ht="13" thickBot="1" x14ac:dyDescent="0.3">
      <c r="A166" s="522"/>
      <c r="C166" s="483"/>
      <c r="D166" s="483"/>
      <c r="E166" s="523"/>
      <c r="F166" s="483"/>
      <c r="I166" s="483"/>
      <c r="J166" s="483"/>
      <c r="K166" s="523"/>
      <c r="L166" s="483"/>
      <c r="O166" s="483"/>
      <c r="P166" s="523"/>
      <c r="Q166" s="523"/>
      <c r="R166" s="483"/>
    </row>
    <row r="167" spans="1:24" x14ac:dyDescent="0.25">
      <c r="A167" s="922">
        <v>16</v>
      </c>
      <c r="B167" s="923" t="s">
        <v>369</v>
      </c>
      <c r="C167" s="923"/>
      <c r="D167" s="923"/>
      <c r="E167" s="923"/>
      <c r="F167" s="923"/>
      <c r="G167" s="923"/>
      <c r="I167" s="923" t="str">
        <f>B167</f>
        <v>KOREKSI EXTECH A.100616</v>
      </c>
      <c r="J167" s="923"/>
      <c r="K167" s="923"/>
      <c r="L167" s="923"/>
      <c r="M167" s="923"/>
      <c r="N167" s="923"/>
      <c r="P167" s="923" t="str">
        <f>I167</f>
        <v>KOREKSI EXTECH A.100616</v>
      </c>
      <c r="Q167" s="923"/>
      <c r="R167" s="923"/>
      <c r="S167" s="923"/>
      <c r="T167" s="923"/>
      <c r="U167" s="923"/>
      <c r="W167" s="917" t="s">
        <v>240</v>
      </c>
      <c r="X167" s="918"/>
    </row>
    <row r="168" spans="1:24" ht="13" x14ac:dyDescent="0.25">
      <c r="A168" s="922"/>
      <c r="B168" s="919" t="s">
        <v>348</v>
      </c>
      <c r="C168" s="919"/>
      <c r="D168" s="919" t="s">
        <v>349</v>
      </c>
      <c r="E168" s="919"/>
      <c r="F168" s="919"/>
      <c r="G168" s="919" t="s">
        <v>350</v>
      </c>
      <c r="I168" s="919" t="s">
        <v>351</v>
      </c>
      <c r="J168" s="919"/>
      <c r="K168" s="919" t="s">
        <v>349</v>
      </c>
      <c r="L168" s="919"/>
      <c r="M168" s="919"/>
      <c r="N168" s="919" t="s">
        <v>350</v>
      </c>
      <c r="P168" s="919" t="s">
        <v>352</v>
      </c>
      <c r="Q168" s="919"/>
      <c r="R168" s="919" t="s">
        <v>349</v>
      </c>
      <c r="S168" s="919"/>
      <c r="T168" s="919"/>
      <c r="U168" s="919" t="s">
        <v>350</v>
      </c>
      <c r="W168" s="501" t="s">
        <v>348</v>
      </c>
      <c r="X168" s="502">
        <v>0.5</v>
      </c>
    </row>
    <row r="169" spans="1:24" ht="14.5" x14ac:dyDescent="0.25">
      <c r="A169" s="922"/>
      <c r="B169" s="920" t="s">
        <v>353</v>
      </c>
      <c r="C169" s="920"/>
      <c r="D169" s="503">
        <v>2023</v>
      </c>
      <c r="E169" s="503">
        <v>2020</v>
      </c>
      <c r="F169" s="503">
        <v>2016</v>
      </c>
      <c r="G169" s="919"/>
      <c r="I169" s="921" t="s">
        <v>32</v>
      </c>
      <c r="J169" s="920"/>
      <c r="K169" s="520">
        <f>D169</f>
        <v>2023</v>
      </c>
      <c r="L169" s="520">
        <f>E169</f>
        <v>2020</v>
      </c>
      <c r="M169" s="503">
        <v>2016</v>
      </c>
      <c r="N169" s="919"/>
      <c r="P169" s="921" t="s">
        <v>354</v>
      </c>
      <c r="Q169" s="920"/>
      <c r="R169" s="520">
        <f>K169</f>
        <v>2023</v>
      </c>
      <c r="S169" s="520">
        <f>L169</f>
        <v>2020</v>
      </c>
      <c r="T169" s="503">
        <v>2016</v>
      </c>
      <c r="U169" s="919"/>
      <c r="W169" s="501" t="s">
        <v>32</v>
      </c>
      <c r="X169" s="502">
        <v>2.2999999999999998</v>
      </c>
    </row>
    <row r="170" spans="1:24" ht="13.5" thickBot="1" x14ac:dyDescent="0.3">
      <c r="A170" s="922"/>
      <c r="B170" s="480">
        <v>1</v>
      </c>
      <c r="C170" s="504">
        <v>15</v>
      </c>
      <c r="D170" s="504">
        <v>0.1</v>
      </c>
      <c r="E170" s="504">
        <v>0.1</v>
      </c>
      <c r="F170" s="508"/>
      <c r="G170" s="505">
        <f>0.5*(MAX(D170:F170)-MIN(D170:F170))</f>
        <v>0</v>
      </c>
      <c r="I170" s="480">
        <v>1</v>
      </c>
      <c r="J170" s="504">
        <v>35</v>
      </c>
      <c r="K170" s="504">
        <v>-2.5</v>
      </c>
      <c r="L170" s="504">
        <v>-1.6</v>
      </c>
      <c r="M170" s="508"/>
      <c r="N170" s="505">
        <f>0.5*(MAX(K170:M170)-MIN(K170:M170))</f>
        <v>0.44999999999999996</v>
      </c>
      <c r="P170" s="480">
        <v>1</v>
      </c>
      <c r="Q170" s="504">
        <v>960</v>
      </c>
      <c r="R170" s="507">
        <v>4.5999999999999996</v>
      </c>
      <c r="S170" s="507" t="s">
        <v>115</v>
      </c>
      <c r="T170" s="508"/>
      <c r="U170" s="505">
        <f>0.5*(MAX(R170:T170)-MIN(R170:T170))</f>
        <v>0</v>
      </c>
      <c r="W170" s="509" t="s">
        <v>354</v>
      </c>
      <c r="X170" s="510">
        <v>2.2000000000000002</v>
      </c>
    </row>
    <row r="171" spans="1:24" ht="13" x14ac:dyDescent="0.25">
      <c r="A171" s="922"/>
      <c r="B171" s="480">
        <v>2</v>
      </c>
      <c r="C171" s="504">
        <v>20</v>
      </c>
      <c r="D171" s="504">
        <v>0.3</v>
      </c>
      <c r="E171" s="504">
        <v>0.2</v>
      </c>
      <c r="F171" s="508"/>
      <c r="G171" s="505">
        <f t="shared" ref="G171:G176" si="45">0.5*(MAX(D171:F171)-MIN(D171:F171))</f>
        <v>4.9999999999999989E-2</v>
      </c>
      <c r="I171" s="480">
        <v>2</v>
      </c>
      <c r="J171" s="504">
        <v>40</v>
      </c>
      <c r="K171" s="504">
        <v>-2.2999999999999998</v>
      </c>
      <c r="L171" s="504">
        <v>-1.4</v>
      </c>
      <c r="M171" s="508"/>
      <c r="N171" s="505">
        <f t="shared" ref="N171:N176" si="46">0.5*(MAX(K171:M171)-MIN(K171:M171))</f>
        <v>0.44999999999999996</v>
      </c>
      <c r="P171" s="480">
        <v>2</v>
      </c>
      <c r="Q171" s="504">
        <v>970</v>
      </c>
      <c r="R171" s="507">
        <v>4.5</v>
      </c>
      <c r="S171" s="507" t="s">
        <v>115</v>
      </c>
      <c r="T171" s="508"/>
      <c r="U171" s="505">
        <f t="shared" ref="U171:U176" si="47">0.5*(MAX(R171:T171)-MIN(R171:T171))</f>
        <v>0</v>
      </c>
    </row>
    <row r="172" spans="1:24" ht="13" x14ac:dyDescent="0.25">
      <c r="A172" s="922"/>
      <c r="B172" s="480">
        <v>3</v>
      </c>
      <c r="C172" s="504">
        <v>25</v>
      </c>
      <c r="D172" s="504">
        <v>0.5</v>
      </c>
      <c r="E172" s="504">
        <v>0.2</v>
      </c>
      <c r="F172" s="508"/>
      <c r="G172" s="505">
        <f t="shared" si="45"/>
        <v>0.15</v>
      </c>
      <c r="I172" s="480">
        <v>3</v>
      </c>
      <c r="J172" s="504">
        <v>50</v>
      </c>
      <c r="K172" s="504">
        <v>-2</v>
      </c>
      <c r="L172" s="504">
        <v>-1.4</v>
      </c>
      <c r="M172" s="508"/>
      <c r="N172" s="505">
        <f t="shared" si="46"/>
        <v>0.30000000000000004</v>
      </c>
      <c r="P172" s="480">
        <v>3</v>
      </c>
      <c r="Q172" s="511">
        <v>980</v>
      </c>
      <c r="R172" s="512">
        <v>4.5</v>
      </c>
      <c r="S172" s="512" t="s">
        <v>115</v>
      </c>
      <c r="T172" s="508"/>
      <c r="U172" s="505">
        <f t="shared" si="47"/>
        <v>0</v>
      </c>
    </row>
    <row r="173" spans="1:24" ht="13" x14ac:dyDescent="0.25">
      <c r="A173" s="922"/>
      <c r="B173" s="480">
        <v>4</v>
      </c>
      <c r="C173" s="511">
        <v>30</v>
      </c>
      <c r="D173" s="511">
        <v>0.6</v>
      </c>
      <c r="E173" s="511">
        <v>0.2</v>
      </c>
      <c r="F173" s="508"/>
      <c r="G173" s="505">
        <f t="shared" si="45"/>
        <v>0.19999999999999998</v>
      </c>
      <c r="I173" s="480">
        <v>4</v>
      </c>
      <c r="J173" s="511">
        <v>60</v>
      </c>
      <c r="K173" s="511">
        <v>-1.9</v>
      </c>
      <c r="L173" s="511">
        <v>-1.5</v>
      </c>
      <c r="M173" s="508"/>
      <c r="N173" s="505">
        <f t="shared" si="46"/>
        <v>0.19999999999999996</v>
      </c>
      <c r="P173" s="480">
        <v>4</v>
      </c>
      <c r="Q173" s="511">
        <v>990</v>
      </c>
      <c r="R173" s="512">
        <v>4.4000000000000004</v>
      </c>
      <c r="S173" s="512" t="s">
        <v>115</v>
      </c>
      <c r="T173" s="508"/>
      <c r="U173" s="505">
        <f t="shared" si="47"/>
        <v>0</v>
      </c>
    </row>
    <row r="174" spans="1:24" ht="13" x14ac:dyDescent="0.25">
      <c r="A174" s="922"/>
      <c r="B174" s="480">
        <v>5</v>
      </c>
      <c r="C174" s="511">
        <v>35</v>
      </c>
      <c r="D174" s="511">
        <v>0.6</v>
      </c>
      <c r="E174" s="511">
        <v>0.1</v>
      </c>
      <c r="F174" s="508"/>
      <c r="G174" s="505">
        <f t="shared" si="45"/>
        <v>0.25</v>
      </c>
      <c r="I174" s="480">
        <v>5</v>
      </c>
      <c r="J174" s="511">
        <v>70</v>
      </c>
      <c r="K174" s="511">
        <v>-2.1</v>
      </c>
      <c r="L174" s="511">
        <v>-1.8</v>
      </c>
      <c r="M174" s="508"/>
      <c r="N174" s="505">
        <f t="shared" si="46"/>
        <v>0.15000000000000002</v>
      </c>
      <c r="P174" s="480">
        <v>5</v>
      </c>
      <c r="Q174" s="511">
        <v>1000</v>
      </c>
      <c r="R174" s="512">
        <v>4.3</v>
      </c>
      <c r="S174" s="512">
        <v>-0.4</v>
      </c>
      <c r="T174" s="508"/>
      <c r="U174" s="505">
        <f t="shared" si="47"/>
        <v>2.35</v>
      </c>
    </row>
    <row r="175" spans="1:24" ht="13" x14ac:dyDescent="0.25">
      <c r="A175" s="922"/>
      <c r="B175" s="480">
        <v>6</v>
      </c>
      <c r="C175" s="511">
        <v>37</v>
      </c>
      <c r="D175" s="504">
        <v>0.6</v>
      </c>
      <c r="E175" s="504">
        <v>9.9999999999999995E-7</v>
      </c>
      <c r="F175" s="508"/>
      <c r="G175" s="505">
        <f t="shared" si="45"/>
        <v>0.29999949999999997</v>
      </c>
      <c r="I175" s="480">
        <v>6</v>
      </c>
      <c r="J175" s="511">
        <v>80</v>
      </c>
      <c r="K175" s="511">
        <v>-2.5</v>
      </c>
      <c r="L175" s="511">
        <v>-2.2999999999999998</v>
      </c>
      <c r="M175" s="508"/>
      <c r="N175" s="505">
        <f t="shared" si="46"/>
        <v>0.10000000000000009</v>
      </c>
      <c r="P175" s="480">
        <v>6</v>
      </c>
      <c r="Q175" s="511">
        <v>1005</v>
      </c>
      <c r="R175" s="512" t="s">
        <v>115</v>
      </c>
      <c r="S175" s="512">
        <v>-0.4</v>
      </c>
      <c r="T175" s="508"/>
      <c r="U175" s="505">
        <f t="shared" si="47"/>
        <v>0</v>
      </c>
    </row>
    <row r="176" spans="1:24" ht="13" x14ac:dyDescent="0.25">
      <c r="A176" s="922"/>
      <c r="B176" s="480">
        <v>7</v>
      </c>
      <c r="C176" s="511">
        <v>40</v>
      </c>
      <c r="D176" s="504">
        <v>0.6</v>
      </c>
      <c r="E176" s="504">
        <v>9.9999999999999995E-7</v>
      </c>
      <c r="F176" s="508"/>
      <c r="G176" s="505">
        <f t="shared" si="45"/>
        <v>0.29999949999999997</v>
      </c>
      <c r="I176" s="480">
        <v>7</v>
      </c>
      <c r="J176" s="511">
        <v>90</v>
      </c>
      <c r="K176" s="511">
        <v>-3.1</v>
      </c>
      <c r="L176" s="511">
        <v>-3</v>
      </c>
      <c r="M176" s="508"/>
      <c r="N176" s="505">
        <f t="shared" si="46"/>
        <v>5.0000000000000044E-2</v>
      </c>
      <c r="P176" s="480">
        <v>7</v>
      </c>
      <c r="Q176" s="511">
        <v>1010</v>
      </c>
      <c r="R176" s="512">
        <v>4.3</v>
      </c>
      <c r="S176" s="512">
        <v>9.9999999999999995E-7</v>
      </c>
      <c r="T176" s="508"/>
      <c r="U176" s="505">
        <f t="shared" si="47"/>
        <v>2.1499994999999998</v>
      </c>
    </row>
    <row r="177" spans="1:24" ht="13" thickBot="1" x14ac:dyDescent="0.3">
      <c r="A177" s="522"/>
      <c r="C177" s="483"/>
      <c r="D177" s="483"/>
      <c r="E177" s="523"/>
      <c r="F177" s="483"/>
      <c r="J177" s="483"/>
      <c r="K177" s="483"/>
      <c r="L177" s="523"/>
      <c r="M177" s="483"/>
      <c r="Q177" s="483"/>
      <c r="R177" s="523"/>
      <c r="S177" s="523"/>
      <c r="T177" s="483"/>
    </row>
    <row r="178" spans="1:24" x14ac:dyDescent="0.25">
      <c r="A178" s="922">
        <v>17</v>
      </c>
      <c r="B178" s="923" t="s">
        <v>370</v>
      </c>
      <c r="C178" s="923"/>
      <c r="D178" s="923"/>
      <c r="E178" s="923"/>
      <c r="F178" s="923"/>
      <c r="G178" s="923"/>
      <c r="I178" s="923" t="str">
        <f>B178</f>
        <v>KOREKSI EXTECH A.100617</v>
      </c>
      <c r="J178" s="923"/>
      <c r="K178" s="923"/>
      <c r="L178" s="923"/>
      <c r="M178" s="923"/>
      <c r="N178" s="923"/>
      <c r="P178" s="923" t="str">
        <f>I178</f>
        <v>KOREKSI EXTECH A.100617</v>
      </c>
      <c r="Q178" s="923"/>
      <c r="R178" s="923"/>
      <c r="S178" s="923"/>
      <c r="T178" s="923"/>
      <c r="U178" s="923"/>
      <c r="W178" s="917" t="s">
        <v>240</v>
      </c>
      <c r="X178" s="918"/>
    </row>
    <row r="179" spans="1:24" ht="13" x14ac:dyDescent="0.25">
      <c r="A179" s="922"/>
      <c r="B179" s="919" t="s">
        <v>348</v>
      </c>
      <c r="C179" s="919"/>
      <c r="D179" s="919" t="s">
        <v>349</v>
      </c>
      <c r="E179" s="919"/>
      <c r="F179" s="919"/>
      <c r="G179" s="919" t="s">
        <v>350</v>
      </c>
      <c r="I179" s="919" t="s">
        <v>351</v>
      </c>
      <c r="J179" s="919"/>
      <c r="K179" s="919" t="s">
        <v>349</v>
      </c>
      <c r="L179" s="919"/>
      <c r="M179" s="919"/>
      <c r="N179" s="919" t="s">
        <v>350</v>
      </c>
      <c r="P179" s="919" t="s">
        <v>352</v>
      </c>
      <c r="Q179" s="919"/>
      <c r="R179" s="919" t="s">
        <v>349</v>
      </c>
      <c r="S179" s="919"/>
      <c r="T179" s="919"/>
      <c r="U179" s="919" t="s">
        <v>350</v>
      </c>
      <c r="W179" s="501" t="s">
        <v>348</v>
      </c>
      <c r="X179" s="502">
        <v>0.8</v>
      </c>
    </row>
    <row r="180" spans="1:24" ht="14.5" x14ac:dyDescent="0.25">
      <c r="A180" s="922"/>
      <c r="B180" s="920" t="s">
        <v>353</v>
      </c>
      <c r="C180" s="920"/>
      <c r="D180" s="503">
        <v>2023</v>
      </c>
      <c r="E180" s="503">
        <v>2020</v>
      </c>
      <c r="F180" s="503">
        <v>2016</v>
      </c>
      <c r="G180" s="919"/>
      <c r="I180" s="921" t="s">
        <v>32</v>
      </c>
      <c r="J180" s="920"/>
      <c r="K180" s="520">
        <f>D180</f>
        <v>2023</v>
      </c>
      <c r="L180" s="520">
        <f>E180</f>
        <v>2020</v>
      </c>
      <c r="M180" s="503">
        <v>2016</v>
      </c>
      <c r="N180" s="919"/>
      <c r="P180" s="921" t="s">
        <v>354</v>
      </c>
      <c r="Q180" s="920"/>
      <c r="R180" s="520">
        <f>K180</f>
        <v>2023</v>
      </c>
      <c r="S180" s="520">
        <f>L180</f>
        <v>2020</v>
      </c>
      <c r="T180" s="503">
        <v>2016</v>
      </c>
      <c r="U180" s="919"/>
      <c r="W180" s="501" t="s">
        <v>32</v>
      </c>
      <c r="X180" s="502">
        <v>2.2999999999999998</v>
      </c>
    </row>
    <row r="181" spans="1:24" ht="13.5" thickBot="1" x14ac:dyDescent="0.3">
      <c r="A181" s="922"/>
      <c r="B181" s="480">
        <v>1</v>
      </c>
      <c r="C181" s="504">
        <v>15</v>
      </c>
      <c r="D181" s="504">
        <v>0.2</v>
      </c>
      <c r="E181" s="504">
        <v>0.1</v>
      </c>
      <c r="F181" s="508"/>
      <c r="G181" s="505">
        <f>0.5*(MAX(D181:F181)-MIN(D181:F181))</f>
        <v>0.05</v>
      </c>
      <c r="I181" s="480">
        <v>1</v>
      </c>
      <c r="J181" s="504">
        <v>35</v>
      </c>
      <c r="K181" s="504">
        <v>-2.7</v>
      </c>
      <c r="L181" s="504">
        <v>0.1</v>
      </c>
      <c r="M181" s="508"/>
      <c r="N181" s="505">
        <f>0.5*(MAX(K181:M181)-MIN(K181:M181))</f>
        <v>1.4000000000000001</v>
      </c>
      <c r="P181" s="480">
        <v>1</v>
      </c>
      <c r="Q181" s="504">
        <v>960</v>
      </c>
      <c r="R181" s="507">
        <v>4.5999999999999996</v>
      </c>
      <c r="S181" s="507">
        <v>-0.6</v>
      </c>
      <c r="T181" s="508"/>
      <c r="U181" s="505">
        <f>0.5*(MAX(R181:T181)-MIN(R181:T181))</f>
        <v>2.5999999999999996</v>
      </c>
      <c r="W181" s="509" t="s">
        <v>354</v>
      </c>
      <c r="X181" s="510">
        <v>2.1</v>
      </c>
    </row>
    <row r="182" spans="1:24" ht="13" x14ac:dyDescent="0.25">
      <c r="A182" s="922"/>
      <c r="B182" s="480">
        <v>2</v>
      </c>
      <c r="C182" s="504">
        <v>20</v>
      </c>
      <c r="D182" s="504">
        <v>0.4</v>
      </c>
      <c r="E182" s="504">
        <v>0.1</v>
      </c>
      <c r="F182" s="508"/>
      <c r="G182" s="505">
        <f t="shared" ref="G182:G187" si="48">0.5*(MAX(D182:F182)-MIN(D182:F182))</f>
        <v>0.15000000000000002</v>
      </c>
      <c r="I182" s="480">
        <v>2</v>
      </c>
      <c r="J182" s="504">
        <v>40</v>
      </c>
      <c r="K182" s="504">
        <v>-2.4</v>
      </c>
      <c r="L182" s="504">
        <v>0.2</v>
      </c>
      <c r="M182" s="508"/>
      <c r="N182" s="505">
        <f t="shared" ref="N182:N187" si="49">0.5*(MAX(K182:M182)-MIN(K182:M182))</f>
        <v>1.3</v>
      </c>
      <c r="P182" s="480">
        <v>2</v>
      </c>
      <c r="Q182" s="504">
        <v>970</v>
      </c>
      <c r="R182" s="507">
        <v>4.5999999999999996</v>
      </c>
      <c r="S182" s="507">
        <v>-0.6</v>
      </c>
      <c r="T182" s="508"/>
      <c r="U182" s="505">
        <f t="shared" ref="U182:U187" si="50">0.5*(MAX(R182:T182)-MIN(R182:T182))</f>
        <v>2.5999999999999996</v>
      </c>
    </row>
    <row r="183" spans="1:24" ht="13" x14ac:dyDescent="0.25">
      <c r="A183" s="922"/>
      <c r="B183" s="480">
        <v>3</v>
      </c>
      <c r="C183" s="504">
        <v>25</v>
      </c>
      <c r="D183" s="504">
        <v>0.5</v>
      </c>
      <c r="E183" s="504">
        <v>0</v>
      </c>
      <c r="F183" s="508"/>
      <c r="G183" s="505">
        <f t="shared" si="48"/>
        <v>0.25</v>
      </c>
      <c r="I183" s="480">
        <v>3</v>
      </c>
      <c r="J183" s="504">
        <v>50</v>
      </c>
      <c r="K183" s="504">
        <v>-1.9</v>
      </c>
      <c r="L183" s="504">
        <v>0.2</v>
      </c>
      <c r="M183" s="508"/>
      <c r="N183" s="505">
        <f t="shared" si="49"/>
        <v>1.05</v>
      </c>
      <c r="P183" s="480">
        <v>3</v>
      </c>
      <c r="Q183" s="511">
        <v>980</v>
      </c>
      <c r="R183" s="512">
        <v>4.5999999999999996</v>
      </c>
      <c r="S183" s="512">
        <v>-0.6</v>
      </c>
      <c r="T183" s="508"/>
      <c r="U183" s="505">
        <f t="shared" si="50"/>
        <v>2.5999999999999996</v>
      </c>
    </row>
    <row r="184" spans="1:24" ht="13" x14ac:dyDescent="0.25">
      <c r="A184" s="922"/>
      <c r="B184" s="480">
        <v>4</v>
      </c>
      <c r="C184" s="511">
        <v>30</v>
      </c>
      <c r="D184" s="511">
        <v>0.6</v>
      </c>
      <c r="E184" s="511">
        <v>-0.2</v>
      </c>
      <c r="F184" s="508"/>
      <c r="G184" s="505">
        <f t="shared" si="48"/>
        <v>0.4</v>
      </c>
      <c r="I184" s="480">
        <v>4</v>
      </c>
      <c r="J184" s="511">
        <v>60</v>
      </c>
      <c r="K184" s="511">
        <v>-1.7</v>
      </c>
      <c r="L184" s="511">
        <v>0</v>
      </c>
      <c r="M184" s="508"/>
      <c r="N184" s="505">
        <f t="shared" si="49"/>
        <v>0.85</v>
      </c>
      <c r="P184" s="480">
        <v>4</v>
      </c>
      <c r="Q184" s="511">
        <v>990</v>
      </c>
      <c r="R184" s="512">
        <v>4.5999999999999996</v>
      </c>
      <c r="S184" s="512">
        <v>-0.6</v>
      </c>
      <c r="T184" s="508"/>
      <c r="U184" s="505">
        <f t="shared" si="50"/>
        <v>2.5999999999999996</v>
      </c>
    </row>
    <row r="185" spans="1:24" ht="13" x14ac:dyDescent="0.25">
      <c r="A185" s="922"/>
      <c r="B185" s="480">
        <v>5</v>
      </c>
      <c r="C185" s="511">
        <v>35</v>
      </c>
      <c r="D185" s="511">
        <v>0.7</v>
      </c>
      <c r="E185" s="511">
        <v>-0.5</v>
      </c>
      <c r="F185" s="508"/>
      <c r="G185" s="505">
        <f t="shared" si="48"/>
        <v>0.6</v>
      </c>
      <c r="I185" s="480">
        <v>5</v>
      </c>
      <c r="J185" s="511">
        <v>70</v>
      </c>
      <c r="K185" s="511">
        <v>-1.8</v>
      </c>
      <c r="L185" s="511">
        <v>-0.3</v>
      </c>
      <c r="M185" s="508"/>
      <c r="N185" s="505">
        <f t="shared" si="49"/>
        <v>0.75</v>
      </c>
      <c r="P185" s="480">
        <v>5</v>
      </c>
      <c r="Q185" s="511">
        <v>1000</v>
      </c>
      <c r="R185" s="512">
        <v>4.5</v>
      </c>
      <c r="S185" s="512">
        <v>-0.6</v>
      </c>
      <c r="T185" s="508"/>
      <c r="U185" s="505">
        <f t="shared" si="50"/>
        <v>2.5499999999999998</v>
      </c>
    </row>
    <row r="186" spans="1:24" ht="13" x14ac:dyDescent="0.25">
      <c r="A186" s="922"/>
      <c r="B186" s="480">
        <v>6</v>
      </c>
      <c r="C186" s="511">
        <v>37</v>
      </c>
      <c r="D186" s="511">
        <v>0.7</v>
      </c>
      <c r="E186" s="511">
        <v>-0.6</v>
      </c>
      <c r="F186" s="508"/>
      <c r="G186" s="505">
        <f t="shared" si="48"/>
        <v>0.64999999999999991</v>
      </c>
      <c r="I186" s="480">
        <v>6</v>
      </c>
      <c r="J186" s="511">
        <v>80</v>
      </c>
      <c r="K186" s="511">
        <v>-2.2000000000000002</v>
      </c>
      <c r="L186" s="511">
        <v>-0.8</v>
      </c>
      <c r="M186" s="508"/>
      <c r="N186" s="505">
        <f t="shared" si="49"/>
        <v>0.70000000000000007</v>
      </c>
      <c r="P186" s="480">
        <v>6</v>
      </c>
      <c r="Q186" s="511">
        <v>1005</v>
      </c>
      <c r="R186" s="512" t="s">
        <v>115</v>
      </c>
      <c r="S186" s="512">
        <v>-0.6</v>
      </c>
      <c r="T186" s="508"/>
      <c r="U186" s="505">
        <f t="shared" si="50"/>
        <v>0</v>
      </c>
    </row>
    <row r="187" spans="1:24" ht="13" x14ac:dyDescent="0.25">
      <c r="A187" s="922"/>
      <c r="B187" s="480">
        <v>7</v>
      </c>
      <c r="C187" s="511">
        <v>40</v>
      </c>
      <c r="D187" s="511">
        <v>0.7</v>
      </c>
      <c r="E187" s="511">
        <v>-0.8</v>
      </c>
      <c r="F187" s="508"/>
      <c r="G187" s="505">
        <f t="shared" si="48"/>
        <v>0.75</v>
      </c>
      <c r="I187" s="480">
        <v>7</v>
      </c>
      <c r="J187" s="511">
        <v>90</v>
      </c>
      <c r="K187" s="511">
        <v>-2.9</v>
      </c>
      <c r="L187" s="511">
        <v>-1.4</v>
      </c>
      <c r="M187" s="508"/>
      <c r="N187" s="505">
        <f t="shared" si="49"/>
        <v>0.75</v>
      </c>
      <c r="P187" s="480">
        <v>7</v>
      </c>
      <c r="Q187" s="511">
        <v>1020</v>
      </c>
      <c r="R187" s="512">
        <v>4.5</v>
      </c>
      <c r="S187" s="512">
        <v>9.9999999999999995E-7</v>
      </c>
      <c r="T187" s="508"/>
      <c r="U187" s="505">
        <f t="shared" si="50"/>
        <v>2.2499994999999999</v>
      </c>
    </row>
    <row r="188" spans="1:24" ht="13" thickBot="1" x14ac:dyDescent="0.3">
      <c r="A188" s="522"/>
      <c r="C188" s="483"/>
      <c r="D188" s="483"/>
      <c r="E188" s="523"/>
      <c r="F188" s="483"/>
      <c r="J188" s="483"/>
      <c r="K188" s="483"/>
      <c r="L188" s="523"/>
      <c r="M188" s="483"/>
      <c r="Q188" s="483"/>
      <c r="R188" s="523"/>
      <c r="S188" s="523"/>
      <c r="T188" s="483"/>
    </row>
    <row r="189" spans="1:24" x14ac:dyDescent="0.25">
      <c r="A189" s="922">
        <v>18</v>
      </c>
      <c r="B189" s="923" t="s">
        <v>371</v>
      </c>
      <c r="C189" s="923"/>
      <c r="D189" s="923"/>
      <c r="E189" s="923"/>
      <c r="F189" s="923"/>
      <c r="G189" s="923"/>
      <c r="I189" s="923" t="str">
        <f>B189</f>
        <v>KOREKSI EXTECH A.100618</v>
      </c>
      <c r="J189" s="923"/>
      <c r="K189" s="923"/>
      <c r="L189" s="923"/>
      <c r="M189" s="923"/>
      <c r="N189" s="923"/>
      <c r="P189" s="923" t="str">
        <f>I189</f>
        <v>KOREKSI EXTECH A.100618</v>
      </c>
      <c r="Q189" s="923"/>
      <c r="R189" s="923"/>
      <c r="S189" s="923"/>
      <c r="T189" s="923"/>
      <c r="U189" s="923"/>
      <c r="W189" s="917" t="s">
        <v>240</v>
      </c>
      <c r="X189" s="918"/>
    </row>
    <row r="190" spans="1:24" ht="13" x14ac:dyDescent="0.25">
      <c r="A190" s="922"/>
      <c r="B190" s="919" t="s">
        <v>348</v>
      </c>
      <c r="C190" s="919"/>
      <c r="D190" s="919" t="s">
        <v>349</v>
      </c>
      <c r="E190" s="919"/>
      <c r="F190" s="919"/>
      <c r="G190" s="919" t="s">
        <v>350</v>
      </c>
      <c r="I190" s="919" t="s">
        <v>351</v>
      </c>
      <c r="J190" s="919"/>
      <c r="K190" s="919" t="s">
        <v>349</v>
      </c>
      <c r="L190" s="919"/>
      <c r="M190" s="919"/>
      <c r="N190" s="919" t="s">
        <v>350</v>
      </c>
      <c r="P190" s="919" t="s">
        <v>352</v>
      </c>
      <c r="Q190" s="919"/>
      <c r="R190" s="919" t="s">
        <v>349</v>
      </c>
      <c r="S190" s="919"/>
      <c r="T190" s="919"/>
      <c r="U190" s="919" t="s">
        <v>350</v>
      </c>
      <c r="W190" s="501" t="s">
        <v>348</v>
      </c>
      <c r="X190" s="502">
        <v>0.6</v>
      </c>
    </row>
    <row r="191" spans="1:24" ht="14.5" x14ac:dyDescent="0.25">
      <c r="A191" s="922"/>
      <c r="B191" s="920" t="s">
        <v>353</v>
      </c>
      <c r="C191" s="920"/>
      <c r="D191" s="503">
        <v>2023</v>
      </c>
      <c r="E191" s="503">
        <v>2020</v>
      </c>
      <c r="F191" s="503">
        <v>2016</v>
      </c>
      <c r="G191" s="919"/>
      <c r="I191" s="921" t="s">
        <v>32</v>
      </c>
      <c r="J191" s="920"/>
      <c r="K191" s="520">
        <f>D191</f>
        <v>2023</v>
      </c>
      <c r="L191" s="520">
        <f>E191</f>
        <v>2020</v>
      </c>
      <c r="M191" s="503">
        <v>2016</v>
      </c>
      <c r="N191" s="919"/>
      <c r="P191" s="921" t="s">
        <v>354</v>
      </c>
      <c r="Q191" s="920"/>
      <c r="R191" s="520">
        <f>K191</f>
        <v>2023</v>
      </c>
      <c r="S191" s="520">
        <f>L191</f>
        <v>2020</v>
      </c>
      <c r="T191" s="503">
        <v>2016</v>
      </c>
      <c r="U191" s="919"/>
      <c r="W191" s="501" t="s">
        <v>32</v>
      </c>
      <c r="X191" s="502">
        <v>2.2999999999999998</v>
      </c>
    </row>
    <row r="192" spans="1:24" ht="13.5" thickBot="1" x14ac:dyDescent="0.3">
      <c r="A192" s="922"/>
      <c r="B192" s="480">
        <v>1</v>
      </c>
      <c r="C192" s="504">
        <v>15</v>
      </c>
      <c r="D192" s="504">
        <v>0.3</v>
      </c>
      <c r="E192" s="504">
        <v>9.9999999999999995E-7</v>
      </c>
      <c r="F192" s="508"/>
      <c r="G192" s="505">
        <f>0.5*(MAX(D192:F192)-MIN(D192:F192))</f>
        <v>0.14999950000000001</v>
      </c>
      <c r="I192" s="480">
        <v>1</v>
      </c>
      <c r="J192" s="504">
        <v>35</v>
      </c>
      <c r="K192" s="504">
        <v>-3.2</v>
      </c>
      <c r="L192" s="504">
        <v>-0.4</v>
      </c>
      <c r="M192" s="508"/>
      <c r="N192" s="505">
        <f>0.5*(MAX(K192:M192)-MIN(K192:M192))</f>
        <v>1.4000000000000001</v>
      </c>
      <c r="P192" s="480">
        <v>1</v>
      </c>
      <c r="Q192" s="504">
        <v>960</v>
      </c>
      <c r="R192" s="507">
        <v>4.5999999999999996</v>
      </c>
      <c r="S192" s="507" t="s">
        <v>115</v>
      </c>
      <c r="T192" s="508"/>
      <c r="U192" s="505">
        <f>0.5*(MAX(R192:T192)-MIN(R192:T192))</f>
        <v>0</v>
      </c>
      <c r="W192" s="509" t="s">
        <v>354</v>
      </c>
      <c r="X192" s="510">
        <v>2.1</v>
      </c>
    </row>
    <row r="193" spans="1:24" ht="13" x14ac:dyDescent="0.25">
      <c r="A193" s="922"/>
      <c r="B193" s="480">
        <v>2</v>
      </c>
      <c r="C193" s="504">
        <v>20</v>
      </c>
      <c r="D193" s="504">
        <v>0.2</v>
      </c>
      <c r="E193" s="504">
        <v>-0.1</v>
      </c>
      <c r="F193" s="508"/>
      <c r="G193" s="505">
        <f t="shared" ref="G193:G197" si="51">0.5*(MAX(D193:F193)-MIN(D193:F193))</f>
        <v>0.15000000000000002</v>
      </c>
      <c r="I193" s="480">
        <v>2</v>
      </c>
      <c r="J193" s="504">
        <v>40</v>
      </c>
      <c r="K193" s="504">
        <v>-2.9</v>
      </c>
      <c r="L193" s="504">
        <v>-0.2</v>
      </c>
      <c r="M193" s="508"/>
      <c r="N193" s="505">
        <f t="shared" ref="N193:N198" si="52">0.5*(MAX(K193:M193)-MIN(K193:M193))</f>
        <v>1.3499999999999999</v>
      </c>
      <c r="P193" s="480">
        <v>2</v>
      </c>
      <c r="Q193" s="504">
        <v>970</v>
      </c>
      <c r="R193" s="507">
        <v>4.5</v>
      </c>
      <c r="S193" s="507" t="s">
        <v>115</v>
      </c>
      <c r="T193" s="508"/>
      <c r="U193" s="505">
        <f t="shared" ref="U193:U198" si="53">0.5*(MAX(R193:T193)-MIN(R193:T193))</f>
        <v>0</v>
      </c>
    </row>
    <row r="194" spans="1:24" ht="13" x14ac:dyDescent="0.25">
      <c r="A194" s="922"/>
      <c r="B194" s="480">
        <v>3</v>
      </c>
      <c r="C194" s="504">
        <v>25</v>
      </c>
      <c r="D194" s="504">
        <v>0.2</v>
      </c>
      <c r="E194" s="504">
        <v>-0.2</v>
      </c>
      <c r="F194" s="508"/>
      <c r="G194" s="505">
        <f t="shared" si="51"/>
        <v>0.2</v>
      </c>
      <c r="I194" s="480">
        <v>3</v>
      </c>
      <c r="J194" s="504">
        <v>50</v>
      </c>
      <c r="K194" s="504">
        <v>-2.4</v>
      </c>
      <c r="L194" s="504">
        <v>-0.2</v>
      </c>
      <c r="M194" s="508"/>
      <c r="N194" s="505">
        <f t="shared" si="52"/>
        <v>1.0999999999999999</v>
      </c>
      <c r="P194" s="480">
        <v>3</v>
      </c>
      <c r="Q194" s="511">
        <v>980</v>
      </c>
      <c r="R194" s="512">
        <v>4.5</v>
      </c>
      <c r="S194" s="512" t="s">
        <v>115</v>
      </c>
      <c r="T194" s="508"/>
      <c r="U194" s="505">
        <f t="shared" si="53"/>
        <v>0</v>
      </c>
    </row>
    <row r="195" spans="1:24" ht="13" x14ac:dyDescent="0.25">
      <c r="A195" s="922"/>
      <c r="B195" s="480">
        <v>4</v>
      </c>
      <c r="C195" s="511">
        <v>30</v>
      </c>
      <c r="D195" s="511">
        <v>0.3</v>
      </c>
      <c r="E195" s="511">
        <v>-0.2</v>
      </c>
      <c r="F195" s="508"/>
      <c r="G195" s="505">
        <f t="shared" si="51"/>
        <v>0.25</v>
      </c>
      <c r="I195" s="480">
        <v>4</v>
      </c>
      <c r="J195" s="511">
        <v>60</v>
      </c>
      <c r="K195" s="511">
        <v>-2.1</v>
      </c>
      <c r="L195" s="511">
        <v>-0.2</v>
      </c>
      <c r="M195" s="508"/>
      <c r="N195" s="505">
        <f t="shared" si="52"/>
        <v>0.95000000000000007</v>
      </c>
      <c r="P195" s="480">
        <v>4</v>
      </c>
      <c r="Q195" s="511">
        <v>990</v>
      </c>
      <c r="R195" s="512">
        <v>4.5</v>
      </c>
      <c r="S195" s="512" t="s">
        <v>115</v>
      </c>
      <c r="T195" s="508"/>
      <c r="U195" s="505">
        <f t="shared" si="53"/>
        <v>0</v>
      </c>
    </row>
    <row r="196" spans="1:24" ht="13" x14ac:dyDescent="0.25">
      <c r="A196" s="922"/>
      <c r="B196" s="480">
        <v>5</v>
      </c>
      <c r="C196" s="511">
        <v>35</v>
      </c>
      <c r="D196" s="511">
        <v>0.4</v>
      </c>
      <c r="E196" s="511">
        <v>-0.3</v>
      </c>
      <c r="F196" s="508"/>
      <c r="G196" s="505">
        <f t="shared" si="51"/>
        <v>0.35</v>
      </c>
      <c r="I196" s="480">
        <v>5</v>
      </c>
      <c r="J196" s="511">
        <v>70</v>
      </c>
      <c r="K196" s="511">
        <v>-2.2000000000000002</v>
      </c>
      <c r="L196" s="511">
        <v>-0.3</v>
      </c>
      <c r="M196" s="508"/>
      <c r="N196" s="505">
        <f t="shared" si="52"/>
        <v>0.95000000000000007</v>
      </c>
      <c r="P196" s="480">
        <v>5</v>
      </c>
      <c r="Q196" s="511">
        <v>1000</v>
      </c>
      <c r="R196" s="512">
        <v>4.4000000000000004</v>
      </c>
      <c r="S196" s="512">
        <v>-0.8</v>
      </c>
      <c r="T196" s="508"/>
      <c r="U196" s="505">
        <f t="shared" si="53"/>
        <v>2.6</v>
      </c>
    </row>
    <row r="197" spans="1:24" ht="13" x14ac:dyDescent="0.25">
      <c r="A197" s="922"/>
      <c r="B197" s="480">
        <v>6</v>
      </c>
      <c r="C197" s="511">
        <v>37</v>
      </c>
      <c r="D197" s="511">
        <v>0.4</v>
      </c>
      <c r="E197" s="511">
        <v>-0.3</v>
      </c>
      <c r="F197" s="508"/>
      <c r="G197" s="505">
        <f t="shared" si="51"/>
        <v>0.35</v>
      </c>
      <c r="I197" s="480">
        <v>6</v>
      </c>
      <c r="J197" s="511">
        <v>80</v>
      </c>
      <c r="K197" s="511">
        <v>-2.4</v>
      </c>
      <c r="L197" s="511">
        <v>-0.5</v>
      </c>
      <c r="M197" s="508"/>
      <c r="N197" s="505">
        <f t="shared" si="52"/>
        <v>0.95</v>
      </c>
      <c r="P197" s="480">
        <v>6</v>
      </c>
      <c r="Q197" s="511">
        <v>1005</v>
      </c>
      <c r="R197" s="512" t="s">
        <v>115</v>
      </c>
      <c r="S197" s="512">
        <v>-0.7</v>
      </c>
      <c r="T197" s="508"/>
      <c r="U197" s="505">
        <f>0.5*(MAX(R197:T197)-MIN(R197:T197))</f>
        <v>0</v>
      </c>
    </row>
    <row r="198" spans="1:24" ht="13" x14ac:dyDescent="0.25">
      <c r="A198" s="922"/>
      <c r="B198" s="480">
        <v>7</v>
      </c>
      <c r="C198" s="511">
        <v>40</v>
      </c>
      <c r="D198" s="511">
        <v>0.5</v>
      </c>
      <c r="E198" s="511">
        <v>-0.4</v>
      </c>
      <c r="F198" s="508"/>
      <c r="G198" s="505">
        <f>0.5*(MAX(D198:F198)-MIN(D198:F198))</f>
        <v>0.45</v>
      </c>
      <c r="I198" s="480">
        <v>7</v>
      </c>
      <c r="J198" s="511">
        <v>90</v>
      </c>
      <c r="K198" s="511">
        <v>-3</v>
      </c>
      <c r="L198" s="511">
        <v>-0.8</v>
      </c>
      <c r="M198" s="508"/>
      <c r="N198" s="505">
        <f t="shared" si="52"/>
        <v>1.1000000000000001</v>
      </c>
      <c r="P198" s="480">
        <v>7</v>
      </c>
      <c r="Q198" s="511">
        <v>1010</v>
      </c>
      <c r="R198" s="512">
        <v>4.4000000000000004</v>
      </c>
      <c r="S198" s="512">
        <v>9.9999999999999995E-7</v>
      </c>
      <c r="T198" s="508"/>
      <c r="U198" s="505">
        <f t="shared" si="53"/>
        <v>2.1999995000000001</v>
      </c>
    </row>
    <row r="199" spans="1:24" ht="13" thickBot="1" x14ac:dyDescent="0.3">
      <c r="A199" s="522"/>
      <c r="C199" s="483"/>
      <c r="D199" s="483"/>
      <c r="E199" s="523"/>
      <c r="F199" s="483"/>
      <c r="I199" s="483"/>
      <c r="J199" s="483"/>
      <c r="K199" s="523"/>
      <c r="L199" s="483"/>
      <c r="O199" s="483"/>
      <c r="P199" s="523"/>
      <c r="Q199" s="523"/>
      <c r="R199" s="483"/>
    </row>
    <row r="200" spans="1:24" x14ac:dyDescent="0.25">
      <c r="A200" s="922">
        <v>19</v>
      </c>
      <c r="B200" s="923" t="s">
        <v>372</v>
      </c>
      <c r="C200" s="923"/>
      <c r="D200" s="923"/>
      <c r="E200" s="923"/>
      <c r="F200" s="923"/>
      <c r="G200" s="923"/>
      <c r="I200" s="923" t="str">
        <f>B200</f>
        <v>KOREKSI EXTECH A.100615</v>
      </c>
      <c r="J200" s="923"/>
      <c r="K200" s="923"/>
      <c r="L200" s="923"/>
      <c r="M200" s="923"/>
      <c r="N200" s="923"/>
      <c r="P200" s="923" t="str">
        <f>I200</f>
        <v>KOREKSI EXTECH A.100615</v>
      </c>
      <c r="Q200" s="923"/>
      <c r="R200" s="923"/>
      <c r="S200" s="923"/>
      <c r="T200" s="923"/>
      <c r="U200" s="923"/>
      <c r="W200" s="917" t="s">
        <v>240</v>
      </c>
      <c r="X200" s="918"/>
    </row>
    <row r="201" spans="1:24" ht="13" x14ac:dyDescent="0.25">
      <c r="A201" s="922"/>
      <c r="B201" s="919" t="s">
        <v>348</v>
      </c>
      <c r="C201" s="919"/>
      <c r="D201" s="919" t="s">
        <v>349</v>
      </c>
      <c r="E201" s="919"/>
      <c r="F201" s="919"/>
      <c r="G201" s="919" t="s">
        <v>350</v>
      </c>
      <c r="I201" s="919" t="s">
        <v>351</v>
      </c>
      <c r="J201" s="919"/>
      <c r="K201" s="919" t="s">
        <v>349</v>
      </c>
      <c r="L201" s="919"/>
      <c r="M201" s="919"/>
      <c r="N201" s="919" t="s">
        <v>350</v>
      </c>
      <c r="P201" s="919" t="s">
        <v>352</v>
      </c>
      <c r="Q201" s="919"/>
      <c r="R201" s="919" t="s">
        <v>349</v>
      </c>
      <c r="S201" s="919"/>
      <c r="T201" s="919"/>
      <c r="U201" s="919" t="s">
        <v>350</v>
      </c>
      <c r="W201" s="501" t="s">
        <v>348</v>
      </c>
      <c r="X201" s="502">
        <v>0.1</v>
      </c>
    </row>
    <row r="202" spans="1:24" ht="14.5" x14ac:dyDescent="0.25">
      <c r="A202" s="922"/>
      <c r="B202" s="920" t="s">
        <v>353</v>
      </c>
      <c r="C202" s="920"/>
      <c r="D202" s="503">
        <v>2021</v>
      </c>
      <c r="E202" s="519" t="s">
        <v>115</v>
      </c>
      <c r="F202" s="503">
        <v>2016</v>
      </c>
      <c r="G202" s="919"/>
      <c r="I202" s="921" t="s">
        <v>32</v>
      </c>
      <c r="J202" s="920"/>
      <c r="K202" s="520">
        <f>D202</f>
        <v>2021</v>
      </c>
      <c r="L202" s="520" t="str">
        <f>E202</f>
        <v>-</v>
      </c>
      <c r="M202" s="503">
        <v>2016</v>
      </c>
      <c r="N202" s="919"/>
      <c r="P202" s="921" t="s">
        <v>354</v>
      </c>
      <c r="Q202" s="920"/>
      <c r="R202" s="520">
        <f>K202</f>
        <v>2021</v>
      </c>
      <c r="S202" s="520" t="str">
        <f>L202</f>
        <v>-</v>
      </c>
      <c r="T202" s="503">
        <v>2016</v>
      </c>
      <c r="U202" s="919"/>
      <c r="W202" s="501" t="s">
        <v>32</v>
      </c>
      <c r="X202" s="502">
        <v>1.5</v>
      </c>
    </row>
    <row r="203" spans="1:24" ht="13.5" thickBot="1" x14ac:dyDescent="0.3">
      <c r="A203" s="922"/>
      <c r="B203" s="480">
        <v>1</v>
      </c>
      <c r="C203" s="504">
        <v>15</v>
      </c>
      <c r="D203" s="504">
        <v>9.9999999999999995E-7</v>
      </c>
      <c r="E203" s="504" t="s">
        <v>115</v>
      </c>
      <c r="F203" s="508"/>
      <c r="G203" s="505">
        <f>0.5*(MAX(D203:F203)-MIN(D203:F203))</f>
        <v>0</v>
      </c>
      <c r="I203" s="480">
        <v>1</v>
      </c>
      <c r="J203" s="504">
        <v>30</v>
      </c>
      <c r="K203" s="504">
        <v>-1.5</v>
      </c>
      <c r="L203" s="504" t="s">
        <v>115</v>
      </c>
      <c r="M203" s="508"/>
      <c r="N203" s="505">
        <f>0.5*(MAX(K203:M203)-MIN(K203:M203))</f>
        <v>0</v>
      </c>
      <c r="P203" s="480">
        <v>1</v>
      </c>
      <c r="Q203" s="504">
        <v>750</v>
      </c>
      <c r="R203" s="507">
        <v>2.5</v>
      </c>
      <c r="S203" s="504" t="s">
        <v>115</v>
      </c>
      <c r="T203" s="508"/>
      <c r="U203" s="505">
        <f>0.5*(MAX(R203:T203)-MIN(R203:T203))</f>
        <v>0</v>
      </c>
      <c r="W203" s="509" t="s">
        <v>354</v>
      </c>
      <c r="X203" s="510">
        <v>0.4</v>
      </c>
    </row>
    <row r="204" spans="1:24" ht="13" x14ac:dyDescent="0.25">
      <c r="A204" s="922"/>
      <c r="B204" s="480">
        <v>2</v>
      </c>
      <c r="C204" s="504">
        <v>20</v>
      </c>
      <c r="D204" s="504">
        <v>0.1</v>
      </c>
      <c r="E204" s="504" t="s">
        <v>115</v>
      </c>
      <c r="F204" s="508"/>
      <c r="G204" s="505">
        <f t="shared" ref="G204:G209" si="54">0.5*(MAX(D204:F204)-MIN(D204:F204))</f>
        <v>0</v>
      </c>
      <c r="I204" s="480">
        <v>2</v>
      </c>
      <c r="J204" s="504">
        <v>40</v>
      </c>
      <c r="K204" s="504">
        <v>-0.8</v>
      </c>
      <c r="L204" s="504" t="s">
        <v>115</v>
      </c>
      <c r="M204" s="508"/>
      <c r="N204" s="505">
        <f t="shared" ref="N204:N209" si="55">0.5*(MAX(K204:M204)-MIN(K204:M204))</f>
        <v>0</v>
      </c>
      <c r="P204" s="480">
        <v>2</v>
      </c>
      <c r="Q204" s="504">
        <v>800</v>
      </c>
      <c r="R204" s="507">
        <v>2.5</v>
      </c>
      <c r="S204" s="504" t="s">
        <v>115</v>
      </c>
      <c r="T204" s="508"/>
      <c r="U204" s="505">
        <f t="shared" ref="U204:U209" si="56">0.5*(MAX(R204:T204)-MIN(R204:T204))</f>
        <v>0</v>
      </c>
    </row>
    <row r="205" spans="1:24" ht="13" x14ac:dyDescent="0.25">
      <c r="A205" s="922"/>
      <c r="B205" s="480">
        <v>3</v>
      </c>
      <c r="C205" s="504">
        <v>25</v>
      </c>
      <c r="D205" s="504">
        <v>9.9999999999999995E-7</v>
      </c>
      <c r="E205" s="504" t="s">
        <v>115</v>
      </c>
      <c r="F205" s="508"/>
      <c r="G205" s="505">
        <f t="shared" si="54"/>
        <v>0</v>
      </c>
      <c r="I205" s="480">
        <v>3</v>
      </c>
      <c r="J205" s="504">
        <v>50</v>
      </c>
      <c r="K205" s="504">
        <v>-0.2</v>
      </c>
      <c r="L205" s="504" t="s">
        <v>115</v>
      </c>
      <c r="M205" s="508"/>
      <c r="N205" s="505">
        <f t="shared" si="55"/>
        <v>0</v>
      </c>
      <c r="P205" s="480">
        <v>3</v>
      </c>
      <c r="Q205" s="504">
        <v>850</v>
      </c>
      <c r="R205" s="507">
        <v>2.4</v>
      </c>
      <c r="S205" s="504" t="s">
        <v>115</v>
      </c>
      <c r="T205" s="508"/>
      <c r="U205" s="505">
        <f t="shared" si="56"/>
        <v>0</v>
      </c>
    </row>
    <row r="206" spans="1:24" ht="13" x14ac:dyDescent="0.25">
      <c r="A206" s="922"/>
      <c r="B206" s="480">
        <v>4</v>
      </c>
      <c r="C206" s="511">
        <v>30</v>
      </c>
      <c r="D206" s="511">
        <v>-0.1</v>
      </c>
      <c r="E206" s="512" t="s">
        <v>115</v>
      </c>
      <c r="F206" s="508"/>
      <c r="G206" s="505">
        <f t="shared" si="54"/>
        <v>0</v>
      </c>
      <c r="I206" s="480">
        <v>4</v>
      </c>
      <c r="J206" s="511">
        <v>60</v>
      </c>
      <c r="K206" s="511">
        <v>0.4</v>
      </c>
      <c r="L206" s="512" t="s">
        <v>115</v>
      </c>
      <c r="M206" s="508"/>
      <c r="N206" s="505">
        <f t="shared" si="55"/>
        <v>0</v>
      </c>
      <c r="P206" s="480">
        <v>4</v>
      </c>
      <c r="Q206" s="511">
        <v>900</v>
      </c>
      <c r="R206" s="512">
        <v>2.2999999999999998</v>
      </c>
      <c r="S206" s="512" t="s">
        <v>115</v>
      </c>
      <c r="T206" s="508"/>
      <c r="U206" s="505">
        <f t="shared" si="56"/>
        <v>0</v>
      </c>
    </row>
    <row r="207" spans="1:24" ht="13" x14ac:dyDescent="0.25">
      <c r="A207" s="922"/>
      <c r="B207" s="480">
        <v>5</v>
      </c>
      <c r="C207" s="511">
        <v>35</v>
      </c>
      <c r="D207" s="511">
        <v>-0.1</v>
      </c>
      <c r="E207" s="512" t="s">
        <v>115</v>
      </c>
      <c r="F207" s="508"/>
      <c r="G207" s="505">
        <f t="shared" si="54"/>
        <v>0</v>
      </c>
      <c r="I207" s="480">
        <v>5</v>
      </c>
      <c r="J207" s="511">
        <v>70</v>
      </c>
      <c r="K207" s="511">
        <v>-0.7</v>
      </c>
      <c r="L207" s="512" t="s">
        <v>115</v>
      </c>
      <c r="M207" s="508"/>
      <c r="N207" s="505">
        <f t="shared" si="55"/>
        <v>0</v>
      </c>
      <c r="P207" s="480">
        <v>5</v>
      </c>
      <c r="Q207" s="511">
        <v>1000</v>
      </c>
      <c r="R207" s="512">
        <v>2.2000000000000002</v>
      </c>
      <c r="S207" s="512" t="s">
        <v>115</v>
      </c>
      <c r="T207" s="508"/>
      <c r="U207" s="505">
        <f t="shared" si="56"/>
        <v>0</v>
      </c>
    </row>
    <row r="208" spans="1:24" ht="13" x14ac:dyDescent="0.25">
      <c r="A208" s="922"/>
      <c r="B208" s="480">
        <v>6</v>
      </c>
      <c r="C208" s="511">
        <v>37</v>
      </c>
      <c r="D208" s="504">
        <v>9.9999999999999995E-7</v>
      </c>
      <c r="E208" s="512" t="s">
        <v>115</v>
      </c>
      <c r="F208" s="508"/>
      <c r="G208" s="505">
        <f t="shared" si="54"/>
        <v>0</v>
      </c>
      <c r="I208" s="480">
        <v>6</v>
      </c>
      <c r="J208" s="511">
        <v>80</v>
      </c>
      <c r="K208" s="511">
        <v>-0.9</v>
      </c>
      <c r="L208" s="512" t="s">
        <v>115</v>
      </c>
      <c r="M208" s="508"/>
      <c r="N208" s="505">
        <f t="shared" si="55"/>
        <v>0</v>
      </c>
      <c r="P208" s="480">
        <v>6</v>
      </c>
      <c r="Q208" s="511">
        <v>1005</v>
      </c>
      <c r="R208" s="512">
        <v>2.2000000000000002</v>
      </c>
      <c r="S208" s="512" t="s">
        <v>115</v>
      </c>
      <c r="T208" s="508"/>
      <c r="U208" s="505">
        <f t="shared" si="56"/>
        <v>0</v>
      </c>
    </row>
    <row r="209" spans="1:31" ht="13" x14ac:dyDescent="0.25">
      <c r="A209" s="922"/>
      <c r="B209" s="480">
        <v>7</v>
      </c>
      <c r="C209" s="511">
        <v>40</v>
      </c>
      <c r="D209" s="511">
        <v>0.2</v>
      </c>
      <c r="E209" s="512" t="s">
        <v>115</v>
      </c>
      <c r="F209" s="508"/>
      <c r="G209" s="505">
        <f t="shared" si="54"/>
        <v>0</v>
      </c>
      <c r="I209" s="480">
        <v>7</v>
      </c>
      <c r="J209" s="511">
        <v>90</v>
      </c>
      <c r="K209" s="511">
        <v>-0.6</v>
      </c>
      <c r="L209" s="512" t="s">
        <v>115</v>
      </c>
      <c r="M209" s="508"/>
      <c r="N209" s="505">
        <f t="shared" si="55"/>
        <v>0</v>
      </c>
      <c r="P209" s="480">
        <v>7</v>
      </c>
      <c r="Q209" s="511">
        <v>1020</v>
      </c>
      <c r="R209" s="512">
        <v>2.2999999999999998</v>
      </c>
      <c r="S209" s="512" t="s">
        <v>115</v>
      </c>
      <c r="T209" s="508"/>
      <c r="U209" s="505">
        <f t="shared" si="56"/>
        <v>0</v>
      </c>
    </row>
    <row r="210" spans="1:31" ht="13" thickBot="1" x14ac:dyDescent="0.3">
      <c r="A210" s="522"/>
      <c r="C210" s="483"/>
      <c r="D210" s="483"/>
      <c r="E210" s="523"/>
      <c r="F210" s="483"/>
      <c r="J210" s="483"/>
      <c r="K210" s="483"/>
      <c r="L210" s="523"/>
      <c r="M210" s="483"/>
      <c r="Q210" s="483"/>
      <c r="R210" s="523"/>
      <c r="S210" s="523"/>
      <c r="T210" s="483"/>
    </row>
    <row r="211" spans="1:31" x14ac:dyDescent="0.25">
      <c r="A211" s="922">
        <v>20</v>
      </c>
      <c r="B211" s="923">
        <v>20</v>
      </c>
      <c r="C211" s="923"/>
      <c r="D211" s="923"/>
      <c r="E211" s="923"/>
      <c r="F211" s="923"/>
      <c r="G211" s="923"/>
      <c r="I211" s="923">
        <f>B211</f>
        <v>20</v>
      </c>
      <c r="J211" s="923"/>
      <c r="K211" s="923"/>
      <c r="L211" s="923"/>
      <c r="M211" s="923"/>
      <c r="N211" s="923"/>
      <c r="P211" s="923">
        <f>I211</f>
        <v>20</v>
      </c>
      <c r="Q211" s="923"/>
      <c r="R211" s="923"/>
      <c r="S211" s="923"/>
      <c r="T211" s="923"/>
      <c r="U211" s="923"/>
      <c r="W211" s="917" t="s">
        <v>240</v>
      </c>
      <c r="X211" s="918"/>
    </row>
    <row r="212" spans="1:31" ht="13" x14ac:dyDescent="0.25">
      <c r="A212" s="922"/>
      <c r="B212" s="919" t="s">
        <v>348</v>
      </c>
      <c r="C212" s="919"/>
      <c r="D212" s="919" t="s">
        <v>349</v>
      </c>
      <c r="E212" s="919"/>
      <c r="F212" s="919"/>
      <c r="G212" s="919" t="s">
        <v>350</v>
      </c>
      <c r="I212" s="919" t="s">
        <v>351</v>
      </c>
      <c r="J212" s="919"/>
      <c r="K212" s="919" t="s">
        <v>349</v>
      </c>
      <c r="L212" s="919"/>
      <c r="M212" s="919"/>
      <c r="N212" s="919" t="s">
        <v>350</v>
      </c>
      <c r="P212" s="919" t="s">
        <v>352</v>
      </c>
      <c r="Q212" s="919"/>
      <c r="R212" s="919" t="s">
        <v>349</v>
      </c>
      <c r="S212" s="919"/>
      <c r="T212" s="919"/>
      <c r="U212" s="919" t="s">
        <v>350</v>
      </c>
      <c r="W212" s="501" t="s">
        <v>348</v>
      </c>
      <c r="X212" s="502">
        <v>0</v>
      </c>
    </row>
    <row r="213" spans="1:31" ht="14.5" x14ac:dyDescent="0.25">
      <c r="A213" s="922"/>
      <c r="B213" s="920" t="s">
        <v>353</v>
      </c>
      <c r="C213" s="920"/>
      <c r="D213" s="503">
        <v>2017</v>
      </c>
      <c r="E213" s="519" t="s">
        <v>115</v>
      </c>
      <c r="F213" s="503">
        <v>2016</v>
      </c>
      <c r="G213" s="919"/>
      <c r="I213" s="921" t="s">
        <v>32</v>
      </c>
      <c r="J213" s="920"/>
      <c r="K213" s="520">
        <f>D213</f>
        <v>2017</v>
      </c>
      <c r="L213" s="520" t="str">
        <f>E213</f>
        <v>-</v>
      </c>
      <c r="M213" s="503">
        <v>2016</v>
      </c>
      <c r="N213" s="919"/>
      <c r="P213" s="921" t="s">
        <v>354</v>
      </c>
      <c r="Q213" s="920"/>
      <c r="R213" s="520">
        <f>K213</f>
        <v>2017</v>
      </c>
      <c r="S213" s="520" t="str">
        <f>L213</f>
        <v>-</v>
      </c>
      <c r="T213" s="503">
        <v>2016</v>
      </c>
      <c r="U213" s="919"/>
      <c r="W213" s="501" t="s">
        <v>32</v>
      </c>
      <c r="X213" s="502">
        <v>0</v>
      </c>
    </row>
    <row r="214" spans="1:31" ht="13.5" thickBot="1" x14ac:dyDescent="0.3">
      <c r="A214" s="922"/>
      <c r="B214" s="480">
        <v>1</v>
      </c>
      <c r="C214" s="504">
        <v>14.8</v>
      </c>
      <c r="D214" s="504">
        <v>9.9999999999999995E-7</v>
      </c>
      <c r="E214" s="504" t="s">
        <v>115</v>
      </c>
      <c r="F214" s="504">
        <v>9.9999999999999995E-7</v>
      </c>
      <c r="G214" s="505">
        <f>0.5*(MAX(D214:F214)-MIN(D214:F214))</f>
        <v>0</v>
      </c>
      <c r="I214" s="480">
        <v>1</v>
      </c>
      <c r="J214" s="504">
        <v>45.7</v>
      </c>
      <c r="K214" s="504">
        <v>9.9999999999999995E-7</v>
      </c>
      <c r="L214" s="504" t="s">
        <v>115</v>
      </c>
      <c r="M214" s="508"/>
      <c r="N214" s="505">
        <f>0.5*(MAX(K214:M214)-MIN(K214:M214))</f>
        <v>0</v>
      </c>
      <c r="P214" s="480">
        <v>1</v>
      </c>
      <c r="Q214" s="504">
        <v>750</v>
      </c>
      <c r="R214" s="507" t="s">
        <v>115</v>
      </c>
      <c r="S214" s="504" t="s">
        <v>115</v>
      </c>
      <c r="T214" s="508"/>
      <c r="U214" s="505">
        <f>0.5*(MAX(R214:T214)-MIN(R214:T214))</f>
        <v>0</v>
      </c>
      <c r="W214" s="509" t="s">
        <v>354</v>
      </c>
      <c r="X214" s="510">
        <v>0</v>
      </c>
    </row>
    <row r="215" spans="1:31" ht="13" x14ac:dyDescent="0.25">
      <c r="A215" s="922"/>
      <c r="B215" s="480">
        <v>2</v>
      </c>
      <c r="C215" s="504">
        <v>19.7</v>
      </c>
      <c r="D215" s="504">
        <v>9.9999999999999995E-7</v>
      </c>
      <c r="E215" s="504" t="s">
        <v>115</v>
      </c>
      <c r="F215" s="504">
        <v>9.9999999999999995E-7</v>
      </c>
      <c r="G215" s="505">
        <f t="shared" ref="G215:G220" si="57">0.5*(MAX(D215:F215)-MIN(D215:F215))</f>
        <v>0</v>
      </c>
      <c r="I215" s="480">
        <v>2</v>
      </c>
      <c r="J215" s="504">
        <v>54.3</v>
      </c>
      <c r="K215" s="504">
        <v>9.9999999999999995E-7</v>
      </c>
      <c r="L215" s="504" t="s">
        <v>115</v>
      </c>
      <c r="M215" s="508"/>
      <c r="N215" s="505">
        <f t="shared" ref="N215:N220" si="58">0.5*(MAX(K215:M215)-MIN(K215:M215))</f>
        <v>0</v>
      </c>
      <c r="P215" s="480">
        <v>2</v>
      </c>
      <c r="Q215" s="504">
        <v>800</v>
      </c>
      <c r="R215" s="507" t="s">
        <v>115</v>
      </c>
      <c r="S215" s="504" t="s">
        <v>115</v>
      </c>
      <c r="T215" s="508"/>
      <c r="U215" s="505">
        <f t="shared" ref="U215:U220" si="59">0.5*(MAX(R215:T215)-MIN(R215:T215))</f>
        <v>0</v>
      </c>
    </row>
    <row r="216" spans="1:31" ht="13" x14ac:dyDescent="0.25">
      <c r="A216" s="922"/>
      <c r="B216" s="480">
        <v>3</v>
      </c>
      <c r="C216" s="504">
        <v>24.6</v>
      </c>
      <c r="D216" s="504">
        <v>9.9999999999999995E-7</v>
      </c>
      <c r="E216" s="504" t="s">
        <v>115</v>
      </c>
      <c r="F216" s="504">
        <v>9.9999999999999995E-7</v>
      </c>
      <c r="G216" s="505">
        <f t="shared" si="57"/>
        <v>0</v>
      </c>
      <c r="I216" s="480">
        <v>3</v>
      </c>
      <c r="J216" s="504">
        <v>62.5</v>
      </c>
      <c r="K216" s="504">
        <v>9.9999999999999995E-7</v>
      </c>
      <c r="L216" s="504" t="s">
        <v>115</v>
      </c>
      <c r="M216" s="508"/>
      <c r="N216" s="505">
        <f t="shared" si="58"/>
        <v>0</v>
      </c>
      <c r="P216" s="480">
        <v>3</v>
      </c>
      <c r="Q216" s="504">
        <v>850</v>
      </c>
      <c r="R216" s="507" t="s">
        <v>115</v>
      </c>
      <c r="S216" s="504" t="s">
        <v>115</v>
      </c>
      <c r="T216" s="508"/>
      <c r="U216" s="505">
        <f t="shared" si="59"/>
        <v>0</v>
      </c>
    </row>
    <row r="217" spans="1:31" ht="13" x14ac:dyDescent="0.25">
      <c r="A217" s="922"/>
      <c r="B217" s="480">
        <v>4</v>
      </c>
      <c r="C217" s="511">
        <v>29.5</v>
      </c>
      <c r="D217" s="504">
        <v>9.9999999999999995E-7</v>
      </c>
      <c r="E217" s="512" t="s">
        <v>115</v>
      </c>
      <c r="F217" s="504">
        <v>9.9999999999999995E-7</v>
      </c>
      <c r="G217" s="505">
        <f t="shared" si="57"/>
        <v>0</v>
      </c>
      <c r="I217" s="480">
        <v>4</v>
      </c>
      <c r="J217" s="511">
        <v>71.5</v>
      </c>
      <c r="K217" s="504">
        <v>9.9999999999999995E-7</v>
      </c>
      <c r="L217" s="512" t="s">
        <v>115</v>
      </c>
      <c r="M217" s="508"/>
      <c r="N217" s="505">
        <f t="shared" si="58"/>
        <v>0</v>
      </c>
      <c r="P217" s="480">
        <v>4</v>
      </c>
      <c r="Q217" s="511">
        <v>900</v>
      </c>
      <c r="R217" s="512" t="s">
        <v>115</v>
      </c>
      <c r="S217" s="512" t="s">
        <v>115</v>
      </c>
      <c r="T217" s="508"/>
      <c r="U217" s="505">
        <f t="shared" si="59"/>
        <v>0</v>
      </c>
    </row>
    <row r="218" spans="1:31" ht="13" x14ac:dyDescent="0.25">
      <c r="A218" s="922"/>
      <c r="B218" s="480">
        <v>5</v>
      </c>
      <c r="C218" s="511">
        <v>34.5</v>
      </c>
      <c r="D218" s="504">
        <v>9.9999999999999995E-7</v>
      </c>
      <c r="E218" s="512" t="s">
        <v>115</v>
      </c>
      <c r="F218" s="504">
        <v>9.9999999999999995E-7</v>
      </c>
      <c r="G218" s="505">
        <f t="shared" si="57"/>
        <v>0</v>
      </c>
      <c r="I218" s="480">
        <v>5</v>
      </c>
      <c r="J218" s="511">
        <v>80.8</v>
      </c>
      <c r="K218" s="504">
        <v>9.9999999999999995E-7</v>
      </c>
      <c r="L218" s="512" t="s">
        <v>115</v>
      </c>
      <c r="M218" s="508"/>
      <c r="N218" s="505">
        <f t="shared" si="58"/>
        <v>0</v>
      </c>
      <c r="P218" s="480">
        <v>5</v>
      </c>
      <c r="Q218" s="511">
        <v>1000</v>
      </c>
      <c r="R218" s="512" t="s">
        <v>115</v>
      </c>
      <c r="S218" s="512" t="s">
        <v>115</v>
      </c>
      <c r="T218" s="508"/>
      <c r="U218" s="505">
        <f t="shared" si="59"/>
        <v>0</v>
      </c>
    </row>
    <row r="219" spans="1:31" ht="13" x14ac:dyDescent="0.25">
      <c r="A219" s="922"/>
      <c r="B219" s="480">
        <v>6</v>
      </c>
      <c r="C219" s="511">
        <v>39.5</v>
      </c>
      <c r="D219" s="504">
        <v>9.9999999999999995E-7</v>
      </c>
      <c r="E219" s="512" t="s">
        <v>115</v>
      </c>
      <c r="F219" s="504">
        <v>9.9999999999999995E-7</v>
      </c>
      <c r="G219" s="505">
        <f t="shared" si="57"/>
        <v>0</v>
      </c>
      <c r="I219" s="480">
        <v>6</v>
      </c>
      <c r="J219" s="511">
        <v>88.7</v>
      </c>
      <c r="K219" s="504">
        <v>9.9999999999999995E-7</v>
      </c>
      <c r="L219" s="512" t="s">
        <v>115</v>
      </c>
      <c r="M219" s="508"/>
      <c r="N219" s="505">
        <f t="shared" si="58"/>
        <v>0</v>
      </c>
      <c r="P219" s="480">
        <v>6</v>
      </c>
      <c r="Q219" s="511">
        <v>1005</v>
      </c>
      <c r="R219" s="512" t="s">
        <v>115</v>
      </c>
      <c r="S219" s="512" t="s">
        <v>115</v>
      </c>
      <c r="T219" s="508"/>
      <c r="U219" s="505">
        <f t="shared" si="59"/>
        <v>0</v>
      </c>
    </row>
    <row r="220" spans="1:31" ht="13" x14ac:dyDescent="0.25">
      <c r="A220" s="922"/>
      <c r="B220" s="480">
        <v>7</v>
      </c>
      <c r="C220" s="511">
        <v>40</v>
      </c>
      <c r="D220" s="504">
        <v>9.9999999999999995E-7</v>
      </c>
      <c r="E220" s="512" t="s">
        <v>115</v>
      </c>
      <c r="F220" s="504">
        <v>9.9999999999999995E-7</v>
      </c>
      <c r="G220" s="505">
        <f t="shared" si="57"/>
        <v>0</v>
      </c>
      <c r="I220" s="480">
        <v>7</v>
      </c>
      <c r="J220" s="511">
        <v>90</v>
      </c>
      <c r="K220" s="504">
        <v>9.9999999999999995E-7</v>
      </c>
      <c r="L220" s="512" t="s">
        <v>115</v>
      </c>
      <c r="M220" s="508"/>
      <c r="N220" s="505">
        <f t="shared" si="58"/>
        <v>0</v>
      </c>
      <c r="P220" s="480">
        <v>7</v>
      </c>
      <c r="Q220" s="511">
        <v>1020</v>
      </c>
      <c r="R220" s="512" t="s">
        <v>115</v>
      </c>
      <c r="S220" s="512" t="s">
        <v>115</v>
      </c>
      <c r="T220" s="508"/>
      <c r="U220" s="505">
        <f t="shared" si="59"/>
        <v>0</v>
      </c>
    </row>
    <row r="221" spans="1:31" ht="13.5" thickBot="1" x14ac:dyDescent="0.35">
      <c r="A221" s="525"/>
      <c r="B221" s="947"/>
      <c r="C221" s="947"/>
      <c r="D221" s="947"/>
      <c r="E221" s="947"/>
      <c r="F221" s="947"/>
      <c r="G221" s="947"/>
      <c r="H221" s="947"/>
      <c r="I221" s="947"/>
      <c r="J221" s="947"/>
      <c r="K221" s="947"/>
      <c r="L221" s="947"/>
      <c r="M221" s="947"/>
      <c r="N221" s="947"/>
      <c r="O221" s="947"/>
      <c r="P221" s="947"/>
      <c r="Q221" s="947"/>
      <c r="R221" s="947"/>
      <c r="S221" s="947"/>
      <c r="T221" s="947"/>
      <c r="U221" s="947"/>
    </row>
    <row r="222" spans="1:31" ht="13.5" thickBot="1" x14ac:dyDescent="0.35">
      <c r="A222" s="514"/>
      <c r="B222" s="514"/>
      <c r="C222" s="514"/>
      <c r="D222" s="514"/>
      <c r="E222" s="514"/>
      <c r="F222" s="514"/>
      <c r="G222" s="514"/>
      <c r="H222" s="514"/>
      <c r="I222" s="514"/>
      <c r="J222" s="514"/>
      <c r="K222" s="514"/>
      <c r="L222" s="514"/>
      <c r="M222" s="514"/>
      <c r="N222" s="514"/>
      <c r="O222" s="514"/>
      <c r="P222" s="514"/>
    </row>
    <row r="223" spans="1:31" ht="12.75" customHeight="1" x14ac:dyDescent="0.25">
      <c r="A223" s="932" t="s">
        <v>43</v>
      </c>
      <c r="B223" s="933" t="s">
        <v>373</v>
      </c>
      <c r="C223" s="923" t="s">
        <v>374</v>
      </c>
      <c r="D223" s="923"/>
      <c r="E223" s="923"/>
      <c r="F223" s="923"/>
      <c r="G223" s="526"/>
      <c r="I223" s="932" t="s">
        <v>43</v>
      </c>
      <c r="J223" s="933" t="s">
        <v>373</v>
      </c>
      <c r="K223" s="923" t="s">
        <v>374</v>
      </c>
      <c r="L223" s="923"/>
      <c r="M223" s="923"/>
      <c r="N223" s="923"/>
      <c r="O223" s="463"/>
      <c r="Q223" s="934" t="s">
        <v>43</v>
      </c>
      <c r="R223" s="935" t="s">
        <v>373</v>
      </c>
      <c r="S223" s="936" t="s">
        <v>374</v>
      </c>
      <c r="T223" s="936"/>
      <c r="U223" s="936"/>
      <c r="V223" s="937"/>
      <c r="Y223" s="938" t="s">
        <v>240</v>
      </c>
      <c r="Z223" s="939"/>
      <c r="AE223" s="527"/>
    </row>
    <row r="224" spans="1:31" ht="13.5" x14ac:dyDescent="0.3">
      <c r="A224" s="932"/>
      <c r="B224" s="933"/>
      <c r="C224" s="528" t="s">
        <v>348</v>
      </c>
      <c r="D224" s="940" t="s">
        <v>349</v>
      </c>
      <c r="E224" s="940"/>
      <c r="F224" s="940"/>
      <c r="G224" s="940" t="s">
        <v>350</v>
      </c>
      <c r="I224" s="932"/>
      <c r="J224" s="933"/>
      <c r="K224" s="528" t="s">
        <v>351</v>
      </c>
      <c r="L224" s="940" t="s">
        <v>349</v>
      </c>
      <c r="M224" s="940"/>
      <c r="N224" s="940"/>
      <c r="O224" s="940" t="s">
        <v>350</v>
      </c>
      <c r="Q224" s="932"/>
      <c r="R224" s="933"/>
      <c r="S224" s="528" t="s">
        <v>352</v>
      </c>
      <c r="T224" s="941" t="s">
        <v>349</v>
      </c>
      <c r="U224" s="942"/>
      <c r="V224" s="943"/>
      <c r="W224" s="944" t="s">
        <v>350</v>
      </c>
      <c r="Y224" s="945" t="s">
        <v>348</v>
      </c>
      <c r="Z224" s="946"/>
      <c r="AE224" s="514"/>
    </row>
    <row r="225" spans="1:38" ht="14" x14ac:dyDescent="0.3">
      <c r="A225" s="932"/>
      <c r="B225" s="933"/>
      <c r="C225" s="529" t="s">
        <v>375</v>
      </c>
      <c r="D225" s="528"/>
      <c r="E225" s="528"/>
      <c r="F225" s="463"/>
      <c r="G225" s="940"/>
      <c r="I225" s="932"/>
      <c r="J225" s="933"/>
      <c r="K225" s="529" t="s">
        <v>32</v>
      </c>
      <c r="L225" s="528"/>
      <c r="M225" s="528"/>
      <c r="N225" s="463"/>
      <c r="O225" s="940"/>
      <c r="Q225" s="932"/>
      <c r="R225" s="933"/>
      <c r="S225" s="529" t="s">
        <v>354</v>
      </c>
      <c r="T225" s="528"/>
      <c r="U225" s="528"/>
      <c r="W225" s="944"/>
      <c r="Y225" s="530">
        <v>1</v>
      </c>
      <c r="Z225" s="531">
        <f>X3</f>
        <v>0.6</v>
      </c>
      <c r="AE225" s="514"/>
    </row>
    <row r="226" spans="1:38" ht="13" x14ac:dyDescent="0.3">
      <c r="A226" s="948">
        <v>1</v>
      </c>
      <c r="B226" s="532">
        <v>1</v>
      </c>
      <c r="C226" s="532">
        <f>C5</f>
        <v>15</v>
      </c>
      <c r="D226" s="532">
        <f t="shared" ref="D226:F226" si="60">D5</f>
        <v>-0.5</v>
      </c>
      <c r="E226" s="532">
        <f t="shared" si="60"/>
        <v>0.3</v>
      </c>
      <c r="F226" s="532">
        <f t="shared" si="60"/>
        <v>0</v>
      </c>
      <c r="G226" s="532">
        <f>G5</f>
        <v>0.4</v>
      </c>
      <c r="I226" s="948">
        <v>1</v>
      </c>
      <c r="J226" s="532">
        <v>1</v>
      </c>
      <c r="K226" s="532">
        <f>J5</f>
        <v>35</v>
      </c>
      <c r="L226" s="532">
        <f>K5</f>
        <v>-6</v>
      </c>
      <c r="M226" s="532">
        <f>L5</f>
        <v>-9.4</v>
      </c>
      <c r="N226" s="532">
        <f>M5</f>
        <v>0</v>
      </c>
      <c r="O226" s="532">
        <f>N5</f>
        <v>1.7000000000000002</v>
      </c>
      <c r="Q226" s="951">
        <v>1</v>
      </c>
      <c r="R226" s="532">
        <v>1</v>
      </c>
      <c r="S226" s="532">
        <f>Q5</f>
        <v>750</v>
      </c>
      <c r="T226" s="532" t="str">
        <f>R5</f>
        <v>-</v>
      </c>
      <c r="U226" s="532" t="str">
        <f>S5</f>
        <v>-</v>
      </c>
      <c r="V226" s="532">
        <f>T5</f>
        <v>0</v>
      </c>
      <c r="W226" s="533">
        <f>U5</f>
        <v>0</v>
      </c>
      <c r="Y226" s="534">
        <v>2</v>
      </c>
      <c r="Z226" s="531">
        <f>X14</f>
        <v>0.5</v>
      </c>
      <c r="AE226" s="514"/>
    </row>
    <row r="227" spans="1:38" ht="13" x14ac:dyDescent="0.3">
      <c r="A227" s="948"/>
      <c r="B227" s="532">
        <v>2</v>
      </c>
      <c r="C227" s="532">
        <f>C16</f>
        <v>15</v>
      </c>
      <c r="D227" s="532">
        <f t="shared" ref="D227:F227" si="61">D16</f>
        <v>0.2</v>
      </c>
      <c r="E227" s="532">
        <f t="shared" si="61"/>
        <v>0.4</v>
      </c>
      <c r="F227" s="532">
        <f t="shared" si="61"/>
        <v>9.9999999999999995E-7</v>
      </c>
      <c r="G227" s="532">
        <f>G16</f>
        <v>0.19999950000000002</v>
      </c>
      <c r="I227" s="948"/>
      <c r="J227" s="532">
        <v>2</v>
      </c>
      <c r="K227" s="532">
        <f>J16</f>
        <v>35</v>
      </c>
      <c r="L227" s="532">
        <f>K16</f>
        <v>-12.6</v>
      </c>
      <c r="M227" s="532">
        <f>L16</f>
        <v>-6.9</v>
      </c>
      <c r="N227" s="532">
        <f>M16</f>
        <v>-1.6</v>
      </c>
      <c r="O227" s="532">
        <f>N16</f>
        <v>5.5</v>
      </c>
      <c r="Q227" s="952"/>
      <c r="R227" s="532">
        <v>2</v>
      </c>
      <c r="S227" s="532">
        <f>Q16</f>
        <v>750</v>
      </c>
      <c r="T227" s="532" t="str">
        <f>R16</f>
        <v>-</v>
      </c>
      <c r="U227" s="532" t="str">
        <f>S16</f>
        <v>-</v>
      </c>
      <c r="V227" s="532">
        <f>T16</f>
        <v>0</v>
      </c>
      <c r="W227" s="533">
        <f>U16</f>
        <v>0</v>
      </c>
      <c r="Y227" s="534">
        <v>3</v>
      </c>
      <c r="Z227" s="535">
        <f>X25</f>
        <v>0.5</v>
      </c>
      <c r="AE227" s="514"/>
    </row>
    <row r="228" spans="1:38" ht="13" x14ac:dyDescent="0.3">
      <c r="A228" s="948"/>
      <c r="B228" s="532">
        <v>3</v>
      </c>
      <c r="C228" s="532">
        <f>C27</f>
        <v>15</v>
      </c>
      <c r="D228" s="532">
        <f t="shared" ref="D228:F228" si="62">D27</f>
        <v>0.2</v>
      </c>
      <c r="E228" s="532">
        <f t="shared" si="62"/>
        <v>0.4</v>
      </c>
      <c r="F228" s="532">
        <f t="shared" si="62"/>
        <v>9.9999999999999995E-7</v>
      </c>
      <c r="G228" s="532">
        <f>G27</f>
        <v>0.19999950000000002</v>
      </c>
      <c r="I228" s="948"/>
      <c r="J228" s="532">
        <v>3</v>
      </c>
      <c r="K228" s="532">
        <f>J27</f>
        <v>35</v>
      </c>
      <c r="L228" s="532">
        <f>K27</f>
        <v>-11.5</v>
      </c>
      <c r="M228" s="532">
        <f>L27</f>
        <v>-7.3</v>
      </c>
      <c r="N228" s="532">
        <f>M27</f>
        <v>-5.7</v>
      </c>
      <c r="O228" s="532">
        <f>N27</f>
        <v>2.9</v>
      </c>
      <c r="Q228" s="952"/>
      <c r="R228" s="532">
        <v>3</v>
      </c>
      <c r="S228" s="532">
        <f>Q27</f>
        <v>750</v>
      </c>
      <c r="T228" s="532" t="str">
        <f>R27</f>
        <v>-</v>
      </c>
      <c r="U228" s="532" t="str">
        <f>S27</f>
        <v>-</v>
      </c>
      <c r="V228" s="532">
        <f>T27</f>
        <v>0</v>
      </c>
      <c r="W228" s="533">
        <f>U27</f>
        <v>0</v>
      </c>
      <c r="Y228" s="534">
        <v>4</v>
      </c>
      <c r="Z228" s="535">
        <f>X36</f>
        <v>0.3</v>
      </c>
      <c r="AE228" s="514"/>
    </row>
    <row r="229" spans="1:38" ht="13" x14ac:dyDescent="0.3">
      <c r="A229" s="948"/>
      <c r="B229" s="532">
        <v>4</v>
      </c>
      <c r="C229" s="536">
        <f>C38</f>
        <v>15</v>
      </c>
      <c r="D229" s="536">
        <f t="shared" ref="D229:F229" si="63">D38</f>
        <v>-0.2</v>
      </c>
      <c r="E229" s="536">
        <f t="shared" si="63"/>
        <v>-0.1</v>
      </c>
      <c r="F229" s="536">
        <f t="shared" si="63"/>
        <v>0</v>
      </c>
      <c r="G229" s="536">
        <f>G38</f>
        <v>0.05</v>
      </c>
      <c r="I229" s="948"/>
      <c r="J229" s="532">
        <v>4</v>
      </c>
      <c r="K229" s="536">
        <f>J38</f>
        <v>35</v>
      </c>
      <c r="L229" s="536">
        <f>K38</f>
        <v>-4.5</v>
      </c>
      <c r="M229" s="536">
        <f>L38</f>
        <v>-1.7</v>
      </c>
      <c r="N229" s="536">
        <f>M38</f>
        <v>0</v>
      </c>
      <c r="O229" s="536">
        <f>N38</f>
        <v>1.4</v>
      </c>
      <c r="Q229" s="952"/>
      <c r="R229" s="532">
        <v>4</v>
      </c>
      <c r="S229" s="536">
        <f>Q38</f>
        <v>750</v>
      </c>
      <c r="T229" s="536" t="str">
        <f>R38</f>
        <v>-</v>
      </c>
      <c r="U229" s="536" t="str">
        <f>S38</f>
        <v>-</v>
      </c>
      <c r="V229" s="536">
        <f>T38</f>
        <v>0</v>
      </c>
      <c r="W229" s="537">
        <f>U38</f>
        <v>0</v>
      </c>
      <c r="Y229" s="534">
        <v>5</v>
      </c>
      <c r="Z229" s="535">
        <f>X47</f>
        <v>0.5</v>
      </c>
      <c r="AE229" s="514"/>
    </row>
    <row r="230" spans="1:38" ht="13" x14ac:dyDescent="0.3">
      <c r="A230" s="948"/>
      <c r="B230" s="532">
        <v>5</v>
      </c>
      <c r="C230" s="536">
        <f>C49</f>
        <v>15</v>
      </c>
      <c r="D230" s="536">
        <f t="shared" ref="D230:F230" si="64">D49</f>
        <v>0.3</v>
      </c>
      <c r="E230" s="536">
        <f t="shared" si="64"/>
        <v>-0.3</v>
      </c>
      <c r="F230" s="536">
        <f t="shared" si="64"/>
        <v>0.3</v>
      </c>
      <c r="G230" s="536">
        <f>G49</f>
        <v>0.3</v>
      </c>
      <c r="I230" s="948"/>
      <c r="J230" s="532">
        <v>5</v>
      </c>
      <c r="K230" s="536">
        <f>J49</f>
        <v>35</v>
      </c>
      <c r="L230" s="536">
        <f>K49</f>
        <v>-10.5</v>
      </c>
      <c r="M230" s="536">
        <f>L49</f>
        <v>-7.7</v>
      </c>
      <c r="N230" s="536">
        <f>M49</f>
        <v>-9.6</v>
      </c>
      <c r="O230" s="536">
        <f>N49</f>
        <v>1.4</v>
      </c>
      <c r="Q230" s="952"/>
      <c r="R230" s="532">
        <v>5</v>
      </c>
      <c r="S230" s="536">
        <f>Q49</f>
        <v>750</v>
      </c>
      <c r="T230" s="536" t="str">
        <f>R49</f>
        <v>-</v>
      </c>
      <c r="U230" s="536" t="str">
        <f>S49</f>
        <v>-</v>
      </c>
      <c r="V230" s="536">
        <f>T49</f>
        <v>0</v>
      </c>
      <c r="W230" s="537">
        <f>U49</f>
        <v>0</v>
      </c>
      <c r="Y230" s="530">
        <v>6</v>
      </c>
      <c r="Z230" s="531">
        <f>X58</f>
        <v>0.8</v>
      </c>
      <c r="AE230" s="514"/>
    </row>
    <row r="231" spans="1:38" ht="13" x14ac:dyDescent="0.3">
      <c r="A231" s="948"/>
      <c r="B231" s="532">
        <v>6</v>
      </c>
      <c r="C231" s="536">
        <f>C60</f>
        <v>15</v>
      </c>
      <c r="D231" s="536">
        <f t="shared" ref="D231:F231" si="65">D60</f>
        <v>0.4</v>
      </c>
      <c r="E231" s="536">
        <f t="shared" si="65"/>
        <v>0.4</v>
      </c>
      <c r="F231" s="536">
        <f t="shared" si="65"/>
        <v>0</v>
      </c>
      <c r="G231" s="536">
        <f>G60</f>
        <v>0</v>
      </c>
      <c r="I231" s="948"/>
      <c r="J231" s="532">
        <v>6</v>
      </c>
      <c r="K231" s="536">
        <f>J60</f>
        <v>30</v>
      </c>
      <c r="L231" s="536">
        <f>K60</f>
        <v>-1.5</v>
      </c>
      <c r="M231" s="536">
        <f>L60</f>
        <v>1.7</v>
      </c>
      <c r="N231" s="536">
        <f>M60</f>
        <v>0</v>
      </c>
      <c r="O231" s="536">
        <f>N60</f>
        <v>1.6</v>
      </c>
      <c r="Q231" s="952"/>
      <c r="R231" s="532">
        <v>6</v>
      </c>
      <c r="S231" s="536">
        <f>Q60</f>
        <v>750</v>
      </c>
      <c r="T231" s="536">
        <f>R60</f>
        <v>0.9</v>
      </c>
      <c r="U231" s="536">
        <f>S60</f>
        <v>2.1</v>
      </c>
      <c r="V231" s="536">
        <f>T60</f>
        <v>0</v>
      </c>
      <c r="W231" s="537">
        <f>U60</f>
        <v>0.60000000000000009</v>
      </c>
      <c r="Y231" s="530">
        <v>7</v>
      </c>
      <c r="Z231" s="531">
        <f>X69</f>
        <v>0.5</v>
      </c>
      <c r="AE231" s="514"/>
    </row>
    <row r="232" spans="1:38" ht="13" x14ac:dyDescent="0.3">
      <c r="A232" s="948"/>
      <c r="B232" s="532">
        <v>7</v>
      </c>
      <c r="C232" s="536">
        <f>C71</f>
        <v>15</v>
      </c>
      <c r="D232" s="536">
        <f t="shared" ref="D232:F232" si="66">D71</f>
        <v>0.1</v>
      </c>
      <c r="E232" s="536">
        <f t="shared" si="66"/>
        <v>0.1</v>
      </c>
      <c r="F232" s="536">
        <f t="shared" si="66"/>
        <v>0.3</v>
      </c>
      <c r="G232" s="536">
        <f>G71</f>
        <v>9.9999999999999992E-2</v>
      </c>
      <c r="I232" s="948"/>
      <c r="J232" s="532">
        <v>7</v>
      </c>
      <c r="K232" s="536">
        <f>J71</f>
        <v>30</v>
      </c>
      <c r="L232" s="536">
        <f>K71</f>
        <v>-1.7</v>
      </c>
      <c r="M232" s="536">
        <f>L71</f>
        <v>-1.9</v>
      </c>
      <c r="N232" s="536">
        <f>M71</f>
        <v>1.8</v>
      </c>
      <c r="O232" s="536">
        <f>N71</f>
        <v>1.85</v>
      </c>
      <c r="Q232" s="952"/>
      <c r="R232" s="532">
        <v>7</v>
      </c>
      <c r="S232" s="536">
        <f>Q71</f>
        <v>960</v>
      </c>
      <c r="T232" s="536">
        <f>R71</f>
        <v>0.7</v>
      </c>
      <c r="U232" s="536" t="str">
        <f>S71</f>
        <v>-</v>
      </c>
      <c r="V232" s="536" t="str">
        <f>T71</f>
        <v>-</v>
      </c>
      <c r="W232" s="537">
        <f>U71</f>
        <v>0</v>
      </c>
      <c r="Y232" s="530">
        <v>8</v>
      </c>
      <c r="Z232" s="531">
        <f>X80</f>
        <v>0.3</v>
      </c>
      <c r="AE232" s="514"/>
    </row>
    <row r="233" spans="1:38" ht="13" x14ac:dyDescent="0.3">
      <c r="A233" s="948"/>
      <c r="B233" s="532">
        <v>8</v>
      </c>
      <c r="C233" s="536">
        <f>C82</f>
        <v>15</v>
      </c>
      <c r="D233" s="536">
        <f t="shared" ref="D233:F233" si="67">D82</f>
        <v>0.1</v>
      </c>
      <c r="E233" s="536">
        <f t="shared" si="67"/>
        <v>9.9999999999999995E-7</v>
      </c>
      <c r="F233" s="536">
        <f t="shared" si="67"/>
        <v>0</v>
      </c>
      <c r="G233" s="536">
        <f>G82</f>
        <v>4.9999500000000002E-2</v>
      </c>
      <c r="I233" s="948"/>
      <c r="J233" s="532">
        <v>8</v>
      </c>
      <c r="K233" s="536">
        <f>J82</f>
        <v>30</v>
      </c>
      <c r="L233" s="536">
        <f>K82</f>
        <v>-4</v>
      </c>
      <c r="M233" s="536">
        <f>L82</f>
        <v>-1.4</v>
      </c>
      <c r="N233" s="536">
        <f>M82</f>
        <v>0</v>
      </c>
      <c r="O233" s="536">
        <f>N82</f>
        <v>1.3</v>
      </c>
      <c r="Q233" s="952"/>
      <c r="R233" s="532">
        <v>8</v>
      </c>
      <c r="S233" s="536">
        <f>Q82</f>
        <v>750</v>
      </c>
      <c r="T233" s="536">
        <f>R82</f>
        <v>9.9999999999999995E-7</v>
      </c>
      <c r="U233" s="536">
        <f>S82</f>
        <v>9.9999999999999995E-7</v>
      </c>
      <c r="V233" s="536">
        <f>T82</f>
        <v>0</v>
      </c>
      <c r="W233" s="537">
        <f>U82</f>
        <v>0</v>
      </c>
      <c r="Y233" s="530">
        <v>9</v>
      </c>
      <c r="Z233" s="531">
        <f>X91</f>
        <v>0.3</v>
      </c>
      <c r="AE233" s="514"/>
    </row>
    <row r="234" spans="1:38" ht="13" x14ac:dyDescent="0.3">
      <c r="A234" s="948"/>
      <c r="B234" s="532">
        <v>9</v>
      </c>
      <c r="C234" s="536">
        <f>C93</f>
        <v>15</v>
      </c>
      <c r="D234" s="536">
        <f t="shared" ref="D234:F234" si="68">D93</f>
        <v>9.9999999999999995E-7</v>
      </c>
      <c r="E234" s="536" t="str">
        <f t="shared" si="68"/>
        <v>-</v>
      </c>
      <c r="F234" s="536">
        <f t="shared" si="68"/>
        <v>0</v>
      </c>
      <c r="G234" s="536">
        <f>G93</f>
        <v>0</v>
      </c>
      <c r="I234" s="948"/>
      <c r="J234" s="532">
        <v>9</v>
      </c>
      <c r="K234" s="536">
        <f>J93</f>
        <v>30</v>
      </c>
      <c r="L234" s="536">
        <f>K93</f>
        <v>-1.2</v>
      </c>
      <c r="M234" s="536" t="str">
        <f>L93</f>
        <v>-</v>
      </c>
      <c r="N234" s="536">
        <f>M93</f>
        <v>0</v>
      </c>
      <c r="O234" s="536">
        <f>N93</f>
        <v>0</v>
      </c>
      <c r="Q234" s="952"/>
      <c r="R234" s="532">
        <v>9</v>
      </c>
      <c r="S234" s="536">
        <f>Q93</f>
        <v>750</v>
      </c>
      <c r="T234" s="536">
        <f>R93</f>
        <v>9.9999999999999995E-7</v>
      </c>
      <c r="U234" s="536" t="str">
        <f>S93</f>
        <v>-</v>
      </c>
      <c r="V234" s="536">
        <f>T93</f>
        <v>0</v>
      </c>
      <c r="W234" s="537">
        <f>U93</f>
        <v>0</v>
      </c>
      <c r="Y234" s="530">
        <v>10</v>
      </c>
      <c r="Z234" s="531">
        <f>X102</f>
        <v>0.3</v>
      </c>
      <c r="AE234" s="514"/>
    </row>
    <row r="235" spans="1:38" ht="13" x14ac:dyDescent="0.3">
      <c r="A235" s="948"/>
      <c r="B235" s="532">
        <v>10</v>
      </c>
      <c r="C235" s="536">
        <f>C104</f>
        <v>15</v>
      </c>
      <c r="D235" s="536">
        <f t="shared" ref="D235:F235" si="69">D104</f>
        <v>0.2</v>
      </c>
      <c r="E235" s="536">
        <f t="shared" si="69"/>
        <v>0.2</v>
      </c>
      <c r="F235" s="536">
        <f t="shared" si="69"/>
        <v>0</v>
      </c>
      <c r="G235" s="536">
        <f>G104</f>
        <v>0</v>
      </c>
      <c r="I235" s="948"/>
      <c r="J235" s="532">
        <v>10</v>
      </c>
      <c r="K235" s="536">
        <f>J104</f>
        <v>30</v>
      </c>
      <c r="L235" s="536">
        <f>K104</f>
        <v>-2.9</v>
      </c>
      <c r="M235" s="536">
        <f>L104</f>
        <v>-5.8</v>
      </c>
      <c r="N235" s="536">
        <f>M104</f>
        <v>0</v>
      </c>
      <c r="O235" s="536">
        <f>N104</f>
        <v>1.45</v>
      </c>
      <c r="Q235" s="952"/>
      <c r="R235" s="532">
        <v>10</v>
      </c>
      <c r="S235" s="536">
        <f>Q104</f>
        <v>750</v>
      </c>
      <c r="T235" s="536" t="str">
        <f>R104</f>
        <v>-</v>
      </c>
      <c r="U235" s="536" t="str">
        <f>S104</f>
        <v>-</v>
      </c>
      <c r="V235" s="536">
        <f>T104</f>
        <v>0</v>
      </c>
      <c r="W235" s="537">
        <f>U104</f>
        <v>0</v>
      </c>
      <c r="Y235" s="530">
        <v>11</v>
      </c>
      <c r="Z235" s="531">
        <f>X113</f>
        <v>0.3</v>
      </c>
      <c r="AE235" s="514"/>
    </row>
    <row r="236" spans="1:38" ht="13" x14ac:dyDescent="0.3">
      <c r="A236" s="948"/>
      <c r="B236" s="532">
        <v>11</v>
      </c>
      <c r="C236" s="536">
        <f>C115</f>
        <v>15</v>
      </c>
      <c r="D236" s="536">
        <f t="shared" ref="D236:F236" si="70">D115</f>
        <v>0.3</v>
      </c>
      <c r="E236" s="536">
        <f t="shared" si="70"/>
        <v>0.3</v>
      </c>
      <c r="F236" s="536">
        <f t="shared" si="70"/>
        <v>0</v>
      </c>
      <c r="G236" s="536">
        <f>G115</f>
        <v>0</v>
      </c>
      <c r="I236" s="948"/>
      <c r="J236" s="532">
        <v>11</v>
      </c>
      <c r="K236" s="536">
        <f>J115</f>
        <v>30</v>
      </c>
      <c r="L236" s="536">
        <f>K115</f>
        <v>-5.2</v>
      </c>
      <c r="M236" s="536">
        <f>L115</f>
        <v>-6.4</v>
      </c>
      <c r="N236" s="536">
        <f>M115</f>
        <v>0</v>
      </c>
      <c r="O236" s="536">
        <f>N115</f>
        <v>0.60000000000000009</v>
      </c>
      <c r="Q236" s="952"/>
      <c r="R236" s="532">
        <v>11</v>
      </c>
      <c r="S236" s="536">
        <f>Q115</f>
        <v>750</v>
      </c>
      <c r="T236" s="536" t="str">
        <f>R115</f>
        <v>-</v>
      </c>
      <c r="U236" s="536" t="str">
        <f>S115</f>
        <v>-</v>
      </c>
      <c r="V236" s="536">
        <f>T115</f>
        <v>0</v>
      </c>
      <c r="W236" s="537">
        <f>U115</f>
        <v>0</v>
      </c>
      <c r="Y236" s="530">
        <v>12</v>
      </c>
      <c r="Z236" s="531">
        <f>X124</f>
        <v>0.3</v>
      </c>
      <c r="AE236" s="514"/>
    </row>
    <row r="237" spans="1:38" ht="13" x14ac:dyDescent="0.3">
      <c r="A237" s="948"/>
      <c r="B237" s="532">
        <v>12</v>
      </c>
      <c r="C237" s="536">
        <f>C126</f>
        <v>15</v>
      </c>
      <c r="D237" s="536">
        <f t="shared" ref="D237:F237" si="71">D126</f>
        <v>9.9999999999999995E-7</v>
      </c>
      <c r="E237" s="536" t="str">
        <f t="shared" si="71"/>
        <v>-</v>
      </c>
      <c r="F237" s="536">
        <f t="shared" si="71"/>
        <v>0</v>
      </c>
      <c r="G237" s="536">
        <f>G126</f>
        <v>0</v>
      </c>
      <c r="I237" s="948"/>
      <c r="J237" s="532">
        <v>12</v>
      </c>
      <c r="K237" s="536">
        <f>J126</f>
        <v>30</v>
      </c>
      <c r="L237" s="536">
        <f>K126</f>
        <v>-0.4</v>
      </c>
      <c r="M237" s="536" t="str">
        <f>L126</f>
        <v>-</v>
      </c>
      <c r="N237" s="536">
        <f>M126</f>
        <v>0</v>
      </c>
      <c r="O237" s="536">
        <f>N126</f>
        <v>0</v>
      </c>
      <c r="Q237" s="952"/>
      <c r="R237" s="532">
        <v>12</v>
      </c>
      <c r="S237" s="536">
        <f>Q126</f>
        <v>800</v>
      </c>
      <c r="T237" s="536">
        <f>R126</f>
        <v>-0.4</v>
      </c>
      <c r="U237" s="536" t="str">
        <f>S126</f>
        <v>-</v>
      </c>
      <c r="V237" s="536">
        <f>T126</f>
        <v>0</v>
      </c>
      <c r="W237" s="537">
        <f>U126</f>
        <v>0</v>
      </c>
      <c r="Y237" s="530">
        <v>13</v>
      </c>
      <c r="Z237" s="538">
        <f>X135</f>
        <v>0.5</v>
      </c>
      <c r="AE237" s="514"/>
      <c r="AL237" s="514"/>
    </row>
    <row r="238" spans="1:38" ht="13" x14ac:dyDescent="0.3">
      <c r="A238" s="948"/>
      <c r="B238" s="532">
        <v>13</v>
      </c>
      <c r="C238" s="536">
        <f>C137</f>
        <v>15</v>
      </c>
      <c r="D238" s="536">
        <f>E137</f>
        <v>-0.7</v>
      </c>
      <c r="E238" s="536" t="str">
        <f>F137</f>
        <v>-</v>
      </c>
      <c r="F238" s="536">
        <v>9.9999999999999995E-7</v>
      </c>
      <c r="G238" s="536">
        <f>G137</f>
        <v>0</v>
      </c>
      <c r="I238" s="948"/>
      <c r="J238" s="532">
        <v>13</v>
      </c>
      <c r="K238" s="536">
        <f>J137</f>
        <v>30</v>
      </c>
      <c r="L238" s="536">
        <f>L137</f>
        <v>-1.4</v>
      </c>
      <c r="M238" s="536" t="str">
        <f>M137</f>
        <v>-</v>
      </c>
      <c r="N238" s="536">
        <v>9.9999999999999995E-7</v>
      </c>
      <c r="O238" s="536">
        <f>N137</f>
        <v>0</v>
      </c>
      <c r="Q238" s="952"/>
      <c r="R238" s="532">
        <v>13</v>
      </c>
      <c r="S238" s="536">
        <f>Q137</f>
        <v>960</v>
      </c>
      <c r="T238" s="536">
        <f>S137</f>
        <v>0.9</v>
      </c>
      <c r="U238" s="536" t="str">
        <f>T137</f>
        <v>-</v>
      </c>
      <c r="V238" s="536">
        <v>9.9999999999999995E-7</v>
      </c>
      <c r="W238" s="537">
        <f>U137</f>
        <v>0</v>
      </c>
      <c r="Y238" s="530">
        <v>14</v>
      </c>
      <c r="Z238" s="538">
        <f>X146</f>
        <v>0.5</v>
      </c>
      <c r="AE238" s="514"/>
      <c r="AL238" s="514"/>
    </row>
    <row r="239" spans="1:38" ht="13" x14ac:dyDescent="0.3">
      <c r="A239" s="948"/>
      <c r="B239" s="532">
        <v>14</v>
      </c>
      <c r="C239" s="536">
        <f>C148</f>
        <v>15</v>
      </c>
      <c r="D239" s="536">
        <f>E148</f>
        <v>-0.2</v>
      </c>
      <c r="E239" s="536" t="str">
        <f>F148</f>
        <v>-</v>
      </c>
      <c r="F239" s="536">
        <v>9.9999999999999995E-7</v>
      </c>
      <c r="G239" s="536">
        <f>G148</f>
        <v>0</v>
      </c>
      <c r="I239" s="948"/>
      <c r="J239" s="532">
        <v>14</v>
      </c>
      <c r="K239" s="536">
        <f>J148</f>
        <v>30</v>
      </c>
      <c r="L239" s="536">
        <f>L148</f>
        <v>0.6</v>
      </c>
      <c r="M239" s="536" t="str">
        <f>M148</f>
        <v>-</v>
      </c>
      <c r="N239" s="536">
        <v>9.9999999999999995E-7</v>
      </c>
      <c r="O239" s="536">
        <f>N148</f>
        <v>0</v>
      </c>
      <c r="Q239" s="952"/>
      <c r="R239" s="532">
        <v>14</v>
      </c>
      <c r="S239" s="536">
        <f>Q148</f>
        <v>960</v>
      </c>
      <c r="T239" s="536">
        <f>S148</f>
        <v>0.9</v>
      </c>
      <c r="U239" s="536" t="str">
        <f>T148</f>
        <v>-</v>
      </c>
      <c r="V239" s="536">
        <v>9.9999999999999995E-7</v>
      </c>
      <c r="W239" s="537">
        <f>U148</f>
        <v>0</v>
      </c>
      <c r="Y239" s="530">
        <v>15</v>
      </c>
      <c r="Z239" s="538">
        <f>X157</f>
        <v>0.5</v>
      </c>
      <c r="AE239" s="514"/>
      <c r="AL239" s="514"/>
    </row>
    <row r="240" spans="1:38" ht="13" x14ac:dyDescent="0.3">
      <c r="A240" s="948"/>
      <c r="B240" s="532">
        <v>15</v>
      </c>
      <c r="C240" s="536">
        <f>C159</f>
        <v>15</v>
      </c>
      <c r="D240" s="536">
        <f>E159</f>
        <v>-0.6</v>
      </c>
      <c r="E240" s="536" t="str">
        <f>F159</f>
        <v>-</v>
      </c>
      <c r="F240" s="536">
        <v>9.9999999999999995E-7</v>
      </c>
      <c r="G240" s="536">
        <f>G159</f>
        <v>0</v>
      </c>
      <c r="I240" s="948"/>
      <c r="J240" s="532">
        <v>15</v>
      </c>
      <c r="K240" s="536">
        <f>J159</f>
        <v>30</v>
      </c>
      <c r="L240" s="536">
        <f>L159</f>
        <v>-0.4</v>
      </c>
      <c r="M240" s="536" t="str">
        <f>M159</f>
        <v>-</v>
      </c>
      <c r="N240" s="536">
        <v>9.9999999999999995E-7</v>
      </c>
      <c r="O240" s="536">
        <f>N159</f>
        <v>0</v>
      </c>
      <c r="Q240" s="952"/>
      <c r="R240" s="532">
        <v>15</v>
      </c>
      <c r="S240" s="536">
        <f>Q159</f>
        <v>960</v>
      </c>
      <c r="T240" s="536">
        <f>S159</f>
        <v>0.9</v>
      </c>
      <c r="U240" s="536" t="str">
        <f>T159</f>
        <v>-</v>
      </c>
      <c r="V240" s="536">
        <v>9.9999999999999995E-7</v>
      </c>
      <c r="W240" s="537">
        <f>U159</f>
        <v>0</v>
      </c>
      <c r="Y240" s="530">
        <v>16</v>
      </c>
      <c r="Z240" s="538">
        <f>X168</f>
        <v>0.5</v>
      </c>
      <c r="AE240" s="514"/>
      <c r="AL240" s="514"/>
    </row>
    <row r="241" spans="1:38" ht="13" x14ac:dyDescent="0.3">
      <c r="A241" s="948"/>
      <c r="B241" s="532">
        <v>16</v>
      </c>
      <c r="C241" s="536">
        <f>C170</f>
        <v>15</v>
      </c>
      <c r="D241" s="536">
        <f t="shared" ref="D241:F241" si="72">D170</f>
        <v>0.1</v>
      </c>
      <c r="E241" s="536">
        <f t="shared" si="72"/>
        <v>0.1</v>
      </c>
      <c r="F241" s="536">
        <f t="shared" si="72"/>
        <v>0</v>
      </c>
      <c r="G241" s="536">
        <f>G170</f>
        <v>0</v>
      </c>
      <c r="I241" s="948"/>
      <c r="J241" s="532">
        <v>16</v>
      </c>
      <c r="K241" s="536">
        <f>J170</f>
        <v>35</v>
      </c>
      <c r="L241" s="536">
        <f>K170</f>
        <v>-2.5</v>
      </c>
      <c r="M241" s="536">
        <f>L170</f>
        <v>-1.6</v>
      </c>
      <c r="N241" s="536">
        <f>M170</f>
        <v>0</v>
      </c>
      <c r="O241" s="536">
        <f>N170</f>
        <v>0.44999999999999996</v>
      </c>
      <c r="Q241" s="952"/>
      <c r="R241" s="532">
        <v>16</v>
      </c>
      <c r="S241" s="536">
        <f>Q170</f>
        <v>960</v>
      </c>
      <c r="T241" s="536">
        <f>R170</f>
        <v>4.5999999999999996</v>
      </c>
      <c r="U241" s="536" t="str">
        <f>S170</f>
        <v>-</v>
      </c>
      <c r="V241" s="536">
        <f>T170</f>
        <v>0</v>
      </c>
      <c r="W241" s="537">
        <f>U170</f>
        <v>0</v>
      </c>
      <c r="Y241" s="530">
        <v>17</v>
      </c>
      <c r="Z241" s="538">
        <f>X179</f>
        <v>0.8</v>
      </c>
      <c r="AE241" s="514"/>
      <c r="AL241" s="514"/>
    </row>
    <row r="242" spans="1:38" ht="13" x14ac:dyDescent="0.3">
      <c r="A242" s="948"/>
      <c r="B242" s="532">
        <v>17</v>
      </c>
      <c r="C242" s="536">
        <f>C181</f>
        <v>15</v>
      </c>
      <c r="D242" s="536">
        <f t="shared" ref="D242:F242" si="73">D181</f>
        <v>0.2</v>
      </c>
      <c r="E242" s="536">
        <f t="shared" si="73"/>
        <v>0.1</v>
      </c>
      <c r="F242" s="536">
        <f t="shared" si="73"/>
        <v>0</v>
      </c>
      <c r="G242" s="536">
        <f>G181</f>
        <v>0.05</v>
      </c>
      <c r="I242" s="948"/>
      <c r="J242" s="532">
        <v>17</v>
      </c>
      <c r="K242" s="536">
        <f>J181</f>
        <v>35</v>
      </c>
      <c r="L242" s="536">
        <f>K181</f>
        <v>-2.7</v>
      </c>
      <c r="M242" s="536">
        <f>L181</f>
        <v>0.1</v>
      </c>
      <c r="N242" s="536">
        <f>M181</f>
        <v>0</v>
      </c>
      <c r="O242" s="536">
        <f>N181</f>
        <v>1.4000000000000001</v>
      </c>
      <c r="Q242" s="952"/>
      <c r="R242" s="532">
        <v>17</v>
      </c>
      <c r="S242" s="536">
        <f>Q181</f>
        <v>960</v>
      </c>
      <c r="T242" s="536">
        <f>R181</f>
        <v>4.5999999999999996</v>
      </c>
      <c r="U242" s="536">
        <f>S181</f>
        <v>-0.6</v>
      </c>
      <c r="V242" s="536">
        <f>T181</f>
        <v>0</v>
      </c>
      <c r="W242" s="537">
        <f>U181</f>
        <v>2.5999999999999996</v>
      </c>
      <c r="Y242" s="530">
        <v>18</v>
      </c>
      <c r="Z242" s="538">
        <f>X190</f>
        <v>0.6</v>
      </c>
      <c r="AE242" s="514"/>
      <c r="AL242" s="514"/>
    </row>
    <row r="243" spans="1:38" ht="13" x14ac:dyDescent="0.3">
      <c r="A243" s="948"/>
      <c r="B243" s="532">
        <v>18</v>
      </c>
      <c r="C243" s="536">
        <f>C192</f>
        <v>15</v>
      </c>
      <c r="D243" s="536">
        <f t="shared" ref="D243:F243" si="74">D192</f>
        <v>0.3</v>
      </c>
      <c r="E243" s="536">
        <f t="shared" si="74"/>
        <v>9.9999999999999995E-7</v>
      </c>
      <c r="F243" s="536">
        <f t="shared" si="74"/>
        <v>0</v>
      </c>
      <c r="G243" s="536">
        <f>G192</f>
        <v>0.14999950000000001</v>
      </c>
      <c r="I243" s="948"/>
      <c r="J243" s="532">
        <v>18</v>
      </c>
      <c r="K243" s="536">
        <f>J192</f>
        <v>35</v>
      </c>
      <c r="L243" s="536">
        <f>K192</f>
        <v>-3.2</v>
      </c>
      <c r="M243" s="536">
        <f>L192</f>
        <v>-0.4</v>
      </c>
      <c r="N243" s="536">
        <f>M192</f>
        <v>0</v>
      </c>
      <c r="O243" s="536">
        <f>N192</f>
        <v>1.4000000000000001</v>
      </c>
      <c r="Q243" s="952"/>
      <c r="R243" s="532">
        <v>18</v>
      </c>
      <c r="S243" s="536">
        <f>Q192</f>
        <v>960</v>
      </c>
      <c r="T243" s="536">
        <f>R192</f>
        <v>4.5999999999999996</v>
      </c>
      <c r="U243" s="536" t="str">
        <f>S192</f>
        <v>-</v>
      </c>
      <c r="V243" s="536">
        <f>T192</f>
        <v>0</v>
      </c>
      <c r="W243" s="537">
        <f>U192</f>
        <v>0</v>
      </c>
      <c r="Y243" s="530">
        <v>19</v>
      </c>
      <c r="Z243" s="538">
        <f>X201</f>
        <v>0.1</v>
      </c>
      <c r="AE243" s="514"/>
      <c r="AL243" s="514"/>
    </row>
    <row r="244" spans="1:38" ht="13.5" thickBot="1" x14ac:dyDescent="0.35">
      <c r="A244" s="948"/>
      <c r="B244" s="532">
        <v>19</v>
      </c>
      <c r="C244" s="536">
        <f>C203</f>
        <v>15</v>
      </c>
      <c r="D244" s="536">
        <f t="shared" ref="D244:F244" si="75">D203</f>
        <v>9.9999999999999995E-7</v>
      </c>
      <c r="E244" s="536" t="str">
        <f t="shared" si="75"/>
        <v>-</v>
      </c>
      <c r="F244" s="536">
        <f t="shared" si="75"/>
        <v>0</v>
      </c>
      <c r="G244" s="536">
        <f>G203</f>
        <v>0</v>
      </c>
      <c r="I244" s="948"/>
      <c r="J244" s="532">
        <v>19</v>
      </c>
      <c r="K244" s="536">
        <f>J203</f>
        <v>30</v>
      </c>
      <c r="L244" s="536">
        <f>K203</f>
        <v>-1.5</v>
      </c>
      <c r="M244" s="536" t="str">
        <f>L203</f>
        <v>-</v>
      </c>
      <c r="N244" s="536">
        <f>M203</f>
        <v>0</v>
      </c>
      <c r="O244" s="536">
        <f>N203</f>
        <v>0</v>
      </c>
      <c r="Q244" s="952"/>
      <c r="R244" s="532">
        <v>19</v>
      </c>
      <c r="S244" s="536">
        <f>Q203</f>
        <v>750</v>
      </c>
      <c r="T244" s="536">
        <f>R203</f>
        <v>2.5</v>
      </c>
      <c r="U244" s="536" t="str">
        <f>S203</f>
        <v>-</v>
      </c>
      <c r="V244" s="536">
        <f>T203</f>
        <v>0</v>
      </c>
      <c r="W244" s="537">
        <f>U203</f>
        <v>0</v>
      </c>
      <c r="Y244" s="539">
        <v>20</v>
      </c>
      <c r="Z244" s="540">
        <f>X212</f>
        <v>0</v>
      </c>
      <c r="AE244" s="514"/>
      <c r="AL244" s="514"/>
    </row>
    <row r="245" spans="1:38" ht="13.5" thickBot="1" x14ac:dyDescent="0.35">
      <c r="A245" s="948"/>
      <c r="B245" s="532">
        <v>20</v>
      </c>
      <c r="C245" s="536">
        <f>C214</f>
        <v>14.8</v>
      </c>
      <c r="D245" s="536">
        <f t="shared" ref="D245:F245" si="76">D214</f>
        <v>9.9999999999999995E-7</v>
      </c>
      <c r="E245" s="536" t="str">
        <f t="shared" si="76"/>
        <v>-</v>
      </c>
      <c r="F245" s="536">
        <f t="shared" si="76"/>
        <v>9.9999999999999995E-7</v>
      </c>
      <c r="G245" s="536">
        <f>G214</f>
        <v>0</v>
      </c>
      <c r="I245" s="948"/>
      <c r="J245" s="532">
        <v>20</v>
      </c>
      <c r="K245" s="536">
        <f>J214</f>
        <v>45.7</v>
      </c>
      <c r="L245" s="536">
        <f>K214</f>
        <v>9.9999999999999995E-7</v>
      </c>
      <c r="M245" s="536" t="str">
        <f>L214</f>
        <v>-</v>
      </c>
      <c r="N245" s="536">
        <f>M214</f>
        <v>0</v>
      </c>
      <c r="O245" s="536">
        <f>N214</f>
        <v>0</v>
      </c>
      <c r="Q245" s="953"/>
      <c r="R245" s="541">
        <v>20</v>
      </c>
      <c r="S245" s="542">
        <f>Q214</f>
        <v>750</v>
      </c>
      <c r="T245" s="542" t="str">
        <f>R214</f>
        <v>-</v>
      </c>
      <c r="U245" s="542" t="str">
        <f>S214</f>
        <v>-</v>
      </c>
      <c r="V245" s="542">
        <f>T214</f>
        <v>0</v>
      </c>
      <c r="W245" s="543">
        <f>U214</f>
        <v>0</v>
      </c>
      <c r="Y245" s="544"/>
      <c r="AE245" s="545"/>
      <c r="AL245" s="514"/>
    </row>
    <row r="246" spans="1:38" ht="13.5" thickBot="1" x14ac:dyDescent="0.35">
      <c r="A246" s="470"/>
      <c r="B246" s="470"/>
      <c r="C246" s="130"/>
      <c r="D246" s="130"/>
      <c r="E246" s="130"/>
      <c r="F246" s="463"/>
      <c r="G246" s="130"/>
      <c r="I246" s="470"/>
      <c r="J246" s="470"/>
      <c r="K246" s="130"/>
      <c r="L246" s="130"/>
      <c r="M246" s="130"/>
      <c r="N246" s="463"/>
      <c r="O246" s="130"/>
      <c r="Q246" s="546"/>
      <c r="R246" s="546"/>
      <c r="S246" s="547"/>
      <c r="T246" s="547"/>
      <c r="U246" s="547"/>
      <c r="W246" s="548"/>
      <c r="Y246" s="549"/>
      <c r="AE246" s="549"/>
      <c r="AL246" s="549"/>
    </row>
    <row r="247" spans="1:38" ht="13" x14ac:dyDescent="0.3">
      <c r="A247" s="948">
        <v>2</v>
      </c>
      <c r="B247" s="532">
        <v>1</v>
      </c>
      <c r="C247" s="536">
        <f>C6</f>
        <v>20</v>
      </c>
      <c r="D247" s="536">
        <f t="shared" ref="D247:F247" si="77">D6</f>
        <v>-0.2</v>
      </c>
      <c r="E247" s="536">
        <f t="shared" si="77"/>
        <v>0.2</v>
      </c>
      <c r="F247" s="536">
        <f t="shared" si="77"/>
        <v>0</v>
      </c>
      <c r="G247" s="536">
        <f>G6</f>
        <v>0.2</v>
      </c>
      <c r="I247" s="948">
        <v>2</v>
      </c>
      <c r="J247" s="532">
        <v>1</v>
      </c>
      <c r="K247" s="536">
        <f>J6</f>
        <v>40</v>
      </c>
      <c r="L247" s="536">
        <f>K6</f>
        <v>-6</v>
      </c>
      <c r="M247" s="536">
        <f>L6</f>
        <v>-8.6</v>
      </c>
      <c r="N247" s="536">
        <f>M6</f>
        <v>0</v>
      </c>
      <c r="O247" s="536">
        <f>N6</f>
        <v>1.2999999999999998</v>
      </c>
      <c r="Q247" s="949">
        <v>2</v>
      </c>
      <c r="R247" s="550">
        <v>1</v>
      </c>
      <c r="S247" s="551">
        <f>Q6</f>
        <v>800</v>
      </c>
      <c r="T247" s="551" t="str">
        <f>R6</f>
        <v>-</v>
      </c>
      <c r="U247" s="551" t="str">
        <f>S6</f>
        <v>-</v>
      </c>
      <c r="V247" s="551">
        <f>T6</f>
        <v>0</v>
      </c>
      <c r="W247" s="552">
        <f>U6</f>
        <v>0</v>
      </c>
      <c r="Y247" s="938" t="s">
        <v>240</v>
      </c>
      <c r="Z247" s="939"/>
      <c r="AE247" s="553"/>
    </row>
    <row r="248" spans="1:38" ht="13" x14ac:dyDescent="0.3">
      <c r="A248" s="948"/>
      <c r="B248" s="532">
        <v>2</v>
      </c>
      <c r="C248" s="536">
        <f>C17</f>
        <v>20</v>
      </c>
      <c r="D248" s="536">
        <f t="shared" ref="D248:F248" si="78">D17</f>
        <v>0.2</v>
      </c>
      <c r="E248" s="536">
        <f t="shared" si="78"/>
        <v>0.7</v>
      </c>
      <c r="F248" s="536">
        <f t="shared" si="78"/>
        <v>-0.1</v>
      </c>
      <c r="G248" s="536">
        <f>G17</f>
        <v>0.39999999999999997</v>
      </c>
      <c r="I248" s="948"/>
      <c r="J248" s="532">
        <v>2</v>
      </c>
      <c r="K248" s="536">
        <f>J17</f>
        <v>40</v>
      </c>
      <c r="L248" s="536">
        <f>K17</f>
        <v>-10.3</v>
      </c>
      <c r="M248" s="536">
        <f>L17</f>
        <v>-6.2</v>
      </c>
      <c r="N248" s="536">
        <f>M17</f>
        <v>-1.6</v>
      </c>
      <c r="O248" s="536">
        <f>N17</f>
        <v>4.3500000000000005</v>
      </c>
      <c r="Q248" s="948"/>
      <c r="R248" s="532">
        <v>2</v>
      </c>
      <c r="S248" s="536">
        <f>Q17</f>
        <v>800</v>
      </c>
      <c r="T248" s="536" t="str">
        <f>R17</f>
        <v>-</v>
      </c>
      <c r="U248" s="536" t="str">
        <f>S17</f>
        <v>-</v>
      </c>
      <c r="V248" s="536">
        <f>T17</f>
        <v>0</v>
      </c>
      <c r="W248" s="537">
        <f>U17</f>
        <v>0</v>
      </c>
      <c r="Y248" s="945" t="s">
        <v>351</v>
      </c>
      <c r="Z248" s="946"/>
      <c r="AE248" s="514"/>
    </row>
    <row r="249" spans="1:38" ht="13" x14ac:dyDescent="0.3">
      <c r="A249" s="948"/>
      <c r="B249" s="532">
        <v>3</v>
      </c>
      <c r="C249" s="532">
        <f>C28</f>
        <v>20</v>
      </c>
      <c r="D249" s="532">
        <f t="shared" ref="D249:F249" si="79">D28</f>
        <v>0.2</v>
      </c>
      <c r="E249" s="532">
        <f t="shared" si="79"/>
        <v>1</v>
      </c>
      <c r="F249" s="532">
        <f t="shared" si="79"/>
        <v>9.9999999999999995E-7</v>
      </c>
      <c r="G249" s="532">
        <f>G28</f>
        <v>0.49999949999999999</v>
      </c>
      <c r="I249" s="948"/>
      <c r="J249" s="532">
        <v>3</v>
      </c>
      <c r="K249" s="532">
        <f>J28</f>
        <v>40</v>
      </c>
      <c r="L249" s="532">
        <f>K28</f>
        <v>-9.6999999999999993</v>
      </c>
      <c r="M249" s="532">
        <f>L28</f>
        <v>-5.9</v>
      </c>
      <c r="N249" s="532">
        <f>M28</f>
        <v>-5.3</v>
      </c>
      <c r="O249" s="532">
        <f>N28</f>
        <v>2.1999999999999997</v>
      </c>
      <c r="Q249" s="948"/>
      <c r="R249" s="532">
        <v>3</v>
      </c>
      <c r="S249" s="532">
        <f>Q28</f>
        <v>800</v>
      </c>
      <c r="T249" s="532" t="str">
        <f>R28</f>
        <v>-</v>
      </c>
      <c r="U249" s="532" t="str">
        <f>S28</f>
        <v>-</v>
      </c>
      <c r="V249" s="532">
        <f>T28</f>
        <v>0</v>
      </c>
      <c r="W249" s="533">
        <f>U28</f>
        <v>0</v>
      </c>
      <c r="Y249" s="530">
        <v>1</v>
      </c>
      <c r="Z249" s="531">
        <f>X4</f>
        <v>3.1</v>
      </c>
      <c r="AE249" s="514"/>
    </row>
    <row r="250" spans="1:38" ht="13" x14ac:dyDescent="0.3">
      <c r="A250" s="948"/>
      <c r="B250" s="532">
        <v>4</v>
      </c>
      <c r="C250" s="532">
        <f>C39</f>
        <v>20</v>
      </c>
      <c r="D250" s="532">
        <f t="shared" ref="D250:F250" si="80">D39</f>
        <v>-0.1</v>
      </c>
      <c r="E250" s="532">
        <f t="shared" si="80"/>
        <v>-0.3</v>
      </c>
      <c r="F250" s="532">
        <f t="shared" si="80"/>
        <v>0</v>
      </c>
      <c r="G250" s="532">
        <f>G39</f>
        <v>9.9999999999999992E-2</v>
      </c>
      <c r="I250" s="948"/>
      <c r="J250" s="532">
        <v>4</v>
      </c>
      <c r="K250" s="532">
        <f>J39</f>
        <v>40</v>
      </c>
      <c r="L250" s="532">
        <f>K39</f>
        <v>-4.4000000000000004</v>
      </c>
      <c r="M250" s="532">
        <f>L39</f>
        <v>-1.5</v>
      </c>
      <c r="N250" s="532">
        <f>M39</f>
        <v>0</v>
      </c>
      <c r="O250" s="532">
        <f>N39</f>
        <v>1.4500000000000002</v>
      </c>
      <c r="Q250" s="948"/>
      <c r="R250" s="532">
        <v>4</v>
      </c>
      <c r="S250" s="532">
        <f>Q39</f>
        <v>800</v>
      </c>
      <c r="T250" s="532" t="str">
        <f>R39</f>
        <v>-</v>
      </c>
      <c r="U250" s="532" t="str">
        <f>S39</f>
        <v>-</v>
      </c>
      <c r="V250" s="532">
        <f>T39</f>
        <v>0</v>
      </c>
      <c r="W250" s="533">
        <f>U39</f>
        <v>0</v>
      </c>
      <c r="Y250" s="534">
        <v>2</v>
      </c>
      <c r="Z250" s="531">
        <f>X15</f>
        <v>3.3</v>
      </c>
      <c r="AE250" s="514"/>
    </row>
    <row r="251" spans="1:38" ht="13" x14ac:dyDescent="0.3">
      <c r="A251" s="948"/>
      <c r="B251" s="532">
        <v>5</v>
      </c>
      <c r="C251" s="532">
        <f>C50</f>
        <v>20</v>
      </c>
      <c r="D251" s="532">
        <f t="shared" ref="D251:F251" si="81">D50</f>
        <v>0.4</v>
      </c>
      <c r="E251" s="532">
        <f t="shared" si="81"/>
        <v>0.1</v>
      </c>
      <c r="F251" s="532">
        <f t="shared" si="81"/>
        <v>0.3</v>
      </c>
      <c r="G251" s="532">
        <f>G50</f>
        <v>0.15000000000000002</v>
      </c>
      <c r="I251" s="948"/>
      <c r="J251" s="532">
        <v>5</v>
      </c>
      <c r="K251" s="532">
        <f>J50</f>
        <v>40</v>
      </c>
      <c r="L251" s="532">
        <f>K50</f>
        <v>-9.6</v>
      </c>
      <c r="M251" s="532">
        <f>L50</f>
        <v>-7.2</v>
      </c>
      <c r="N251" s="532">
        <f>M50</f>
        <v>-8</v>
      </c>
      <c r="O251" s="532">
        <f>N50</f>
        <v>1.1999999999999997</v>
      </c>
      <c r="Q251" s="948"/>
      <c r="R251" s="532">
        <v>5</v>
      </c>
      <c r="S251" s="532">
        <f>Q50</f>
        <v>800</v>
      </c>
      <c r="T251" s="532" t="str">
        <f>R50</f>
        <v>-</v>
      </c>
      <c r="U251" s="532" t="str">
        <f>S50</f>
        <v>-</v>
      </c>
      <c r="V251" s="532">
        <f>T50</f>
        <v>0</v>
      </c>
      <c r="W251" s="533">
        <f>U50</f>
        <v>0</v>
      </c>
      <c r="Y251" s="534">
        <v>3</v>
      </c>
      <c r="Z251" s="535">
        <f>X26</f>
        <v>2.4</v>
      </c>
      <c r="AE251" s="514"/>
    </row>
    <row r="252" spans="1:38" ht="13" x14ac:dyDescent="0.3">
      <c r="A252" s="948"/>
      <c r="B252" s="532">
        <v>6</v>
      </c>
      <c r="C252" s="532">
        <f>C61</f>
        <v>20</v>
      </c>
      <c r="D252" s="532">
        <f t="shared" ref="D252:F252" si="82">D61</f>
        <v>0.3</v>
      </c>
      <c r="E252" s="532">
        <f t="shared" si="82"/>
        <v>0.2</v>
      </c>
      <c r="F252" s="532">
        <f t="shared" si="82"/>
        <v>0</v>
      </c>
      <c r="G252" s="532">
        <f>G61</f>
        <v>4.9999999999999989E-2</v>
      </c>
      <c r="I252" s="948"/>
      <c r="J252" s="532">
        <v>6</v>
      </c>
      <c r="K252" s="532">
        <f>J61</f>
        <v>40</v>
      </c>
      <c r="L252" s="532">
        <f>K61</f>
        <v>-3.8</v>
      </c>
      <c r="M252" s="532">
        <f>L61</f>
        <v>1.5</v>
      </c>
      <c r="N252" s="532">
        <f>M61</f>
        <v>0</v>
      </c>
      <c r="O252" s="532">
        <f>N61</f>
        <v>2.65</v>
      </c>
      <c r="Q252" s="948"/>
      <c r="R252" s="532">
        <v>6</v>
      </c>
      <c r="S252" s="532">
        <f>Q61</f>
        <v>800</v>
      </c>
      <c r="T252" s="532">
        <f>R61</f>
        <v>0.9</v>
      </c>
      <c r="U252" s="532">
        <f>S61</f>
        <v>1.6</v>
      </c>
      <c r="V252" s="532">
        <f>T61</f>
        <v>0</v>
      </c>
      <c r="W252" s="533">
        <f>U61</f>
        <v>0.35000000000000003</v>
      </c>
      <c r="Y252" s="534">
        <v>4</v>
      </c>
      <c r="Z252" s="535">
        <f>X37</f>
        <v>1.3</v>
      </c>
      <c r="AE252" s="514"/>
    </row>
    <row r="253" spans="1:38" ht="13" x14ac:dyDescent="0.3">
      <c r="A253" s="948"/>
      <c r="B253" s="532">
        <v>7</v>
      </c>
      <c r="C253" s="532">
        <f>C72</f>
        <v>20</v>
      </c>
      <c r="D253" s="532">
        <f t="shared" ref="D253:F253" si="83">D72</f>
        <v>0</v>
      </c>
      <c r="E253" s="532">
        <f t="shared" si="83"/>
        <v>9.9999999999999995E-7</v>
      </c>
      <c r="F253" s="532">
        <f t="shared" si="83"/>
        <v>0.1</v>
      </c>
      <c r="G253" s="532">
        <f>G72</f>
        <v>0.05</v>
      </c>
      <c r="I253" s="948"/>
      <c r="J253" s="532">
        <v>7</v>
      </c>
      <c r="K253" s="532">
        <f>J72</f>
        <v>40</v>
      </c>
      <c r="L253" s="532">
        <f>K72</f>
        <v>-2</v>
      </c>
      <c r="M253" s="532">
        <f>L72</f>
        <v>-1.9</v>
      </c>
      <c r="N253" s="532">
        <f>M72</f>
        <v>1.2</v>
      </c>
      <c r="O253" s="532">
        <f>N72</f>
        <v>1.6</v>
      </c>
      <c r="Q253" s="948"/>
      <c r="R253" s="532">
        <v>7</v>
      </c>
      <c r="S253" s="532">
        <f>Q72</f>
        <v>970</v>
      </c>
      <c r="T253" s="532">
        <f>R72</f>
        <v>0.6</v>
      </c>
      <c r="U253" s="532" t="str">
        <f>S72</f>
        <v>-</v>
      </c>
      <c r="V253" s="532" t="str">
        <f>T72</f>
        <v>-</v>
      </c>
      <c r="W253" s="533">
        <f>U72</f>
        <v>0</v>
      </c>
      <c r="Y253" s="534">
        <v>5</v>
      </c>
      <c r="Z253" s="535">
        <f>X48</f>
        <v>2.2999999999999998</v>
      </c>
      <c r="AE253" s="514"/>
    </row>
    <row r="254" spans="1:38" ht="13" x14ac:dyDescent="0.3">
      <c r="A254" s="948"/>
      <c r="B254" s="532">
        <v>8</v>
      </c>
      <c r="C254" s="532">
        <f>C83</f>
        <v>20</v>
      </c>
      <c r="D254" s="532">
        <f t="shared" ref="D254:F254" si="84">D83</f>
        <v>9.9999999999999995E-7</v>
      </c>
      <c r="E254" s="532">
        <f t="shared" si="84"/>
        <v>-0.2</v>
      </c>
      <c r="F254" s="532">
        <f t="shared" si="84"/>
        <v>0</v>
      </c>
      <c r="G254" s="532">
        <f>G83</f>
        <v>0.10000050000000001</v>
      </c>
      <c r="I254" s="948"/>
      <c r="J254" s="532">
        <v>8</v>
      </c>
      <c r="K254" s="532">
        <f>J83</f>
        <v>40</v>
      </c>
      <c r="L254" s="532">
        <f>K83</f>
        <v>-3.8</v>
      </c>
      <c r="M254" s="532">
        <f>L83</f>
        <v>-1.2</v>
      </c>
      <c r="N254" s="532">
        <f>M83</f>
        <v>0</v>
      </c>
      <c r="O254" s="532">
        <f>N83</f>
        <v>1.2999999999999998</v>
      </c>
      <c r="Q254" s="948"/>
      <c r="R254" s="532">
        <v>8</v>
      </c>
      <c r="S254" s="532">
        <f>Q83</f>
        <v>800</v>
      </c>
      <c r="T254" s="532">
        <f>R83</f>
        <v>9.9999999999999995E-7</v>
      </c>
      <c r="U254" s="532">
        <f>S83</f>
        <v>9.9999999999999995E-7</v>
      </c>
      <c r="V254" s="532">
        <f>T83</f>
        <v>0</v>
      </c>
      <c r="W254" s="533">
        <f>U83</f>
        <v>0</v>
      </c>
      <c r="Y254" s="530">
        <v>6</v>
      </c>
      <c r="Z254" s="531">
        <f>X59</f>
        <v>2.6</v>
      </c>
      <c r="AE254" s="514"/>
    </row>
    <row r="255" spans="1:38" ht="13" x14ac:dyDescent="0.3">
      <c r="A255" s="948"/>
      <c r="B255" s="532">
        <v>9</v>
      </c>
      <c r="C255" s="532">
        <f>C94</f>
        <v>20</v>
      </c>
      <c r="D255" s="532">
        <f t="shared" ref="D255:F255" si="85">D94</f>
        <v>-0.2</v>
      </c>
      <c r="E255" s="532" t="str">
        <f t="shared" si="85"/>
        <v>-</v>
      </c>
      <c r="F255" s="532">
        <f t="shared" si="85"/>
        <v>0</v>
      </c>
      <c r="G255" s="532">
        <f>G94</f>
        <v>0</v>
      </c>
      <c r="I255" s="948"/>
      <c r="J255" s="532">
        <v>9</v>
      </c>
      <c r="K255" s="532">
        <f>J94</f>
        <v>40</v>
      </c>
      <c r="L255" s="532">
        <f>K94</f>
        <v>-1</v>
      </c>
      <c r="M255" s="532" t="str">
        <f>L94</f>
        <v>-</v>
      </c>
      <c r="N255" s="532">
        <f>M94</f>
        <v>0</v>
      </c>
      <c r="O255" s="532">
        <f>N94</f>
        <v>0</v>
      </c>
      <c r="Q255" s="948"/>
      <c r="R255" s="532">
        <v>9</v>
      </c>
      <c r="S255" s="532">
        <f>Q94</f>
        <v>800</v>
      </c>
      <c r="T255" s="532">
        <f>R94</f>
        <v>9.9999999999999995E-7</v>
      </c>
      <c r="U255" s="532" t="str">
        <f>S94</f>
        <v>-</v>
      </c>
      <c r="V255" s="532">
        <f>T94</f>
        <v>0</v>
      </c>
      <c r="W255" s="533">
        <f>U94</f>
        <v>0</v>
      </c>
      <c r="Y255" s="530">
        <v>7</v>
      </c>
      <c r="Z255" s="531">
        <f>X70</f>
        <v>2.2999999999999998</v>
      </c>
      <c r="AE255" s="514"/>
    </row>
    <row r="256" spans="1:38" ht="13" x14ac:dyDescent="0.3">
      <c r="A256" s="948"/>
      <c r="B256" s="532">
        <v>10</v>
      </c>
      <c r="C256" s="532">
        <f>C105</f>
        <v>20</v>
      </c>
      <c r="D256" s="532">
        <f t="shared" ref="D256:F256" si="86">D105</f>
        <v>0.2</v>
      </c>
      <c r="E256" s="532">
        <f t="shared" si="86"/>
        <v>-0.7</v>
      </c>
      <c r="F256" s="532">
        <f t="shared" si="86"/>
        <v>0</v>
      </c>
      <c r="G256" s="532">
        <f>G105</f>
        <v>0.44999999999999996</v>
      </c>
      <c r="I256" s="948"/>
      <c r="J256" s="532">
        <v>10</v>
      </c>
      <c r="K256" s="532">
        <f>J105</f>
        <v>40</v>
      </c>
      <c r="L256" s="532">
        <f>K105</f>
        <v>-3.3</v>
      </c>
      <c r="M256" s="532">
        <f>L105</f>
        <v>-6.4</v>
      </c>
      <c r="N256" s="532">
        <f>M105</f>
        <v>0</v>
      </c>
      <c r="O256" s="532">
        <f>N105</f>
        <v>1.5500000000000003</v>
      </c>
      <c r="Q256" s="948"/>
      <c r="R256" s="532">
        <v>10</v>
      </c>
      <c r="S256" s="532">
        <f>Q105</f>
        <v>800</v>
      </c>
      <c r="T256" s="532" t="str">
        <f>R105</f>
        <v>-</v>
      </c>
      <c r="U256" s="532" t="str">
        <f>S105</f>
        <v>-</v>
      </c>
      <c r="V256" s="532">
        <f>T105</f>
        <v>0</v>
      </c>
      <c r="W256" s="533">
        <f>U105</f>
        <v>0</v>
      </c>
      <c r="Y256" s="530">
        <v>8</v>
      </c>
      <c r="Z256" s="531">
        <f>X81</f>
        <v>2.5</v>
      </c>
      <c r="AE256" s="514"/>
    </row>
    <row r="257" spans="1:31" ht="13" x14ac:dyDescent="0.3">
      <c r="A257" s="948"/>
      <c r="B257" s="532">
        <v>11</v>
      </c>
      <c r="C257" s="532">
        <f>C116</f>
        <v>20</v>
      </c>
      <c r="D257" s="532">
        <f t="shared" ref="D257:F257" si="87">D116</f>
        <v>0.4</v>
      </c>
      <c r="E257" s="532">
        <f t="shared" si="87"/>
        <v>0.5</v>
      </c>
      <c r="F257" s="532">
        <f t="shared" si="87"/>
        <v>0</v>
      </c>
      <c r="G257" s="532">
        <f>G116</f>
        <v>4.9999999999999989E-2</v>
      </c>
      <c r="I257" s="948"/>
      <c r="J257" s="532">
        <v>11</v>
      </c>
      <c r="K257" s="532">
        <f>J116</f>
        <v>40</v>
      </c>
      <c r="L257" s="532">
        <f>K116</f>
        <v>-5.5</v>
      </c>
      <c r="M257" s="532">
        <f>L116</f>
        <v>-5.9</v>
      </c>
      <c r="N257" s="532">
        <f>M116</f>
        <v>0</v>
      </c>
      <c r="O257" s="532">
        <f>N116</f>
        <v>0.20000000000000018</v>
      </c>
      <c r="Q257" s="948"/>
      <c r="R257" s="532">
        <v>11</v>
      </c>
      <c r="S257" s="532">
        <f>Q116</f>
        <v>800</v>
      </c>
      <c r="T257" s="532" t="str">
        <f>R116</f>
        <v>-</v>
      </c>
      <c r="U257" s="532" t="str">
        <f>S116</f>
        <v>-</v>
      </c>
      <c r="V257" s="532">
        <f>T116</f>
        <v>0</v>
      </c>
      <c r="W257" s="533">
        <f>U116</f>
        <v>0</v>
      </c>
      <c r="Y257" s="530">
        <v>9</v>
      </c>
      <c r="Z257" s="531">
        <f>X92</f>
        <v>2.4</v>
      </c>
      <c r="AE257" s="514"/>
    </row>
    <row r="258" spans="1:31" ht="13" x14ac:dyDescent="0.3">
      <c r="A258" s="948"/>
      <c r="B258" s="532">
        <v>12</v>
      </c>
      <c r="C258" s="532">
        <f>C127</f>
        <v>20</v>
      </c>
      <c r="D258" s="532">
        <f t="shared" ref="D258:F258" si="88">D127</f>
        <v>9.9999999999999995E-7</v>
      </c>
      <c r="E258" s="532" t="str">
        <f t="shared" si="88"/>
        <v>-</v>
      </c>
      <c r="F258" s="532">
        <f t="shared" si="88"/>
        <v>0</v>
      </c>
      <c r="G258" s="532">
        <f>G127</f>
        <v>0</v>
      </c>
      <c r="I258" s="948"/>
      <c r="J258" s="532">
        <v>12</v>
      </c>
      <c r="K258" s="532">
        <f>J127</f>
        <v>40</v>
      </c>
      <c r="L258" s="532">
        <f>K127</f>
        <v>-0.1</v>
      </c>
      <c r="M258" s="532" t="str">
        <f>L127</f>
        <v>-</v>
      </c>
      <c r="N258" s="532">
        <f>M127</f>
        <v>0</v>
      </c>
      <c r="O258" s="532">
        <f>N127</f>
        <v>0</v>
      </c>
      <c r="Q258" s="948"/>
      <c r="R258" s="532">
        <v>12</v>
      </c>
      <c r="S258" s="532">
        <f>Q127</f>
        <v>850</v>
      </c>
      <c r="T258" s="532">
        <f>R127</f>
        <v>-0.5</v>
      </c>
      <c r="U258" s="532" t="str">
        <f>S127</f>
        <v>-</v>
      </c>
      <c r="V258" s="532">
        <f>T127</f>
        <v>0</v>
      </c>
      <c r="W258" s="533">
        <f>U127</f>
        <v>0</v>
      </c>
      <c r="Y258" s="530">
        <v>10</v>
      </c>
      <c r="Z258" s="531">
        <f>X103</f>
        <v>1.5</v>
      </c>
      <c r="AE258" s="514"/>
    </row>
    <row r="259" spans="1:31" ht="13" x14ac:dyDescent="0.3">
      <c r="A259" s="948"/>
      <c r="B259" s="532">
        <v>13</v>
      </c>
      <c r="C259" s="532">
        <f>C138</f>
        <v>20</v>
      </c>
      <c r="D259" s="532">
        <f>E138</f>
        <v>-0.4</v>
      </c>
      <c r="E259" s="532" t="str">
        <f>F138</f>
        <v>-</v>
      </c>
      <c r="F259" s="536">
        <v>9.9999999999999995E-7</v>
      </c>
      <c r="G259" s="532">
        <f>G138</f>
        <v>0</v>
      </c>
      <c r="I259" s="948"/>
      <c r="J259" s="532">
        <v>13</v>
      </c>
      <c r="K259" s="532">
        <f>J138</f>
        <v>40</v>
      </c>
      <c r="L259" s="532">
        <f>L138</f>
        <v>-1.3</v>
      </c>
      <c r="M259" s="532" t="str">
        <f>M138</f>
        <v>-</v>
      </c>
      <c r="N259" s="536">
        <v>9.9999999999999995E-7</v>
      </c>
      <c r="O259" s="532">
        <f>N138</f>
        <v>0</v>
      </c>
      <c r="Q259" s="948"/>
      <c r="R259" s="532">
        <v>13</v>
      </c>
      <c r="S259" s="532">
        <f>Q138</f>
        <v>970</v>
      </c>
      <c r="T259" s="532">
        <f>S138</f>
        <v>1</v>
      </c>
      <c r="U259" s="532" t="str">
        <f>T138</f>
        <v>-</v>
      </c>
      <c r="V259" s="536">
        <v>9.9999999999999995E-7</v>
      </c>
      <c r="W259" s="533">
        <f>U138</f>
        <v>0</v>
      </c>
      <c r="Y259" s="530">
        <v>11</v>
      </c>
      <c r="Z259" s="531">
        <f>X114</f>
        <v>1.8</v>
      </c>
      <c r="AE259" s="514"/>
    </row>
    <row r="260" spans="1:31" ht="13" x14ac:dyDescent="0.3">
      <c r="A260" s="948"/>
      <c r="B260" s="532">
        <v>14</v>
      </c>
      <c r="C260" s="532">
        <f>C149</f>
        <v>20</v>
      </c>
      <c r="D260" s="532">
        <f>E149</f>
        <v>-0.1</v>
      </c>
      <c r="E260" s="532" t="str">
        <f>F149</f>
        <v>-</v>
      </c>
      <c r="F260" s="536">
        <v>9.9999999999999995E-7</v>
      </c>
      <c r="G260" s="532">
        <f>G149</f>
        <v>0</v>
      </c>
      <c r="I260" s="948"/>
      <c r="J260" s="532">
        <v>14</v>
      </c>
      <c r="K260" s="532">
        <f>J149</f>
        <v>40</v>
      </c>
      <c r="L260" s="532">
        <f>L149</f>
        <v>0.3</v>
      </c>
      <c r="M260" s="532" t="str">
        <f>M149</f>
        <v>-</v>
      </c>
      <c r="N260" s="536">
        <v>9.9999999999999995E-7</v>
      </c>
      <c r="O260" s="532">
        <f>N149</f>
        <v>0</v>
      </c>
      <c r="Q260" s="948"/>
      <c r="R260" s="532">
        <v>14</v>
      </c>
      <c r="S260" s="532">
        <f>Q149</f>
        <v>970</v>
      </c>
      <c r="T260" s="532">
        <f>S149</f>
        <v>1</v>
      </c>
      <c r="U260" s="532" t="str">
        <f>T149</f>
        <v>-</v>
      </c>
      <c r="V260" s="536">
        <v>9.9999999999999995E-7</v>
      </c>
      <c r="W260" s="533">
        <f>U149</f>
        <v>0</v>
      </c>
      <c r="Y260" s="530">
        <v>12</v>
      </c>
      <c r="Z260" s="554">
        <f>X125</f>
        <v>2</v>
      </c>
      <c r="AE260" s="514"/>
    </row>
    <row r="261" spans="1:31" ht="13" x14ac:dyDescent="0.3">
      <c r="A261" s="948"/>
      <c r="B261" s="532">
        <v>15</v>
      </c>
      <c r="C261" s="532">
        <f>C160</f>
        <v>20</v>
      </c>
      <c r="D261" s="532">
        <f>E160</f>
        <v>-0.5</v>
      </c>
      <c r="E261" s="532" t="str">
        <f>F160</f>
        <v>-</v>
      </c>
      <c r="F261" s="536">
        <v>9.9999999999999995E-7</v>
      </c>
      <c r="G261" s="532">
        <f>G160</f>
        <v>0</v>
      </c>
      <c r="I261" s="948"/>
      <c r="J261" s="532">
        <v>15</v>
      </c>
      <c r="K261" s="532">
        <f>J160</f>
        <v>40</v>
      </c>
      <c r="L261" s="532">
        <f>L160</f>
        <v>-0.3</v>
      </c>
      <c r="M261" s="532" t="str">
        <f>M160</f>
        <v>-</v>
      </c>
      <c r="N261" s="536">
        <v>9.9999999999999995E-7</v>
      </c>
      <c r="O261" s="532">
        <f>N160</f>
        <v>0</v>
      </c>
      <c r="Q261" s="948"/>
      <c r="R261" s="532">
        <v>15</v>
      </c>
      <c r="S261" s="532">
        <f>Q160</f>
        <v>970</v>
      </c>
      <c r="T261" s="532">
        <f>S160</f>
        <v>1</v>
      </c>
      <c r="U261" s="532" t="str">
        <f>T160</f>
        <v>-</v>
      </c>
      <c r="V261" s="536">
        <v>9.9999999999999995E-7</v>
      </c>
      <c r="W261" s="533">
        <f>U160</f>
        <v>0</v>
      </c>
      <c r="Y261" s="530">
        <v>13</v>
      </c>
      <c r="Z261" s="531">
        <f>X136</f>
        <v>2.2999999999999998</v>
      </c>
      <c r="AE261" s="514"/>
    </row>
    <row r="262" spans="1:31" ht="13" x14ac:dyDescent="0.3">
      <c r="A262" s="948"/>
      <c r="B262" s="532">
        <v>16</v>
      </c>
      <c r="C262" s="532">
        <f>C171</f>
        <v>20</v>
      </c>
      <c r="D262" s="532">
        <f t="shared" ref="D262:F262" si="89">D171</f>
        <v>0.3</v>
      </c>
      <c r="E262" s="532">
        <f t="shared" si="89"/>
        <v>0.2</v>
      </c>
      <c r="F262" s="532">
        <f t="shared" si="89"/>
        <v>0</v>
      </c>
      <c r="G262" s="532">
        <f>G171</f>
        <v>4.9999999999999989E-2</v>
      </c>
      <c r="I262" s="948"/>
      <c r="J262" s="532">
        <v>16</v>
      </c>
      <c r="K262" s="532">
        <f>J171</f>
        <v>40</v>
      </c>
      <c r="L262" s="532">
        <f>K171</f>
        <v>-2.2999999999999998</v>
      </c>
      <c r="M262" s="532">
        <f>L171</f>
        <v>-1.4</v>
      </c>
      <c r="N262" s="532">
        <f>M171</f>
        <v>0</v>
      </c>
      <c r="O262" s="532">
        <f>N171</f>
        <v>0.44999999999999996</v>
      </c>
      <c r="Q262" s="948"/>
      <c r="R262" s="532">
        <v>16</v>
      </c>
      <c r="S262" s="532">
        <f>Q171</f>
        <v>970</v>
      </c>
      <c r="T262" s="532">
        <f>R171</f>
        <v>4.5</v>
      </c>
      <c r="U262" s="532" t="str">
        <f>S171</f>
        <v>-</v>
      </c>
      <c r="V262" s="532">
        <f>T171</f>
        <v>0</v>
      </c>
      <c r="W262" s="533">
        <f>U171</f>
        <v>0</v>
      </c>
      <c r="Y262" s="530">
        <v>14</v>
      </c>
      <c r="Z262" s="531">
        <f>X147</f>
        <v>2.7</v>
      </c>
      <c r="AE262" s="514"/>
    </row>
    <row r="263" spans="1:31" ht="13" x14ac:dyDescent="0.3">
      <c r="A263" s="948"/>
      <c r="B263" s="532">
        <v>17</v>
      </c>
      <c r="C263" s="532">
        <f>C182</f>
        <v>20</v>
      </c>
      <c r="D263" s="532">
        <f t="shared" ref="D263:F263" si="90">D182</f>
        <v>0.4</v>
      </c>
      <c r="E263" s="532">
        <f t="shared" si="90"/>
        <v>0.1</v>
      </c>
      <c r="F263" s="532">
        <f t="shared" si="90"/>
        <v>0</v>
      </c>
      <c r="G263" s="532">
        <f>G182</f>
        <v>0.15000000000000002</v>
      </c>
      <c r="I263" s="948"/>
      <c r="J263" s="532">
        <v>17</v>
      </c>
      <c r="K263" s="532">
        <f>J182</f>
        <v>40</v>
      </c>
      <c r="L263" s="532">
        <f>K182</f>
        <v>-2.4</v>
      </c>
      <c r="M263" s="532">
        <f>L182</f>
        <v>0.2</v>
      </c>
      <c r="N263" s="532">
        <f>M182</f>
        <v>0</v>
      </c>
      <c r="O263" s="532">
        <f>N182</f>
        <v>1.3</v>
      </c>
      <c r="Q263" s="948"/>
      <c r="R263" s="532">
        <v>17</v>
      </c>
      <c r="S263" s="532">
        <f>Q182</f>
        <v>970</v>
      </c>
      <c r="T263" s="532">
        <f>R182</f>
        <v>4.5999999999999996</v>
      </c>
      <c r="U263" s="532">
        <f>S182</f>
        <v>-0.6</v>
      </c>
      <c r="V263" s="532">
        <f>T182</f>
        <v>0</v>
      </c>
      <c r="W263" s="533">
        <f>U182</f>
        <v>2.5999999999999996</v>
      </c>
      <c r="Y263" s="530">
        <v>15</v>
      </c>
      <c r="Z263" s="531">
        <f>X158</f>
        <v>2.6</v>
      </c>
      <c r="AE263" s="514"/>
    </row>
    <row r="264" spans="1:31" ht="13" x14ac:dyDescent="0.3">
      <c r="A264" s="948"/>
      <c r="B264" s="532">
        <v>18</v>
      </c>
      <c r="C264" s="532">
        <f>C193</f>
        <v>20</v>
      </c>
      <c r="D264" s="532">
        <f t="shared" ref="D264:F264" si="91">D193</f>
        <v>0.2</v>
      </c>
      <c r="E264" s="532">
        <f t="shared" si="91"/>
        <v>-0.1</v>
      </c>
      <c r="F264" s="532">
        <f t="shared" si="91"/>
        <v>0</v>
      </c>
      <c r="G264" s="532">
        <f>G193</f>
        <v>0.15000000000000002</v>
      </c>
      <c r="I264" s="948"/>
      <c r="J264" s="532">
        <v>18</v>
      </c>
      <c r="K264" s="532">
        <f>J193</f>
        <v>40</v>
      </c>
      <c r="L264" s="532">
        <f>K193</f>
        <v>-2.9</v>
      </c>
      <c r="M264" s="532">
        <f>L193</f>
        <v>-0.2</v>
      </c>
      <c r="N264" s="532">
        <f>M193</f>
        <v>0</v>
      </c>
      <c r="O264" s="532">
        <f>N193</f>
        <v>1.3499999999999999</v>
      </c>
      <c r="Q264" s="948"/>
      <c r="R264" s="532">
        <v>18</v>
      </c>
      <c r="S264" s="532">
        <f>Q193</f>
        <v>970</v>
      </c>
      <c r="T264" s="532">
        <f>R193</f>
        <v>4.5</v>
      </c>
      <c r="U264" s="532" t="str">
        <f>S193</f>
        <v>-</v>
      </c>
      <c r="V264" s="532">
        <f>T193</f>
        <v>0</v>
      </c>
      <c r="W264" s="533">
        <f>U193</f>
        <v>0</v>
      </c>
      <c r="Y264" s="530">
        <v>16</v>
      </c>
      <c r="Z264" s="531">
        <f>X169</f>
        <v>2.2999999999999998</v>
      </c>
      <c r="AE264" s="514"/>
    </row>
    <row r="265" spans="1:31" ht="13" x14ac:dyDescent="0.3">
      <c r="A265" s="948"/>
      <c r="B265" s="532">
        <v>19</v>
      </c>
      <c r="C265" s="532">
        <f>C204</f>
        <v>20</v>
      </c>
      <c r="D265" s="532">
        <f t="shared" ref="D265:F265" si="92">D204</f>
        <v>0.1</v>
      </c>
      <c r="E265" s="532" t="str">
        <f t="shared" si="92"/>
        <v>-</v>
      </c>
      <c r="F265" s="532">
        <f t="shared" si="92"/>
        <v>0</v>
      </c>
      <c r="G265" s="532">
        <f>G204</f>
        <v>0</v>
      </c>
      <c r="I265" s="948"/>
      <c r="J265" s="532">
        <v>19</v>
      </c>
      <c r="K265" s="532">
        <f>J204</f>
        <v>40</v>
      </c>
      <c r="L265" s="532">
        <f>K204</f>
        <v>-0.8</v>
      </c>
      <c r="M265" s="532" t="str">
        <f>L204</f>
        <v>-</v>
      </c>
      <c r="N265" s="532">
        <f>M204</f>
        <v>0</v>
      </c>
      <c r="O265" s="532">
        <f>N204</f>
        <v>0</v>
      </c>
      <c r="Q265" s="948"/>
      <c r="R265" s="532">
        <v>19</v>
      </c>
      <c r="S265" s="532">
        <f>Q204</f>
        <v>800</v>
      </c>
      <c r="T265" s="532">
        <f>R204</f>
        <v>2.5</v>
      </c>
      <c r="U265" s="532" t="str">
        <f>S204</f>
        <v>-</v>
      </c>
      <c r="V265" s="532">
        <f>T204</f>
        <v>0</v>
      </c>
      <c r="W265" s="533">
        <f>U204</f>
        <v>0</v>
      </c>
      <c r="Y265" s="530">
        <v>17</v>
      </c>
      <c r="Z265" s="531">
        <f>X180</f>
        <v>2.2999999999999998</v>
      </c>
      <c r="AE265" s="514"/>
    </row>
    <row r="266" spans="1:31" ht="13.5" thickBot="1" x14ac:dyDescent="0.35">
      <c r="A266" s="948"/>
      <c r="B266" s="532">
        <v>20</v>
      </c>
      <c r="C266" s="532">
        <f>C215</f>
        <v>19.7</v>
      </c>
      <c r="D266" s="532">
        <f t="shared" ref="D266:F266" si="93">D215</f>
        <v>9.9999999999999995E-7</v>
      </c>
      <c r="E266" s="532" t="str">
        <f t="shared" si="93"/>
        <v>-</v>
      </c>
      <c r="F266" s="532">
        <f t="shared" si="93"/>
        <v>9.9999999999999995E-7</v>
      </c>
      <c r="G266" s="532">
        <f>G215</f>
        <v>0</v>
      </c>
      <c r="I266" s="948"/>
      <c r="J266" s="532">
        <v>20</v>
      </c>
      <c r="K266" s="532">
        <f>J215</f>
        <v>54.3</v>
      </c>
      <c r="L266" s="532">
        <f>K215</f>
        <v>9.9999999999999995E-7</v>
      </c>
      <c r="M266" s="532" t="str">
        <f>L215</f>
        <v>-</v>
      </c>
      <c r="N266" s="532">
        <f>M215</f>
        <v>0</v>
      </c>
      <c r="O266" s="532">
        <f>N215</f>
        <v>0</v>
      </c>
      <c r="Q266" s="950"/>
      <c r="R266" s="541">
        <v>20</v>
      </c>
      <c r="S266" s="541">
        <f>Q215</f>
        <v>800</v>
      </c>
      <c r="T266" s="541" t="str">
        <f>R215</f>
        <v>-</v>
      </c>
      <c r="U266" s="541" t="str">
        <f>S215</f>
        <v>-</v>
      </c>
      <c r="V266" s="541">
        <f>T215</f>
        <v>0</v>
      </c>
      <c r="W266" s="555">
        <f>U215</f>
        <v>0</v>
      </c>
      <c r="Y266" s="530">
        <v>18</v>
      </c>
      <c r="Z266" s="531">
        <f>X191</f>
        <v>2.2999999999999998</v>
      </c>
      <c r="AE266" s="545"/>
    </row>
    <row r="267" spans="1:31" ht="13.5" thickBot="1" x14ac:dyDescent="0.35">
      <c r="A267" s="470"/>
      <c r="B267" s="470"/>
      <c r="C267" s="470"/>
      <c r="D267" s="470"/>
      <c r="E267" s="470"/>
      <c r="F267" s="463"/>
      <c r="G267" s="470"/>
      <c r="I267" s="470"/>
      <c r="J267" s="470"/>
      <c r="K267" s="470"/>
      <c r="L267" s="470"/>
      <c r="M267" s="470"/>
      <c r="N267" s="463"/>
      <c r="O267" s="470"/>
      <c r="Q267" s="556"/>
      <c r="R267" s="546"/>
      <c r="S267" s="131"/>
      <c r="T267" s="131"/>
      <c r="U267" s="131"/>
      <c r="W267" s="132"/>
      <c r="Y267" s="530">
        <v>19</v>
      </c>
      <c r="Z267" s="538">
        <f>X202</f>
        <v>1.5</v>
      </c>
      <c r="AE267" s="514"/>
    </row>
    <row r="268" spans="1:31" ht="13.5" thickBot="1" x14ac:dyDescent="0.35">
      <c r="A268" s="948">
        <v>3</v>
      </c>
      <c r="B268" s="532">
        <v>1</v>
      </c>
      <c r="C268" s="532">
        <f>C7</f>
        <v>25</v>
      </c>
      <c r="D268" s="532">
        <f t="shared" ref="D268:F268" si="94">D7</f>
        <v>9.9999999999999995E-7</v>
      </c>
      <c r="E268" s="532">
        <f t="shared" si="94"/>
        <v>0.1</v>
      </c>
      <c r="F268" s="532">
        <f t="shared" si="94"/>
        <v>0</v>
      </c>
      <c r="G268" s="532">
        <f>G7</f>
        <v>0.05</v>
      </c>
      <c r="I268" s="948">
        <v>3</v>
      </c>
      <c r="J268" s="532">
        <v>1</v>
      </c>
      <c r="K268" s="532">
        <f>J7</f>
        <v>50</v>
      </c>
      <c r="L268" s="532">
        <f>K7</f>
        <v>-5.8</v>
      </c>
      <c r="M268" s="532">
        <f>L7</f>
        <v>-7.2</v>
      </c>
      <c r="N268" s="532">
        <f>M7</f>
        <v>0</v>
      </c>
      <c r="O268" s="532">
        <f>N7</f>
        <v>0.70000000000000018</v>
      </c>
      <c r="Q268" s="949">
        <v>3</v>
      </c>
      <c r="R268" s="550">
        <v>1</v>
      </c>
      <c r="S268" s="550">
        <f>Q7</f>
        <v>850</v>
      </c>
      <c r="T268" s="550" t="str">
        <f>R7</f>
        <v>-</v>
      </c>
      <c r="U268" s="550" t="str">
        <f>S7</f>
        <v>-</v>
      </c>
      <c r="V268" s="550">
        <f>T7</f>
        <v>0</v>
      </c>
      <c r="W268" s="557">
        <f>U7</f>
        <v>0</v>
      </c>
      <c r="Y268" s="539">
        <v>20</v>
      </c>
      <c r="Z268" s="540">
        <f>X213</f>
        <v>0</v>
      </c>
      <c r="AE268" s="553"/>
    </row>
    <row r="269" spans="1:31" ht="13" x14ac:dyDescent="0.3">
      <c r="A269" s="948"/>
      <c r="B269" s="532">
        <v>2</v>
      </c>
      <c r="C269" s="532">
        <f>C18</f>
        <v>25</v>
      </c>
      <c r="D269" s="532">
        <f t="shared" ref="D269:F269" si="95">D18</f>
        <v>0.3</v>
      </c>
      <c r="E269" s="532">
        <f t="shared" si="95"/>
        <v>0.5</v>
      </c>
      <c r="F269" s="532">
        <f t="shared" si="95"/>
        <v>-0.2</v>
      </c>
      <c r="G269" s="532">
        <f>G18</f>
        <v>0.35</v>
      </c>
      <c r="I269" s="948"/>
      <c r="J269" s="532">
        <v>2</v>
      </c>
      <c r="K269" s="532">
        <f>J18</f>
        <v>50</v>
      </c>
      <c r="L269" s="532">
        <f>K18</f>
        <v>-8</v>
      </c>
      <c r="M269" s="532">
        <f>L18</f>
        <v>-5.3</v>
      </c>
      <c r="N269" s="532">
        <f>M18</f>
        <v>-1.5</v>
      </c>
      <c r="O269" s="532">
        <f>N18</f>
        <v>3.25</v>
      </c>
      <c r="Q269" s="948"/>
      <c r="R269" s="532">
        <v>2</v>
      </c>
      <c r="S269" s="532">
        <f>Q18</f>
        <v>850</v>
      </c>
      <c r="T269" s="532" t="str">
        <f>R18</f>
        <v>-</v>
      </c>
      <c r="U269" s="532" t="str">
        <f>S18</f>
        <v>-</v>
      </c>
      <c r="V269" s="532">
        <f>T18</f>
        <v>0</v>
      </c>
      <c r="W269" s="533">
        <f>U18</f>
        <v>0</v>
      </c>
      <c r="AE269" s="514"/>
    </row>
    <row r="270" spans="1:31" ht="13.5" thickBot="1" x14ac:dyDescent="0.35">
      <c r="A270" s="948"/>
      <c r="B270" s="532">
        <v>3</v>
      </c>
      <c r="C270" s="532">
        <f>C29</f>
        <v>25</v>
      </c>
      <c r="D270" s="532">
        <f t="shared" ref="D270:F270" si="96">D29</f>
        <v>0.3</v>
      </c>
      <c r="E270" s="532">
        <f t="shared" si="96"/>
        <v>0.7</v>
      </c>
      <c r="F270" s="532">
        <f t="shared" si="96"/>
        <v>-0.1</v>
      </c>
      <c r="G270" s="532">
        <f>G29</f>
        <v>0.39999999999999997</v>
      </c>
      <c r="I270" s="948"/>
      <c r="J270" s="532">
        <v>3</v>
      </c>
      <c r="K270" s="532">
        <f>J29</f>
        <v>50</v>
      </c>
      <c r="L270" s="532">
        <f>K29</f>
        <v>-7.9</v>
      </c>
      <c r="M270" s="532">
        <f>L29</f>
        <v>-4.5</v>
      </c>
      <c r="N270" s="532">
        <f>M29</f>
        <v>-4.9000000000000004</v>
      </c>
      <c r="O270" s="532">
        <f>N29</f>
        <v>1.7000000000000002</v>
      </c>
      <c r="Q270" s="948"/>
      <c r="R270" s="532">
        <v>3</v>
      </c>
      <c r="S270" s="532">
        <f>Q29</f>
        <v>850</v>
      </c>
      <c r="T270" s="532" t="str">
        <f>R29</f>
        <v>-</v>
      </c>
      <c r="U270" s="532" t="str">
        <f>S29</f>
        <v>-</v>
      </c>
      <c r="V270" s="532">
        <f>T29</f>
        <v>0</v>
      </c>
      <c r="W270" s="533">
        <f>U29</f>
        <v>0</v>
      </c>
      <c r="AE270" s="514"/>
    </row>
    <row r="271" spans="1:31" ht="13" x14ac:dyDescent="0.3">
      <c r="A271" s="948"/>
      <c r="B271" s="532">
        <v>4</v>
      </c>
      <c r="C271" s="532">
        <f>C40</f>
        <v>25</v>
      </c>
      <c r="D271" s="532">
        <f t="shared" ref="D271:F271" si="97">D40</f>
        <v>-0.1</v>
      </c>
      <c r="E271" s="532">
        <f t="shared" si="97"/>
        <v>-0.5</v>
      </c>
      <c r="F271" s="532">
        <f t="shared" si="97"/>
        <v>0</v>
      </c>
      <c r="G271" s="532">
        <f>G40</f>
        <v>0.2</v>
      </c>
      <c r="I271" s="948"/>
      <c r="J271" s="532">
        <v>4</v>
      </c>
      <c r="K271" s="532">
        <f>J40</f>
        <v>50</v>
      </c>
      <c r="L271" s="532">
        <f>K40</f>
        <v>-4.3</v>
      </c>
      <c r="M271" s="532">
        <f>L40</f>
        <v>-1</v>
      </c>
      <c r="N271" s="532">
        <f>M40</f>
        <v>0</v>
      </c>
      <c r="O271" s="532">
        <f>N40</f>
        <v>1.65</v>
      </c>
      <c r="Q271" s="948"/>
      <c r="R271" s="532">
        <v>4</v>
      </c>
      <c r="S271" s="532">
        <f>Q40</f>
        <v>850</v>
      </c>
      <c r="T271" s="532" t="str">
        <f>R40</f>
        <v>-</v>
      </c>
      <c r="U271" s="532" t="str">
        <f>S40</f>
        <v>-</v>
      </c>
      <c r="V271" s="532">
        <f>T40</f>
        <v>0</v>
      </c>
      <c r="W271" s="533">
        <f>U40</f>
        <v>0</v>
      </c>
      <c r="Y271" s="938" t="s">
        <v>240</v>
      </c>
      <c r="Z271" s="939"/>
      <c r="AE271" s="514"/>
    </row>
    <row r="272" spans="1:31" ht="13" x14ac:dyDescent="0.3">
      <c r="A272" s="948"/>
      <c r="B272" s="532">
        <v>5</v>
      </c>
      <c r="C272" s="532">
        <f>C51</f>
        <v>25</v>
      </c>
      <c r="D272" s="532">
        <f t="shared" ref="D272:F272" si="98">D51</f>
        <v>0.4</v>
      </c>
      <c r="E272" s="532">
        <f t="shared" si="98"/>
        <v>0.4</v>
      </c>
      <c r="F272" s="532">
        <f t="shared" si="98"/>
        <v>0.2</v>
      </c>
      <c r="G272" s="532">
        <f>G51</f>
        <v>0.1</v>
      </c>
      <c r="I272" s="948"/>
      <c r="J272" s="532">
        <v>5</v>
      </c>
      <c r="K272" s="532">
        <f>J51</f>
        <v>50</v>
      </c>
      <c r="L272" s="532">
        <f>K51</f>
        <v>-8.8000000000000007</v>
      </c>
      <c r="M272" s="532">
        <f>L51</f>
        <v>-6.2</v>
      </c>
      <c r="N272" s="532">
        <f>M51</f>
        <v>-6.2</v>
      </c>
      <c r="O272" s="532">
        <f>N51</f>
        <v>1.3000000000000003</v>
      </c>
      <c r="Q272" s="948"/>
      <c r="R272" s="532">
        <v>5</v>
      </c>
      <c r="S272" s="532">
        <f>Q51</f>
        <v>850</v>
      </c>
      <c r="T272" s="532" t="str">
        <f>R51</f>
        <v>-</v>
      </c>
      <c r="U272" s="532" t="str">
        <f>S51</f>
        <v>-</v>
      </c>
      <c r="V272" s="532">
        <f>T51</f>
        <v>0</v>
      </c>
      <c r="W272" s="533">
        <f>U51</f>
        <v>0</v>
      </c>
      <c r="Y272" s="945" t="s">
        <v>352</v>
      </c>
      <c r="Z272" s="946"/>
      <c r="AE272" s="514"/>
    </row>
    <row r="273" spans="1:31" ht="13" x14ac:dyDescent="0.3">
      <c r="A273" s="948"/>
      <c r="B273" s="532">
        <v>6</v>
      </c>
      <c r="C273" s="532">
        <f>C62</f>
        <v>25</v>
      </c>
      <c r="D273" s="532">
        <f t="shared" ref="D273:F273" si="99">D62</f>
        <v>0.2</v>
      </c>
      <c r="E273" s="532">
        <f t="shared" si="99"/>
        <v>-0.1</v>
      </c>
      <c r="F273" s="532">
        <f t="shared" si="99"/>
        <v>0</v>
      </c>
      <c r="G273" s="532">
        <f>G62</f>
        <v>0.15000000000000002</v>
      </c>
      <c r="I273" s="948"/>
      <c r="J273" s="532">
        <v>6</v>
      </c>
      <c r="K273" s="532">
        <f>J62</f>
        <v>50</v>
      </c>
      <c r="L273" s="532">
        <f>K62</f>
        <v>-5.4</v>
      </c>
      <c r="M273" s="532">
        <f>L62</f>
        <v>1.2</v>
      </c>
      <c r="N273" s="532">
        <f>M62</f>
        <v>0</v>
      </c>
      <c r="O273" s="532">
        <f>N62</f>
        <v>3.3000000000000003</v>
      </c>
      <c r="Q273" s="948"/>
      <c r="R273" s="532">
        <v>6</v>
      </c>
      <c r="S273" s="532">
        <f>Q62</f>
        <v>850</v>
      </c>
      <c r="T273" s="532">
        <f>R62</f>
        <v>0.9</v>
      </c>
      <c r="U273" s="532">
        <f>S62</f>
        <v>1.1000000000000001</v>
      </c>
      <c r="V273" s="532">
        <f>T62</f>
        <v>0</v>
      </c>
      <c r="W273" s="533">
        <f>U62</f>
        <v>0.10000000000000003</v>
      </c>
      <c r="Y273" s="530">
        <v>1</v>
      </c>
      <c r="Z273" s="531">
        <f>X5</f>
        <v>0</v>
      </c>
      <c r="AE273" s="514"/>
    </row>
    <row r="274" spans="1:31" ht="13" x14ac:dyDescent="0.3">
      <c r="A274" s="948"/>
      <c r="B274" s="532">
        <v>7</v>
      </c>
      <c r="C274" s="532">
        <f>C73</f>
        <v>25</v>
      </c>
      <c r="D274" s="532">
        <f t="shared" ref="D274:F274" si="100">D73</f>
        <v>-0.1</v>
      </c>
      <c r="E274" s="532">
        <f t="shared" si="100"/>
        <v>9.9999999999999995E-7</v>
      </c>
      <c r="F274" s="532">
        <f t="shared" si="100"/>
        <v>-0.2</v>
      </c>
      <c r="G274" s="532">
        <f>G73</f>
        <v>0.10000050000000001</v>
      </c>
      <c r="I274" s="948"/>
      <c r="J274" s="532">
        <v>7</v>
      </c>
      <c r="K274" s="532">
        <f>J73</f>
        <v>50</v>
      </c>
      <c r="L274" s="532">
        <f>K73</f>
        <v>-2.1</v>
      </c>
      <c r="M274" s="532">
        <f>L73</f>
        <v>-1.9</v>
      </c>
      <c r="N274" s="532">
        <f>M73</f>
        <v>0.8</v>
      </c>
      <c r="O274" s="532">
        <f>N73</f>
        <v>1.4500000000000002</v>
      </c>
      <c r="Q274" s="948"/>
      <c r="R274" s="532">
        <v>7</v>
      </c>
      <c r="S274" s="532">
        <f>Q73</f>
        <v>980</v>
      </c>
      <c r="T274" s="532">
        <f>R73</f>
        <v>0.5</v>
      </c>
      <c r="U274" s="532" t="str">
        <f>S73</f>
        <v>-</v>
      </c>
      <c r="V274" s="532" t="str">
        <f>T73</f>
        <v>-</v>
      </c>
      <c r="W274" s="533">
        <f>U73</f>
        <v>0</v>
      </c>
      <c r="Y274" s="534">
        <v>2</v>
      </c>
      <c r="Z274" s="531">
        <f>X16</f>
        <v>0</v>
      </c>
      <c r="AE274" s="514"/>
    </row>
    <row r="275" spans="1:31" ht="13" x14ac:dyDescent="0.3">
      <c r="A275" s="948"/>
      <c r="B275" s="532">
        <v>8</v>
      </c>
      <c r="C275" s="532">
        <f>C84</f>
        <v>25</v>
      </c>
      <c r="D275" s="532">
        <f t="shared" ref="D275:F275" si="101">D84</f>
        <v>-0.1</v>
      </c>
      <c r="E275" s="532">
        <f t="shared" si="101"/>
        <v>-0.4</v>
      </c>
      <c r="F275" s="532">
        <f t="shared" si="101"/>
        <v>0</v>
      </c>
      <c r="G275" s="532">
        <f>G84</f>
        <v>0.15000000000000002</v>
      </c>
      <c r="I275" s="948"/>
      <c r="J275" s="532">
        <v>8</v>
      </c>
      <c r="K275" s="532">
        <f>J84</f>
        <v>50</v>
      </c>
      <c r="L275" s="532">
        <f>K84</f>
        <v>-3.8</v>
      </c>
      <c r="M275" s="532">
        <f>L84</f>
        <v>-1.2</v>
      </c>
      <c r="N275" s="532">
        <f>M84</f>
        <v>0</v>
      </c>
      <c r="O275" s="532">
        <f>N84</f>
        <v>1.2999999999999998</v>
      </c>
      <c r="Q275" s="948"/>
      <c r="R275" s="532">
        <v>8</v>
      </c>
      <c r="S275" s="532">
        <f>Q84</f>
        <v>850</v>
      </c>
      <c r="T275" s="532">
        <f>R84</f>
        <v>9.9999999999999995E-7</v>
      </c>
      <c r="U275" s="532">
        <f>S84</f>
        <v>9.9999999999999995E-7</v>
      </c>
      <c r="V275" s="532">
        <f>T84</f>
        <v>0</v>
      </c>
      <c r="W275" s="533">
        <f>U84</f>
        <v>0</v>
      </c>
      <c r="Y275" s="534">
        <v>3</v>
      </c>
      <c r="Z275" s="535">
        <f>X27</f>
        <v>0</v>
      </c>
      <c r="AE275" s="514"/>
    </row>
    <row r="276" spans="1:31" ht="13" x14ac:dyDescent="0.3">
      <c r="A276" s="948"/>
      <c r="B276" s="532">
        <v>9</v>
      </c>
      <c r="C276" s="532">
        <f>C95</f>
        <v>25</v>
      </c>
      <c r="D276" s="532">
        <f t="shared" ref="D276:F276" si="102">D95</f>
        <v>-0.4</v>
      </c>
      <c r="E276" s="532" t="str">
        <f t="shared" si="102"/>
        <v>-</v>
      </c>
      <c r="F276" s="532">
        <f t="shared" si="102"/>
        <v>0</v>
      </c>
      <c r="G276" s="532">
        <f>G95</f>
        <v>0</v>
      </c>
      <c r="I276" s="948"/>
      <c r="J276" s="532">
        <v>9</v>
      </c>
      <c r="K276" s="532">
        <f>J95</f>
        <v>50</v>
      </c>
      <c r="L276" s="532">
        <f>K95</f>
        <v>-0.9</v>
      </c>
      <c r="M276" s="532" t="str">
        <f>L95</f>
        <v>-</v>
      </c>
      <c r="N276" s="532">
        <f>M95</f>
        <v>0</v>
      </c>
      <c r="O276" s="532">
        <f>N95</f>
        <v>0</v>
      </c>
      <c r="Q276" s="948"/>
      <c r="R276" s="532">
        <v>9</v>
      </c>
      <c r="S276" s="532">
        <f>Q95</f>
        <v>850</v>
      </c>
      <c r="T276" s="532">
        <f>R95</f>
        <v>9.9999999999999995E-7</v>
      </c>
      <c r="U276" s="532" t="str">
        <f>S95</f>
        <v>-</v>
      </c>
      <c r="V276" s="532">
        <f>T95</f>
        <v>0</v>
      </c>
      <c r="W276" s="533">
        <f>U95</f>
        <v>0</v>
      </c>
      <c r="Y276" s="534">
        <v>4</v>
      </c>
      <c r="Z276" s="535">
        <f>X38</f>
        <v>0</v>
      </c>
      <c r="AE276" s="514"/>
    </row>
    <row r="277" spans="1:31" ht="13" x14ac:dyDescent="0.3">
      <c r="A277" s="948"/>
      <c r="B277" s="532">
        <v>10</v>
      </c>
      <c r="C277" s="532">
        <f>C106</f>
        <v>25</v>
      </c>
      <c r="D277" s="532">
        <f t="shared" ref="D277:F277" si="103">D106</f>
        <v>0.1</v>
      </c>
      <c r="E277" s="532">
        <f t="shared" si="103"/>
        <v>-0.5</v>
      </c>
      <c r="F277" s="532">
        <f t="shared" si="103"/>
        <v>0</v>
      </c>
      <c r="G277" s="532">
        <f>G106</f>
        <v>0.3</v>
      </c>
      <c r="I277" s="948"/>
      <c r="J277" s="532">
        <v>10</v>
      </c>
      <c r="K277" s="532">
        <f>J106</f>
        <v>50</v>
      </c>
      <c r="L277" s="532">
        <f>K106</f>
        <v>-3.1</v>
      </c>
      <c r="M277" s="532">
        <f>L106</f>
        <v>-6.1</v>
      </c>
      <c r="N277" s="532">
        <f>M106</f>
        <v>0</v>
      </c>
      <c r="O277" s="532">
        <f>N106</f>
        <v>1.4999999999999998</v>
      </c>
      <c r="Q277" s="948"/>
      <c r="R277" s="532">
        <v>10</v>
      </c>
      <c r="S277" s="532">
        <f>Q106</f>
        <v>850</v>
      </c>
      <c r="T277" s="532" t="str">
        <f>R106</f>
        <v>-</v>
      </c>
      <c r="U277" s="532" t="str">
        <f>S106</f>
        <v>-</v>
      </c>
      <c r="V277" s="532">
        <f>T106</f>
        <v>0</v>
      </c>
      <c r="W277" s="533">
        <f>U106</f>
        <v>0</v>
      </c>
      <c r="Y277" s="534">
        <v>5</v>
      </c>
      <c r="Z277" s="535">
        <f>X49</f>
        <v>0</v>
      </c>
      <c r="AE277" s="514"/>
    </row>
    <row r="278" spans="1:31" ht="13" x14ac:dyDescent="0.3">
      <c r="A278" s="948"/>
      <c r="B278" s="532">
        <v>11</v>
      </c>
      <c r="C278" s="532">
        <f>C117</f>
        <v>25</v>
      </c>
      <c r="D278" s="532">
        <f t="shared" ref="D278:F278" si="104">D117</f>
        <v>0.4</v>
      </c>
      <c r="E278" s="532">
        <f t="shared" si="104"/>
        <v>0.5</v>
      </c>
      <c r="F278" s="532">
        <f t="shared" si="104"/>
        <v>0</v>
      </c>
      <c r="G278" s="532">
        <f>G117</f>
        <v>4.9999999999999989E-2</v>
      </c>
      <c r="I278" s="948"/>
      <c r="J278" s="532">
        <v>11</v>
      </c>
      <c r="K278" s="532">
        <f>J117</f>
        <v>50</v>
      </c>
      <c r="L278" s="532">
        <f>K117</f>
        <v>-5.5</v>
      </c>
      <c r="M278" s="532">
        <f>L117</f>
        <v>-5.6</v>
      </c>
      <c r="N278" s="532">
        <f>M117</f>
        <v>0</v>
      </c>
      <c r="O278" s="532">
        <f>N117</f>
        <v>4.9999999999999822E-2</v>
      </c>
      <c r="Q278" s="948"/>
      <c r="R278" s="532">
        <v>11</v>
      </c>
      <c r="S278" s="532">
        <f>Q117</f>
        <v>850</v>
      </c>
      <c r="T278" s="532" t="str">
        <f>R117</f>
        <v>-</v>
      </c>
      <c r="U278" s="532" t="str">
        <f>S117</f>
        <v>-</v>
      </c>
      <c r="V278" s="532">
        <f>T117</f>
        <v>0</v>
      </c>
      <c r="W278" s="533">
        <f>U117</f>
        <v>0</v>
      </c>
      <c r="Y278" s="530">
        <v>6</v>
      </c>
      <c r="Z278" s="531">
        <f>X60</f>
        <v>1.6</v>
      </c>
      <c r="AE278" s="514"/>
    </row>
    <row r="279" spans="1:31" ht="13" x14ac:dyDescent="0.3">
      <c r="A279" s="948"/>
      <c r="B279" s="532">
        <v>12</v>
      </c>
      <c r="C279" s="532">
        <f>C128</f>
        <v>25</v>
      </c>
      <c r="D279" s="532">
        <f t="shared" ref="D279:F279" si="105">D128</f>
        <v>9.9999999999999995E-7</v>
      </c>
      <c r="E279" s="532" t="str">
        <f t="shared" si="105"/>
        <v>-</v>
      </c>
      <c r="F279" s="532">
        <f t="shared" si="105"/>
        <v>0</v>
      </c>
      <c r="G279" s="532">
        <f>G128</f>
        <v>0</v>
      </c>
      <c r="I279" s="948"/>
      <c r="J279" s="532">
        <v>12</v>
      </c>
      <c r="K279" s="532">
        <f>J128</f>
        <v>50</v>
      </c>
      <c r="L279" s="532">
        <f>K128</f>
        <v>9.9999999999999995E-7</v>
      </c>
      <c r="M279" s="532" t="str">
        <f>L128</f>
        <v>-</v>
      </c>
      <c r="N279" s="532">
        <f>M128</f>
        <v>0</v>
      </c>
      <c r="O279" s="532">
        <f>N128</f>
        <v>0</v>
      </c>
      <c r="Q279" s="948"/>
      <c r="R279" s="532">
        <v>12</v>
      </c>
      <c r="S279" s="532">
        <f>Q128</f>
        <v>900</v>
      </c>
      <c r="T279" s="532">
        <f>R128</f>
        <v>-0.6</v>
      </c>
      <c r="U279" s="532" t="str">
        <f>S128</f>
        <v>-</v>
      </c>
      <c r="V279" s="532">
        <f>T128</f>
        <v>0</v>
      </c>
      <c r="W279" s="533">
        <f>U128</f>
        <v>0</v>
      </c>
      <c r="Y279" s="530">
        <v>7</v>
      </c>
      <c r="Z279" s="531">
        <f>X71</f>
        <v>2</v>
      </c>
      <c r="AE279" s="514"/>
    </row>
    <row r="280" spans="1:31" ht="13" x14ac:dyDescent="0.3">
      <c r="A280" s="948"/>
      <c r="B280" s="532">
        <v>13</v>
      </c>
      <c r="C280" s="532">
        <f>C139</f>
        <v>25</v>
      </c>
      <c r="D280" s="532">
        <f>E139</f>
        <v>-0.2</v>
      </c>
      <c r="E280" s="532" t="str">
        <f>F139</f>
        <v>-</v>
      </c>
      <c r="F280" s="536">
        <v>9.9999999999999995E-7</v>
      </c>
      <c r="G280" s="532">
        <f>G139</f>
        <v>0</v>
      </c>
      <c r="I280" s="948"/>
      <c r="J280" s="532">
        <v>13</v>
      </c>
      <c r="K280" s="532">
        <f>J139</f>
        <v>50</v>
      </c>
      <c r="L280" s="532">
        <f>L139</f>
        <v>-1.3</v>
      </c>
      <c r="M280" s="532" t="str">
        <f>M139</f>
        <v>-</v>
      </c>
      <c r="N280" s="536">
        <v>9.9999999999999995E-7</v>
      </c>
      <c r="O280" s="532">
        <f>N139</f>
        <v>0</v>
      </c>
      <c r="Q280" s="948"/>
      <c r="R280" s="532">
        <v>13</v>
      </c>
      <c r="S280" s="532">
        <f>Q139</f>
        <v>980</v>
      </c>
      <c r="T280" s="532">
        <f>S139</f>
        <v>1</v>
      </c>
      <c r="U280" s="532" t="str">
        <f>T139</f>
        <v>-</v>
      </c>
      <c r="V280" s="536">
        <v>9.9999999999999995E-7</v>
      </c>
      <c r="W280" s="533">
        <f>U139</f>
        <v>0</v>
      </c>
      <c r="Y280" s="530">
        <v>8</v>
      </c>
      <c r="Z280" s="531">
        <f>X82</f>
        <v>2.1</v>
      </c>
      <c r="AE280" s="514"/>
    </row>
    <row r="281" spans="1:31" ht="13" x14ac:dyDescent="0.3">
      <c r="A281" s="948"/>
      <c r="B281" s="532">
        <v>14</v>
      </c>
      <c r="C281" s="532">
        <f>C150</f>
        <v>25</v>
      </c>
      <c r="D281" s="532">
        <f>E150</f>
        <v>-0.1</v>
      </c>
      <c r="E281" s="532" t="str">
        <f>F150</f>
        <v>-</v>
      </c>
      <c r="F281" s="536">
        <v>9.9999999999999995E-7</v>
      </c>
      <c r="G281" s="532">
        <f>G150</f>
        <v>0</v>
      </c>
      <c r="I281" s="948"/>
      <c r="J281" s="532">
        <v>14</v>
      </c>
      <c r="K281" s="532">
        <f>J151</f>
        <v>60</v>
      </c>
      <c r="L281" s="532">
        <f>L151</f>
        <v>-0.6</v>
      </c>
      <c r="M281" s="532" t="str">
        <f>M151</f>
        <v>-</v>
      </c>
      <c r="N281" s="536">
        <v>9.9999999999999995E-7</v>
      </c>
      <c r="O281" s="532">
        <f>N151</f>
        <v>0</v>
      </c>
      <c r="Q281" s="948"/>
      <c r="R281" s="532">
        <v>14</v>
      </c>
      <c r="S281" s="532">
        <f>Q150</f>
        <v>980</v>
      </c>
      <c r="T281" s="532">
        <f>S150</f>
        <v>1</v>
      </c>
      <c r="U281" s="532" t="str">
        <f>T150</f>
        <v>-</v>
      </c>
      <c r="V281" s="536">
        <v>9.9999999999999995E-7</v>
      </c>
      <c r="W281" s="533">
        <f>U150</f>
        <v>0</v>
      </c>
      <c r="Y281" s="530">
        <v>9</v>
      </c>
      <c r="Z281" s="531">
        <f>X93</f>
        <v>2.2000000000000002</v>
      </c>
      <c r="AE281" s="514"/>
    </row>
    <row r="282" spans="1:31" ht="13" x14ac:dyDescent="0.3">
      <c r="A282" s="948"/>
      <c r="B282" s="532">
        <v>15</v>
      </c>
      <c r="C282" s="532">
        <f>C161</f>
        <v>25</v>
      </c>
      <c r="D282" s="532">
        <f>E161</f>
        <v>-0.4</v>
      </c>
      <c r="E282" s="532" t="str">
        <f>F161</f>
        <v>-</v>
      </c>
      <c r="F282" s="536">
        <v>9.9999999999999995E-7</v>
      </c>
      <c r="G282" s="532">
        <f>G161</f>
        <v>0</v>
      </c>
      <c r="I282" s="948"/>
      <c r="J282" s="532">
        <v>15</v>
      </c>
      <c r="K282" s="532">
        <f>J161</f>
        <v>50</v>
      </c>
      <c r="L282" s="532">
        <f>L161</f>
        <v>-0.3</v>
      </c>
      <c r="M282" s="532" t="str">
        <f>M161</f>
        <v>-</v>
      </c>
      <c r="N282" s="536">
        <v>9.9999999999999995E-7</v>
      </c>
      <c r="O282" s="532">
        <f>N161</f>
        <v>0</v>
      </c>
      <c r="Q282" s="948"/>
      <c r="R282" s="532">
        <v>15</v>
      </c>
      <c r="S282" s="532">
        <f>Q161</f>
        <v>980</v>
      </c>
      <c r="T282" s="532">
        <f>S161</f>
        <v>1</v>
      </c>
      <c r="U282" s="532" t="str">
        <f>T161</f>
        <v>-</v>
      </c>
      <c r="V282" s="536">
        <v>9.9999999999999995E-7</v>
      </c>
      <c r="W282" s="533">
        <f>U161</f>
        <v>0</v>
      </c>
      <c r="Y282" s="530">
        <v>10</v>
      </c>
      <c r="Z282" s="531">
        <f>X104</f>
        <v>0</v>
      </c>
      <c r="AE282" s="514"/>
    </row>
    <row r="283" spans="1:31" ht="13" x14ac:dyDescent="0.3">
      <c r="A283" s="948"/>
      <c r="B283" s="532">
        <v>16</v>
      </c>
      <c r="C283" s="532">
        <f>C172</f>
        <v>25</v>
      </c>
      <c r="D283" s="532">
        <f t="shared" ref="D283:F283" si="106">D172</f>
        <v>0.5</v>
      </c>
      <c r="E283" s="532">
        <f t="shared" si="106"/>
        <v>0.2</v>
      </c>
      <c r="F283" s="532">
        <f t="shared" si="106"/>
        <v>0</v>
      </c>
      <c r="G283" s="532">
        <f>G172</f>
        <v>0.15</v>
      </c>
      <c r="I283" s="948"/>
      <c r="J283" s="532">
        <v>16</v>
      </c>
      <c r="K283" s="532">
        <f>J172</f>
        <v>50</v>
      </c>
      <c r="L283" s="532">
        <f>K172</f>
        <v>-2</v>
      </c>
      <c r="M283" s="532">
        <f>L172</f>
        <v>-1.4</v>
      </c>
      <c r="N283" s="532">
        <f>M172</f>
        <v>0</v>
      </c>
      <c r="O283" s="532">
        <f>N172</f>
        <v>0.30000000000000004</v>
      </c>
      <c r="Q283" s="948"/>
      <c r="R283" s="532">
        <v>16</v>
      </c>
      <c r="S283" s="532">
        <f>Q172</f>
        <v>980</v>
      </c>
      <c r="T283" s="532">
        <f>R172</f>
        <v>4.5</v>
      </c>
      <c r="U283" s="532" t="str">
        <f>S172</f>
        <v>-</v>
      </c>
      <c r="V283" s="532">
        <f>T172</f>
        <v>0</v>
      </c>
      <c r="W283" s="533">
        <f>U172</f>
        <v>0</v>
      </c>
      <c r="Y283" s="530">
        <v>11</v>
      </c>
      <c r="Z283" s="531">
        <f>X115</f>
        <v>0</v>
      </c>
      <c r="AE283" s="514"/>
    </row>
    <row r="284" spans="1:31" ht="13" x14ac:dyDescent="0.3">
      <c r="A284" s="948"/>
      <c r="B284" s="532">
        <v>17</v>
      </c>
      <c r="C284" s="532">
        <f>C183</f>
        <v>25</v>
      </c>
      <c r="D284" s="532">
        <f t="shared" ref="D284:F284" si="107">D183</f>
        <v>0.5</v>
      </c>
      <c r="E284" s="532">
        <f t="shared" si="107"/>
        <v>0</v>
      </c>
      <c r="F284" s="532">
        <f t="shared" si="107"/>
        <v>0</v>
      </c>
      <c r="G284" s="532">
        <f>G183</f>
        <v>0.25</v>
      </c>
      <c r="I284" s="948"/>
      <c r="J284" s="532">
        <v>17</v>
      </c>
      <c r="K284" s="532">
        <f>J183</f>
        <v>50</v>
      </c>
      <c r="L284" s="532">
        <f>K183</f>
        <v>-1.9</v>
      </c>
      <c r="M284" s="532">
        <f>L183</f>
        <v>0.2</v>
      </c>
      <c r="N284" s="532">
        <f>M183</f>
        <v>0</v>
      </c>
      <c r="O284" s="532">
        <f>N183</f>
        <v>1.05</v>
      </c>
      <c r="Q284" s="948"/>
      <c r="R284" s="532">
        <v>17</v>
      </c>
      <c r="S284" s="532">
        <f>Q183</f>
        <v>980</v>
      </c>
      <c r="T284" s="532">
        <f>R183</f>
        <v>4.5999999999999996</v>
      </c>
      <c r="U284" s="532">
        <f>S183</f>
        <v>-0.6</v>
      </c>
      <c r="V284" s="532">
        <f>T183</f>
        <v>0</v>
      </c>
      <c r="W284" s="533">
        <f>U183</f>
        <v>2.5999999999999996</v>
      </c>
      <c r="Y284" s="530">
        <v>12</v>
      </c>
      <c r="Z284" s="554">
        <f>X126</f>
        <v>2.4</v>
      </c>
      <c r="AE284" s="514"/>
    </row>
    <row r="285" spans="1:31" ht="13" x14ac:dyDescent="0.3">
      <c r="A285" s="948"/>
      <c r="B285" s="532">
        <v>18</v>
      </c>
      <c r="C285" s="532">
        <f>C194</f>
        <v>25</v>
      </c>
      <c r="D285" s="532">
        <f t="shared" ref="D285:F285" si="108">D194</f>
        <v>0.2</v>
      </c>
      <c r="E285" s="532">
        <f t="shared" si="108"/>
        <v>-0.2</v>
      </c>
      <c r="F285" s="532">
        <f t="shared" si="108"/>
        <v>0</v>
      </c>
      <c r="G285" s="532">
        <f>G194</f>
        <v>0.2</v>
      </c>
      <c r="I285" s="948"/>
      <c r="J285" s="532">
        <v>18</v>
      </c>
      <c r="K285" s="532">
        <f>J194</f>
        <v>50</v>
      </c>
      <c r="L285" s="532">
        <f>K194</f>
        <v>-2.4</v>
      </c>
      <c r="M285" s="532">
        <f>L194</f>
        <v>-0.2</v>
      </c>
      <c r="N285" s="532">
        <f>M194</f>
        <v>0</v>
      </c>
      <c r="O285" s="532">
        <f>N194</f>
        <v>1.0999999999999999</v>
      </c>
      <c r="Q285" s="948"/>
      <c r="R285" s="532">
        <v>18</v>
      </c>
      <c r="S285" s="532">
        <f>Q194</f>
        <v>980</v>
      </c>
      <c r="T285" s="532">
        <f>R194</f>
        <v>4.5</v>
      </c>
      <c r="U285" s="532" t="str">
        <f>S194</f>
        <v>-</v>
      </c>
      <c r="V285" s="532">
        <f>T194</f>
        <v>0</v>
      </c>
      <c r="W285" s="533">
        <f>U194</f>
        <v>0</v>
      </c>
      <c r="Y285" s="530">
        <v>13</v>
      </c>
      <c r="Z285" s="531">
        <f>X137</f>
        <v>2.4</v>
      </c>
      <c r="AE285" s="514"/>
    </row>
    <row r="286" spans="1:31" ht="13" x14ac:dyDescent="0.3">
      <c r="A286" s="948"/>
      <c r="B286" s="532">
        <v>19</v>
      </c>
      <c r="C286" s="532">
        <f>C194</f>
        <v>25</v>
      </c>
      <c r="D286" s="532">
        <f t="shared" ref="D286:F286" si="109">D194</f>
        <v>0.2</v>
      </c>
      <c r="E286" s="532">
        <f t="shared" si="109"/>
        <v>-0.2</v>
      </c>
      <c r="F286" s="532">
        <f t="shared" si="109"/>
        <v>0</v>
      </c>
      <c r="G286" s="532">
        <f>G194</f>
        <v>0.2</v>
      </c>
      <c r="I286" s="948"/>
      <c r="J286" s="532">
        <v>19</v>
      </c>
      <c r="K286" s="532">
        <f>J205</f>
        <v>50</v>
      </c>
      <c r="L286" s="532">
        <f>K205</f>
        <v>-0.2</v>
      </c>
      <c r="M286" s="532" t="str">
        <f>L205</f>
        <v>-</v>
      </c>
      <c r="N286" s="532">
        <f>M205</f>
        <v>0</v>
      </c>
      <c r="O286" s="532">
        <f>N205</f>
        <v>0</v>
      </c>
      <c r="Q286" s="948"/>
      <c r="R286" s="532">
        <v>19</v>
      </c>
      <c r="S286" s="532">
        <f>Q205</f>
        <v>850</v>
      </c>
      <c r="T286" s="532">
        <f>R205</f>
        <v>2.4</v>
      </c>
      <c r="U286" s="532" t="str">
        <f>S205</f>
        <v>-</v>
      </c>
      <c r="V286" s="532">
        <f>T205</f>
        <v>0</v>
      </c>
      <c r="W286" s="533">
        <f>U205</f>
        <v>0</v>
      </c>
      <c r="Y286" s="530">
        <v>14</v>
      </c>
      <c r="Z286" s="531">
        <f>X148</f>
        <v>2.4</v>
      </c>
      <c r="AE286" s="514"/>
    </row>
    <row r="287" spans="1:31" ht="13.5" thickBot="1" x14ac:dyDescent="0.35">
      <c r="A287" s="948"/>
      <c r="B287" s="532">
        <v>20</v>
      </c>
      <c r="C287" s="532">
        <f>C216</f>
        <v>24.6</v>
      </c>
      <c r="D287" s="532">
        <f t="shared" ref="D287:F287" si="110">D216</f>
        <v>9.9999999999999995E-7</v>
      </c>
      <c r="E287" s="532" t="str">
        <f t="shared" si="110"/>
        <v>-</v>
      </c>
      <c r="F287" s="532">
        <f t="shared" si="110"/>
        <v>9.9999999999999995E-7</v>
      </c>
      <c r="G287" s="532">
        <f>G216</f>
        <v>0</v>
      </c>
      <c r="I287" s="948"/>
      <c r="J287" s="532">
        <v>20</v>
      </c>
      <c r="K287" s="532">
        <f>J216</f>
        <v>62.5</v>
      </c>
      <c r="L287" s="532">
        <f>K216</f>
        <v>9.9999999999999995E-7</v>
      </c>
      <c r="M287" s="532" t="str">
        <f>L216</f>
        <v>-</v>
      </c>
      <c r="N287" s="532">
        <f>M216</f>
        <v>0</v>
      </c>
      <c r="O287" s="532">
        <f>N216</f>
        <v>0</v>
      </c>
      <c r="Q287" s="950"/>
      <c r="R287" s="541">
        <v>20</v>
      </c>
      <c r="S287" s="541">
        <f>Q216</f>
        <v>850</v>
      </c>
      <c r="T287" s="541" t="str">
        <f>R216</f>
        <v>-</v>
      </c>
      <c r="U287" s="541" t="str">
        <f>S216</f>
        <v>-</v>
      </c>
      <c r="V287" s="541">
        <f>T216</f>
        <v>0</v>
      </c>
      <c r="W287" s="555">
        <f>U216</f>
        <v>0</v>
      </c>
      <c r="Y287" s="530">
        <v>15</v>
      </c>
      <c r="Z287" s="531">
        <f>X159</f>
        <v>2.6</v>
      </c>
      <c r="AE287" s="545"/>
    </row>
    <row r="288" spans="1:31" ht="13.5" thickBot="1" x14ac:dyDescent="0.35">
      <c r="A288" s="470"/>
      <c r="B288" s="470"/>
      <c r="C288" s="470"/>
      <c r="D288" s="470"/>
      <c r="E288" s="470"/>
      <c r="F288" s="463"/>
      <c r="G288" s="470"/>
      <c r="I288" s="470"/>
      <c r="J288" s="470"/>
      <c r="K288" s="470"/>
      <c r="L288" s="470"/>
      <c r="M288" s="470"/>
      <c r="N288" s="463"/>
      <c r="O288" s="470"/>
      <c r="Q288" s="556"/>
      <c r="R288" s="558"/>
      <c r="S288" s="131"/>
      <c r="T288" s="131"/>
      <c r="U288" s="131"/>
      <c r="W288" s="132"/>
      <c r="Y288" s="530">
        <v>16</v>
      </c>
      <c r="Z288" s="538">
        <f>X170</f>
        <v>2.2000000000000002</v>
      </c>
      <c r="AE288" s="514"/>
    </row>
    <row r="289" spans="1:31" ht="13" x14ac:dyDescent="0.3">
      <c r="A289" s="948">
        <v>4</v>
      </c>
      <c r="B289" s="532">
        <v>1</v>
      </c>
      <c r="C289" s="532">
        <f>C8</f>
        <v>30</v>
      </c>
      <c r="D289" s="532">
        <f t="shared" ref="D289:F289" si="111">D8</f>
        <v>9.9999999999999995E-7</v>
      </c>
      <c r="E289" s="532">
        <f t="shared" si="111"/>
        <v>-0.2</v>
      </c>
      <c r="F289" s="532">
        <f t="shared" si="111"/>
        <v>0</v>
      </c>
      <c r="G289" s="532">
        <f>G8</f>
        <v>0.10000050000000001</v>
      </c>
      <c r="I289" s="948">
        <v>4</v>
      </c>
      <c r="J289" s="532">
        <v>1</v>
      </c>
      <c r="K289" s="532">
        <f>J8</f>
        <v>60</v>
      </c>
      <c r="L289" s="532">
        <f>K8</f>
        <v>-5.3</v>
      </c>
      <c r="M289" s="532">
        <f>L8</f>
        <v>-5.2</v>
      </c>
      <c r="N289" s="532">
        <f>M8</f>
        <v>0</v>
      </c>
      <c r="O289" s="532">
        <f>N8</f>
        <v>4.9999999999999822E-2</v>
      </c>
      <c r="Q289" s="949">
        <v>4</v>
      </c>
      <c r="R289" s="550">
        <v>1</v>
      </c>
      <c r="S289" s="550">
        <f>Q8</f>
        <v>900</v>
      </c>
      <c r="T289" s="550" t="str">
        <f>R8</f>
        <v>-</v>
      </c>
      <c r="U289" s="550" t="str">
        <f>S8</f>
        <v>-</v>
      </c>
      <c r="V289" s="550">
        <f>T8</f>
        <v>0</v>
      </c>
      <c r="W289" s="557">
        <f>U8</f>
        <v>0</v>
      </c>
      <c r="Y289" s="530">
        <v>17</v>
      </c>
      <c r="Z289" s="538">
        <f>X181</f>
        <v>2.1</v>
      </c>
      <c r="AE289" s="553"/>
    </row>
    <row r="290" spans="1:31" ht="13" x14ac:dyDescent="0.3">
      <c r="A290" s="948"/>
      <c r="B290" s="532">
        <v>2</v>
      </c>
      <c r="C290" s="532">
        <f>C19</f>
        <v>30</v>
      </c>
      <c r="D290" s="532">
        <f t="shared" ref="D290:F290" si="112">D19</f>
        <v>0.4</v>
      </c>
      <c r="E290" s="532">
        <f t="shared" si="112"/>
        <v>0.2</v>
      </c>
      <c r="F290" s="532">
        <f t="shared" si="112"/>
        <v>-0.3</v>
      </c>
      <c r="G290" s="532">
        <f>G19</f>
        <v>0.35</v>
      </c>
      <c r="I290" s="948"/>
      <c r="J290" s="532">
        <v>2</v>
      </c>
      <c r="K290" s="532">
        <f>J19</f>
        <v>60</v>
      </c>
      <c r="L290" s="532">
        <f>K19</f>
        <v>-5.7</v>
      </c>
      <c r="M290" s="532">
        <f>L19</f>
        <v>-4</v>
      </c>
      <c r="N290" s="532">
        <f>M19</f>
        <v>-1.3</v>
      </c>
      <c r="O290" s="532">
        <f>N19</f>
        <v>2.2000000000000002</v>
      </c>
      <c r="Q290" s="948"/>
      <c r="R290" s="532">
        <v>2</v>
      </c>
      <c r="S290" s="532">
        <f>Q19</f>
        <v>900</v>
      </c>
      <c r="T290" s="532" t="str">
        <f>R19</f>
        <v>-</v>
      </c>
      <c r="U290" s="532" t="str">
        <f>S19</f>
        <v>-</v>
      </c>
      <c r="V290" s="532">
        <f>T19</f>
        <v>0</v>
      </c>
      <c r="W290" s="533">
        <f>U19</f>
        <v>0</v>
      </c>
      <c r="Y290" s="530">
        <v>18</v>
      </c>
      <c r="Z290" s="538">
        <f>X192</f>
        <v>2.1</v>
      </c>
      <c r="AE290" s="514"/>
    </row>
    <row r="291" spans="1:31" ht="13" x14ac:dyDescent="0.3">
      <c r="A291" s="948"/>
      <c r="B291" s="532">
        <v>3</v>
      </c>
      <c r="C291" s="532">
        <f>C30</f>
        <v>30</v>
      </c>
      <c r="D291" s="532">
        <f t="shared" ref="D291:F291" si="113">D30</f>
        <v>0.3</v>
      </c>
      <c r="E291" s="532">
        <f t="shared" si="113"/>
        <v>9.9999999999999995E-7</v>
      </c>
      <c r="F291" s="532">
        <f t="shared" si="113"/>
        <v>-0.3</v>
      </c>
      <c r="G291" s="532">
        <f>G30</f>
        <v>0.3</v>
      </c>
      <c r="I291" s="948"/>
      <c r="J291" s="532">
        <v>3</v>
      </c>
      <c r="K291" s="532">
        <f>J30</f>
        <v>60</v>
      </c>
      <c r="L291" s="532">
        <f>K30</f>
        <v>-6.2</v>
      </c>
      <c r="M291" s="532">
        <f>L30</f>
        <v>-3.2</v>
      </c>
      <c r="N291" s="532">
        <f>M30</f>
        <v>-4.3</v>
      </c>
      <c r="O291" s="532">
        <f>N30</f>
        <v>1.5</v>
      </c>
      <c r="Q291" s="948"/>
      <c r="R291" s="532">
        <v>3</v>
      </c>
      <c r="S291" s="532">
        <f>Q30</f>
        <v>900</v>
      </c>
      <c r="T291" s="532" t="str">
        <f>R30</f>
        <v>-</v>
      </c>
      <c r="U291" s="532" t="str">
        <f>S30</f>
        <v>-</v>
      </c>
      <c r="V291" s="532">
        <f>T30</f>
        <v>0</v>
      </c>
      <c r="W291" s="533">
        <f>U30</f>
        <v>0</v>
      </c>
      <c r="Y291" s="530">
        <v>19</v>
      </c>
      <c r="Z291" s="538">
        <f>X203</f>
        <v>0.4</v>
      </c>
      <c r="AE291" s="514"/>
    </row>
    <row r="292" spans="1:31" ht="13.5" thickBot="1" x14ac:dyDescent="0.35">
      <c r="A292" s="948"/>
      <c r="B292" s="532">
        <v>4</v>
      </c>
      <c r="C292" s="532">
        <f>C41</f>
        <v>30</v>
      </c>
      <c r="D292" s="532">
        <f t="shared" ref="D292:F292" si="114">D41</f>
        <v>-0.1</v>
      </c>
      <c r="E292" s="532">
        <f t="shared" si="114"/>
        <v>-0.6</v>
      </c>
      <c r="F292" s="532">
        <f t="shared" si="114"/>
        <v>0</v>
      </c>
      <c r="G292" s="532">
        <f>G41</f>
        <v>0.25</v>
      </c>
      <c r="I292" s="948"/>
      <c r="J292" s="532">
        <v>4</v>
      </c>
      <c r="K292" s="532">
        <f>J41</f>
        <v>60</v>
      </c>
      <c r="L292" s="532">
        <f>K41</f>
        <v>-4.2</v>
      </c>
      <c r="M292" s="532">
        <f>L41</f>
        <v>-0.3</v>
      </c>
      <c r="N292" s="532">
        <f>M41</f>
        <v>0</v>
      </c>
      <c r="O292" s="532">
        <f>N41</f>
        <v>1.9500000000000002</v>
      </c>
      <c r="Q292" s="948"/>
      <c r="R292" s="532">
        <v>4</v>
      </c>
      <c r="S292" s="532">
        <f>Q41</f>
        <v>900</v>
      </c>
      <c r="T292" s="532" t="str">
        <f>R41</f>
        <v>-</v>
      </c>
      <c r="U292" s="532" t="str">
        <f>S41</f>
        <v>-</v>
      </c>
      <c r="V292" s="532">
        <f>T41</f>
        <v>0</v>
      </c>
      <c r="W292" s="533">
        <f>U41</f>
        <v>0</v>
      </c>
      <c r="Y292" s="539">
        <v>20</v>
      </c>
      <c r="Z292" s="540">
        <f>X214</f>
        <v>0</v>
      </c>
      <c r="AE292" s="514"/>
    </row>
    <row r="293" spans="1:31" ht="13" x14ac:dyDescent="0.3">
      <c r="A293" s="948"/>
      <c r="B293" s="532">
        <v>5</v>
      </c>
      <c r="C293" s="532">
        <f>C52</f>
        <v>30</v>
      </c>
      <c r="D293" s="532">
        <f t="shared" ref="D293:F293" si="115">D52</f>
        <v>0.4</v>
      </c>
      <c r="E293" s="532">
        <f t="shared" si="115"/>
        <v>0.6</v>
      </c>
      <c r="F293" s="532">
        <f t="shared" si="115"/>
        <v>0.1</v>
      </c>
      <c r="G293" s="532">
        <f>G52</f>
        <v>0.25</v>
      </c>
      <c r="I293" s="948"/>
      <c r="J293" s="532">
        <v>5</v>
      </c>
      <c r="K293" s="532">
        <f>J52</f>
        <v>60</v>
      </c>
      <c r="L293" s="532">
        <f>K52</f>
        <v>-8</v>
      </c>
      <c r="M293" s="532">
        <f>L52</f>
        <v>-5.2</v>
      </c>
      <c r="N293" s="532">
        <f>M52</f>
        <v>-4.2</v>
      </c>
      <c r="O293" s="532">
        <f>N52</f>
        <v>1.9</v>
      </c>
      <c r="Q293" s="948"/>
      <c r="R293" s="532">
        <v>5</v>
      </c>
      <c r="S293" s="532">
        <f>Q52</f>
        <v>900</v>
      </c>
      <c r="T293" s="532" t="str">
        <f>R52</f>
        <v>-</v>
      </c>
      <c r="U293" s="532" t="str">
        <f>S52</f>
        <v>-</v>
      </c>
      <c r="V293" s="532">
        <f>T52</f>
        <v>0</v>
      </c>
      <c r="W293" s="533">
        <f>U52</f>
        <v>0</v>
      </c>
      <c r="AE293" s="514"/>
    </row>
    <row r="294" spans="1:31" ht="13" x14ac:dyDescent="0.3">
      <c r="A294" s="948"/>
      <c r="B294" s="532">
        <v>6</v>
      </c>
      <c r="C294" s="532">
        <f>C63</f>
        <v>30</v>
      </c>
      <c r="D294" s="532">
        <f t="shared" ref="D294:F294" si="116">D63</f>
        <v>0.1</v>
      </c>
      <c r="E294" s="532">
        <f t="shared" si="116"/>
        <v>-0.5</v>
      </c>
      <c r="F294" s="532">
        <f t="shared" si="116"/>
        <v>0</v>
      </c>
      <c r="G294" s="532">
        <f>G63</f>
        <v>0.3</v>
      </c>
      <c r="I294" s="948"/>
      <c r="J294" s="532">
        <v>6</v>
      </c>
      <c r="K294" s="532">
        <f>J63</f>
        <v>60</v>
      </c>
      <c r="L294" s="532">
        <f>K63</f>
        <v>-6.4</v>
      </c>
      <c r="M294" s="532">
        <f>L63</f>
        <v>1.1000000000000001</v>
      </c>
      <c r="N294" s="532">
        <f>M63</f>
        <v>0</v>
      </c>
      <c r="O294" s="532">
        <f>N63</f>
        <v>3.75</v>
      </c>
      <c r="Q294" s="948"/>
      <c r="R294" s="532">
        <v>6</v>
      </c>
      <c r="S294" s="532">
        <f>Q63</f>
        <v>900</v>
      </c>
      <c r="T294" s="532">
        <f>R63</f>
        <v>0.9</v>
      </c>
      <c r="U294" s="532">
        <f>S63</f>
        <v>0.7</v>
      </c>
      <c r="V294" s="532">
        <f>T63</f>
        <v>0</v>
      </c>
      <c r="W294" s="533">
        <f>U63</f>
        <v>0.10000000000000003</v>
      </c>
      <c r="AE294" s="514"/>
    </row>
    <row r="295" spans="1:31" ht="13" x14ac:dyDescent="0.3">
      <c r="A295" s="948"/>
      <c r="B295" s="532">
        <v>7</v>
      </c>
      <c r="C295" s="532">
        <f>C74</f>
        <v>30</v>
      </c>
      <c r="D295" s="532">
        <f t="shared" ref="D295:F295" si="117">D74</f>
        <v>-0.2</v>
      </c>
      <c r="E295" s="532">
        <f t="shared" si="117"/>
        <v>9.9999999999999995E-7</v>
      </c>
      <c r="F295" s="532">
        <f t="shared" si="117"/>
        <v>-0.6</v>
      </c>
      <c r="G295" s="532">
        <f>G74</f>
        <v>0.3000005</v>
      </c>
      <c r="I295" s="948"/>
      <c r="J295" s="532">
        <v>7</v>
      </c>
      <c r="K295" s="532">
        <f>J74</f>
        <v>60</v>
      </c>
      <c r="L295" s="532">
        <f>K74</f>
        <v>-2.2000000000000002</v>
      </c>
      <c r="M295" s="532">
        <f>L74</f>
        <v>-2.1</v>
      </c>
      <c r="N295" s="532">
        <f>M74</f>
        <v>0.7</v>
      </c>
      <c r="O295" s="532">
        <f>N74</f>
        <v>1.4500000000000002</v>
      </c>
      <c r="Q295" s="948"/>
      <c r="R295" s="532">
        <v>7</v>
      </c>
      <c r="S295" s="532">
        <f>Q74</f>
        <v>990</v>
      </c>
      <c r="T295" s="532">
        <f>R74</f>
        <v>0.5</v>
      </c>
      <c r="U295" s="532" t="str">
        <f>S74</f>
        <v>-</v>
      </c>
      <c r="V295" s="532" t="str">
        <f>T74</f>
        <v>-</v>
      </c>
      <c r="W295" s="533">
        <f>U74</f>
        <v>0</v>
      </c>
      <c r="AE295" s="514"/>
    </row>
    <row r="296" spans="1:31" ht="13" x14ac:dyDescent="0.3">
      <c r="A296" s="948"/>
      <c r="B296" s="532">
        <v>8</v>
      </c>
      <c r="C296" s="532">
        <f>C85</f>
        <v>30</v>
      </c>
      <c r="D296" s="532">
        <f t="shared" ref="D296:F296" si="118">D85</f>
        <v>-0.2</v>
      </c>
      <c r="E296" s="532">
        <f t="shared" si="118"/>
        <v>-0.4</v>
      </c>
      <c r="F296" s="532">
        <f t="shared" si="118"/>
        <v>0</v>
      </c>
      <c r="G296" s="532">
        <f>G85</f>
        <v>0.1</v>
      </c>
      <c r="I296" s="948"/>
      <c r="J296" s="532">
        <v>8</v>
      </c>
      <c r="K296" s="532">
        <f>J85</f>
        <v>60</v>
      </c>
      <c r="L296" s="532">
        <f>K85</f>
        <v>-3.9</v>
      </c>
      <c r="M296" s="532">
        <f>L85</f>
        <v>-1.1000000000000001</v>
      </c>
      <c r="N296" s="532">
        <f>M85</f>
        <v>0</v>
      </c>
      <c r="O296" s="532">
        <f>N85</f>
        <v>1.4</v>
      </c>
      <c r="Q296" s="948"/>
      <c r="R296" s="532">
        <v>8</v>
      </c>
      <c r="S296" s="532">
        <f>Q85</f>
        <v>900</v>
      </c>
      <c r="T296" s="532">
        <f>R85</f>
        <v>-4.4000000000000004</v>
      </c>
      <c r="U296" s="532">
        <f>S85</f>
        <v>9.9999999999999995E-7</v>
      </c>
      <c r="V296" s="532">
        <f>T85</f>
        <v>0</v>
      </c>
      <c r="W296" s="533">
        <f>U85</f>
        <v>2.2000005000000002</v>
      </c>
      <c r="AE296" s="514"/>
    </row>
    <row r="297" spans="1:31" ht="13" x14ac:dyDescent="0.3">
      <c r="A297" s="948"/>
      <c r="B297" s="532">
        <v>9</v>
      </c>
      <c r="C297" s="532">
        <f>C96</f>
        <v>30</v>
      </c>
      <c r="D297" s="532">
        <f t="shared" ref="D297:F297" si="119">D96</f>
        <v>-0.5</v>
      </c>
      <c r="E297" s="532" t="str">
        <f t="shared" si="119"/>
        <v>-</v>
      </c>
      <c r="F297" s="532">
        <f t="shared" si="119"/>
        <v>0</v>
      </c>
      <c r="G297" s="532">
        <f>G96</f>
        <v>0</v>
      </c>
      <c r="I297" s="948"/>
      <c r="J297" s="532">
        <v>9</v>
      </c>
      <c r="K297" s="532">
        <f>J96</f>
        <v>60</v>
      </c>
      <c r="L297" s="532">
        <f>K96</f>
        <v>-0.8</v>
      </c>
      <c r="M297" s="532" t="str">
        <f>L96</f>
        <v>-</v>
      </c>
      <c r="N297" s="532">
        <f>M96</f>
        <v>0</v>
      </c>
      <c r="O297" s="532">
        <f>N96</f>
        <v>0</v>
      </c>
      <c r="Q297" s="948"/>
      <c r="R297" s="532">
        <v>9</v>
      </c>
      <c r="S297" s="532">
        <f>Q96</f>
        <v>900</v>
      </c>
      <c r="T297" s="532">
        <f>R96</f>
        <v>9.9999999999999995E-7</v>
      </c>
      <c r="U297" s="532" t="str">
        <f>S96</f>
        <v>-</v>
      </c>
      <c r="V297" s="532">
        <f>T96</f>
        <v>0</v>
      </c>
      <c r="W297" s="533">
        <f>U96</f>
        <v>0</v>
      </c>
      <c r="AE297" s="514"/>
    </row>
    <row r="298" spans="1:31" ht="13" x14ac:dyDescent="0.3">
      <c r="A298" s="948"/>
      <c r="B298" s="532">
        <v>10</v>
      </c>
      <c r="C298" s="532">
        <f>C107</f>
        <v>30</v>
      </c>
      <c r="D298" s="532">
        <f t="shared" ref="D298:F298" si="120">D107</f>
        <v>0.1</v>
      </c>
      <c r="E298" s="532">
        <f t="shared" si="120"/>
        <v>0.2</v>
      </c>
      <c r="F298" s="532">
        <f t="shared" si="120"/>
        <v>0</v>
      </c>
      <c r="G298" s="532">
        <f>G107</f>
        <v>0.05</v>
      </c>
      <c r="I298" s="948"/>
      <c r="J298" s="532">
        <v>10</v>
      </c>
      <c r="K298" s="532">
        <f>J107</f>
        <v>60</v>
      </c>
      <c r="L298" s="532">
        <f>K107</f>
        <v>-2.1</v>
      </c>
      <c r="M298" s="532">
        <f>L107</f>
        <v>-5.6</v>
      </c>
      <c r="N298" s="532">
        <f>M107</f>
        <v>0</v>
      </c>
      <c r="O298" s="532">
        <f>N107</f>
        <v>1.7499999999999998</v>
      </c>
      <c r="Q298" s="948"/>
      <c r="R298" s="532">
        <v>10</v>
      </c>
      <c r="S298" s="532">
        <f>Q107</f>
        <v>900</v>
      </c>
      <c r="T298" s="532" t="str">
        <f>R107</f>
        <v>-</v>
      </c>
      <c r="U298" s="532" t="str">
        <f>S107</f>
        <v>-</v>
      </c>
      <c r="V298" s="532">
        <f>T107</f>
        <v>0</v>
      </c>
      <c r="W298" s="533">
        <f>U107</f>
        <v>0</v>
      </c>
      <c r="AE298" s="514"/>
    </row>
    <row r="299" spans="1:31" ht="13" x14ac:dyDescent="0.3">
      <c r="A299" s="948"/>
      <c r="B299" s="532">
        <v>11</v>
      </c>
      <c r="C299" s="532">
        <f>C118</f>
        <v>30</v>
      </c>
      <c r="D299" s="532">
        <f t="shared" ref="D299:F299" si="121">D118</f>
        <v>0.5</v>
      </c>
      <c r="E299" s="532">
        <f t="shared" si="121"/>
        <v>0.4</v>
      </c>
      <c r="F299" s="532">
        <f t="shared" si="121"/>
        <v>0</v>
      </c>
      <c r="G299" s="532">
        <f>G118</f>
        <v>4.9999999999999989E-2</v>
      </c>
      <c r="I299" s="948"/>
      <c r="J299" s="532">
        <v>11</v>
      </c>
      <c r="K299" s="532">
        <f>J118</f>
        <v>60</v>
      </c>
      <c r="L299" s="532">
        <f>K118</f>
        <v>-4.8</v>
      </c>
      <c r="M299" s="532">
        <f>L118</f>
        <v>-4.5</v>
      </c>
      <c r="N299" s="532">
        <f>M118</f>
        <v>0</v>
      </c>
      <c r="O299" s="532">
        <f>N118</f>
        <v>0.14999999999999991</v>
      </c>
      <c r="Q299" s="948"/>
      <c r="R299" s="532">
        <v>11</v>
      </c>
      <c r="S299" s="532">
        <f>Q118</f>
        <v>900</v>
      </c>
      <c r="T299" s="532" t="str">
        <f>R118</f>
        <v>-</v>
      </c>
      <c r="U299" s="532" t="str">
        <f>S118</f>
        <v>-</v>
      </c>
      <c r="V299" s="532">
        <f>T118</f>
        <v>0</v>
      </c>
      <c r="W299" s="533">
        <f>U118</f>
        <v>0</v>
      </c>
      <c r="AE299" s="514"/>
    </row>
    <row r="300" spans="1:31" ht="13" x14ac:dyDescent="0.3">
      <c r="A300" s="948"/>
      <c r="B300" s="532">
        <v>12</v>
      </c>
      <c r="C300" s="532">
        <f>C129</f>
        <v>30</v>
      </c>
      <c r="D300" s="532">
        <f t="shared" ref="D300:F300" si="122">D129</f>
        <v>-0.1</v>
      </c>
      <c r="E300" s="532" t="str">
        <f t="shared" si="122"/>
        <v>-</v>
      </c>
      <c r="F300" s="532">
        <f t="shared" si="122"/>
        <v>0</v>
      </c>
      <c r="G300" s="532">
        <f>G129</f>
        <v>0</v>
      </c>
      <c r="I300" s="948"/>
      <c r="J300" s="532">
        <v>12</v>
      </c>
      <c r="K300" s="532">
        <f>J129</f>
        <v>60</v>
      </c>
      <c r="L300" s="532">
        <f>K129</f>
        <v>9.9999999999999995E-7</v>
      </c>
      <c r="M300" s="532" t="str">
        <f>L129</f>
        <v>-</v>
      </c>
      <c r="N300" s="532">
        <f>M129</f>
        <v>0</v>
      </c>
      <c r="O300" s="532">
        <f>N129</f>
        <v>0</v>
      </c>
      <c r="Q300" s="948"/>
      <c r="R300" s="532">
        <v>12</v>
      </c>
      <c r="S300" s="532">
        <f>Q129</f>
        <v>950</v>
      </c>
      <c r="T300" s="532">
        <f>R129</f>
        <v>-0.7</v>
      </c>
      <c r="U300" s="532" t="str">
        <f>S129</f>
        <v>-</v>
      </c>
      <c r="V300" s="532">
        <f>T129</f>
        <v>0</v>
      </c>
      <c r="W300" s="533">
        <f>U129</f>
        <v>0</v>
      </c>
      <c r="AE300" s="514"/>
    </row>
    <row r="301" spans="1:31" ht="13" x14ac:dyDescent="0.3">
      <c r="A301" s="948"/>
      <c r="B301" s="532">
        <v>13</v>
      </c>
      <c r="C301" s="532">
        <f>C151</f>
        <v>30</v>
      </c>
      <c r="D301" s="532">
        <f>E151</f>
        <v>-0.3</v>
      </c>
      <c r="E301" s="532" t="str">
        <f>F151</f>
        <v>-</v>
      </c>
      <c r="F301" s="536">
        <v>9.9999999999999995E-7</v>
      </c>
      <c r="G301" s="532">
        <f>G151</f>
        <v>0</v>
      </c>
      <c r="I301" s="948"/>
      <c r="J301" s="532">
        <v>13</v>
      </c>
      <c r="K301" s="532">
        <f>J140</f>
        <v>60</v>
      </c>
      <c r="L301" s="532">
        <f>L140</f>
        <v>-1.5</v>
      </c>
      <c r="M301" s="532" t="str">
        <f>M140</f>
        <v>-</v>
      </c>
      <c r="N301" s="536">
        <v>9.9999999999999995E-7</v>
      </c>
      <c r="O301" s="532">
        <f>N140</f>
        <v>0</v>
      </c>
      <c r="Q301" s="948"/>
      <c r="R301" s="532">
        <v>13</v>
      </c>
      <c r="S301" s="532">
        <f>Q140</f>
        <v>990</v>
      </c>
      <c r="T301" s="532">
        <f>S140</f>
        <v>1.1000000000000001</v>
      </c>
      <c r="U301" s="532" t="str">
        <f>T140</f>
        <v>-</v>
      </c>
      <c r="V301" s="536">
        <v>9.9999999999999995E-7</v>
      </c>
      <c r="W301" s="533">
        <f>U140</f>
        <v>0</v>
      </c>
      <c r="AE301" s="514"/>
    </row>
    <row r="302" spans="1:31" ht="13" x14ac:dyDescent="0.3">
      <c r="A302" s="948"/>
      <c r="B302" s="532">
        <v>14</v>
      </c>
      <c r="C302" s="532">
        <f>C151</f>
        <v>30</v>
      </c>
      <c r="D302" s="532">
        <f>E151</f>
        <v>-0.3</v>
      </c>
      <c r="E302" s="532" t="str">
        <f>F151</f>
        <v>-</v>
      </c>
      <c r="F302" s="536">
        <v>9.9999999999999995E-7</v>
      </c>
      <c r="G302" s="532">
        <f>G151</f>
        <v>0</v>
      </c>
      <c r="I302" s="948"/>
      <c r="J302" s="532">
        <v>14</v>
      </c>
      <c r="K302" s="532">
        <f>J151</f>
        <v>60</v>
      </c>
      <c r="L302" s="532">
        <f>L151</f>
        <v>-0.6</v>
      </c>
      <c r="M302" s="532" t="str">
        <f>M151</f>
        <v>-</v>
      </c>
      <c r="N302" s="536">
        <v>9.9999999999999995E-7</v>
      </c>
      <c r="O302" s="532">
        <f>N151</f>
        <v>0</v>
      </c>
      <c r="Q302" s="948"/>
      <c r="R302" s="532">
        <v>14</v>
      </c>
      <c r="S302" s="532">
        <f>Q151</f>
        <v>990</v>
      </c>
      <c r="T302" s="532">
        <f>S151</f>
        <v>1.1000000000000001</v>
      </c>
      <c r="U302" s="532" t="str">
        <f>T151</f>
        <v>-</v>
      </c>
      <c r="V302" s="536">
        <v>9.9999999999999995E-7</v>
      </c>
      <c r="W302" s="533">
        <f>U151</f>
        <v>0</v>
      </c>
      <c r="AE302" s="514"/>
    </row>
    <row r="303" spans="1:31" ht="13" x14ac:dyDescent="0.3">
      <c r="A303" s="948"/>
      <c r="B303" s="532">
        <v>15</v>
      </c>
      <c r="C303" s="532">
        <f>C162</f>
        <v>30</v>
      </c>
      <c r="D303" s="532">
        <f>E162</f>
        <v>-0.2</v>
      </c>
      <c r="E303" s="532" t="str">
        <f>F162</f>
        <v>-</v>
      </c>
      <c r="F303" s="536">
        <v>9.9999999999999995E-7</v>
      </c>
      <c r="G303" s="532">
        <f>G162</f>
        <v>0</v>
      </c>
      <c r="I303" s="948"/>
      <c r="J303" s="532">
        <v>15</v>
      </c>
      <c r="K303" s="532">
        <f>J162</f>
        <v>60</v>
      </c>
      <c r="L303" s="532">
        <f>L162</f>
        <v>-0.5</v>
      </c>
      <c r="M303" s="532" t="str">
        <f>M162</f>
        <v>-</v>
      </c>
      <c r="N303" s="536">
        <v>9.9999999999999995E-7</v>
      </c>
      <c r="O303" s="532">
        <f>N162</f>
        <v>0</v>
      </c>
      <c r="Q303" s="948"/>
      <c r="R303" s="532">
        <v>15</v>
      </c>
      <c r="S303" s="532">
        <f>Q162</f>
        <v>990</v>
      </c>
      <c r="T303" s="532">
        <f>S162</f>
        <v>1.1000000000000001</v>
      </c>
      <c r="U303" s="532" t="str">
        <f>T162</f>
        <v>-</v>
      </c>
      <c r="V303" s="536">
        <v>9.9999999999999995E-7</v>
      </c>
      <c r="W303" s="533">
        <f>U162</f>
        <v>0</v>
      </c>
      <c r="AE303" s="514"/>
    </row>
    <row r="304" spans="1:31" ht="13" x14ac:dyDescent="0.3">
      <c r="A304" s="948"/>
      <c r="B304" s="532">
        <v>16</v>
      </c>
      <c r="C304" s="532">
        <f>C173</f>
        <v>30</v>
      </c>
      <c r="D304" s="532">
        <f t="shared" ref="D304:F304" si="123">D173</f>
        <v>0.6</v>
      </c>
      <c r="E304" s="532">
        <f t="shared" si="123"/>
        <v>0.2</v>
      </c>
      <c r="F304" s="532">
        <f t="shared" si="123"/>
        <v>0</v>
      </c>
      <c r="G304" s="532">
        <f>G173</f>
        <v>0.19999999999999998</v>
      </c>
      <c r="I304" s="948"/>
      <c r="J304" s="532">
        <v>16</v>
      </c>
      <c r="K304" s="532">
        <f>J173</f>
        <v>60</v>
      </c>
      <c r="L304" s="532">
        <f>K173</f>
        <v>-1.9</v>
      </c>
      <c r="M304" s="532">
        <f>L173</f>
        <v>-1.5</v>
      </c>
      <c r="N304" s="532">
        <f>M173</f>
        <v>0</v>
      </c>
      <c r="O304" s="532">
        <f>N173</f>
        <v>0.19999999999999996</v>
      </c>
      <c r="Q304" s="948"/>
      <c r="R304" s="532">
        <v>16</v>
      </c>
      <c r="S304" s="532">
        <f>Q173</f>
        <v>990</v>
      </c>
      <c r="T304" s="532">
        <f>R173</f>
        <v>4.4000000000000004</v>
      </c>
      <c r="U304" s="532" t="str">
        <f>S173</f>
        <v>-</v>
      </c>
      <c r="V304" s="532">
        <f>T173</f>
        <v>0</v>
      </c>
      <c r="W304" s="533">
        <f>U173</f>
        <v>0</v>
      </c>
      <c r="AE304" s="514"/>
    </row>
    <row r="305" spans="1:31" ht="13" x14ac:dyDescent="0.3">
      <c r="A305" s="948"/>
      <c r="B305" s="532">
        <v>17</v>
      </c>
      <c r="C305" s="532">
        <f>C184</f>
        <v>30</v>
      </c>
      <c r="D305" s="532">
        <f t="shared" ref="D305:F305" si="124">D184</f>
        <v>0.6</v>
      </c>
      <c r="E305" s="532">
        <f t="shared" si="124"/>
        <v>-0.2</v>
      </c>
      <c r="F305" s="532">
        <f t="shared" si="124"/>
        <v>0</v>
      </c>
      <c r="G305" s="532">
        <f>G184</f>
        <v>0.4</v>
      </c>
      <c r="I305" s="948"/>
      <c r="J305" s="532">
        <v>17</v>
      </c>
      <c r="K305" s="532">
        <f>J184</f>
        <v>60</v>
      </c>
      <c r="L305" s="532">
        <f>K184</f>
        <v>-1.7</v>
      </c>
      <c r="M305" s="532">
        <f>L184</f>
        <v>0</v>
      </c>
      <c r="N305" s="532">
        <f>M184</f>
        <v>0</v>
      </c>
      <c r="O305" s="532">
        <f>N184</f>
        <v>0.85</v>
      </c>
      <c r="Q305" s="948"/>
      <c r="R305" s="532">
        <v>17</v>
      </c>
      <c r="S305" s="532">
        <f>Q184</f>
        <v>990</v>
      </c>
      <c r="T305" s="532">
        <f>R184</f>
        <v>4.5999999999999996</v>
      </c>
      <c r="U305" s="532">
        <f>S184</f>
        <v>-0.6</v>
      </c>
      <c r="V305" s="532">
        <f>T184</f>
        <v>0</v>
      </c>
      <c r="W305" s="533">
        <f>U184</f>
        <v>2.5999999999999996</v>
      </c>
      <c r="AE305" s="514"/>
    </row>
    <row r="306" spans="1:31" ht="13" x14ac:dyDescent="0.3">
      <c r="A306" s="948"/>
      <c r="B306" s="532">
        <v>18</v>
      </c>
      <c r="C306" s="532">
        <f>C195</f>
        <v>30</v>
      </c>
      <c r="D306" s="532">
        <f t="shared" ref="D306:F306" si="125">D195</f>
        <v>0.3</v>
      </c>
      <c r="E306" s="532">
        <f t="shared" si="125"/>
        <v>-0.2</v>
      </c>
      <c r="F306" s="532">
        <f t="shared" si="125"/>
        <v>0</v>
      </c>
      <c r="G306" s="532">
        <f>G195</f>
        <v>0.25</v>
      </c>
      <c r="I306" s="948"/>
      <c r="J306" s="532">
        <v>18</v>
      </c>
      <c r="K306" s="532">
        <f>J195</f>
        <v>60</v>
      </c>
      <c r="L306" s="532">
        <f>K195</f>
        <v>-2.1</v>
      </c>
      <c r="M306" s="532">
        <f>L195</f>
        <v>-0.2</v>
      </c>
      <c r="N306" s="532">
        <f>M195</f>
        <v>0</v>
      </c>
      <c r="O306" s="532">
        <f>N195</f>
        <v>0.95000000000000007</v>
      </c>
      <c r="Q306" s="948"/>
      <c r="R306" s="532">
        <v>18</v>
      </c>
      <c r="S306" s="532">
        <f>Q195</f>
        <v>990</v>
      </c>
      <c r="T306" s="532">
        <f>R195</f>
        <v>4.5</v>
      </c>
      <c r="U306" s="532" t="str">
        <f>S195</f>
        <v>-</v>
      </c>
      <c r="V306" s="532">
        <f>T195</f>
        <v>0</v>
      </c>
      <c r="W306" s="533">
        <f>U195</f>
        <v>0</v>
      </c>
      <c r="AE306" s="514"/>
    </row>
    <row r="307" spans="1:31" ht="13" x14ac:dyDescent="0.3">
      <c r="A307" s="948"/>
      <c r="B307" s="532">
        <v>19</v>
      </c>
      <c r="C307" s="532">
        <f>C206</f>
        <v>30</v>
      </c>
      <c r="D307" s="532">
        <f t="shared" ref="D307:F307" si="126">D206</f>
        <v>-0.1</v>
      </c>
      <c r="E307" s="532" t="str">
        <f t="shared" si="126"/>
        <v>-</v>
      </c>
      <c r="F307" s="532">
        <f t="shared" si="126"/>
        <v>0</v>
      </c>
      <c r="G307" s="532">
        <f>G206</f>
        <v>0</v>
      </c>
      <c r="I307" s="948"/>
      <c r="J307" s="532">
        <v>19</v>
      </c>
      <c r="K307" s="532">
        <f>J206</f>
        <v>60</v>
      </c>
      <c r="L307" s="532">
        <f>K206</f>
        <v>0.4</v>
      </c>
      <c r="M307" s="532" t="str">
        <f>L206</f>
        <v>-</v>
      </c>
      <c r="N307" s="532">
        <f>M206</f>
        <v>0</v>
      </c>
      <c r="O307" s="532">
        <f>N206</f>
        <v>0</v>
      </c>
      <c r="Q307" s="948"/>
      <c r="R307" s="532">
        <v>19</v>
      </c>
      <c r="S307" s="532">
        <f>Q206</f>
        <v>900</v>
      </c>
      <c r="T307" s="532">
        <f>R206</f>
        <v>2.2999999999999998</v>
      </c>
      <c r="U307" s="532" t="str">
        <f>S206</f>
        <v>-</v>
      </c>
      <c r="V307" s="532">
        <f>T206</f>
        <v>0</v>
      </c>
      <c r="W307" s="533">
        <f>U206</f>
        <v>0</v>
      </c>
      <c r="AE307" s="514"/>
    </row>
    <row r="308" spans="1:31" ht="13.5" thickBot="1" x14ac:dyDescent="0.35">
      <c r="A308" s="948"/>
      <c r="B308" s="532">
        <v>20</v>
      </c>
      <c r="C308" s="532">
        <f>C217</f>
        <v>29.5</v>
      </c>
      <c r="D308" s="532">
        <f t="shared" ref="D308:F308" si="127">D217</f>
        <v>9.9999999999999995E-7</v>
      </c>
      <c r="E308" s="532" t="str">
        <f t="shared" si="127"/>
        <v>-</v>
      </c>
      <c r="F308" s="532">
        <f t="shared" si="127"/>
        <v>9.9999999999999995E-7</v>
      </c>
      <c r="G308" s="532">
        <f>G217</f>
        <v>0</v>
      </c>
      <c r="I308" s="948"/>
      <c r="J308" s="532">
        <v>20</v>
      </c>
      <c r="K308" s="532">
        <f>J217</f>
        <v>71.5</v>
      </c>
      <c r="L308" s="532">
        <f>K217</f>
        <v>9.9999999999999995E-7</v>
      </c>
      <c r="M308" s="532" t="str">
        <f>L217</f>
        <v>-</v>
      </c>
      <c r="N308" s="532">
        <f>M217</f>
        <v>0</v>
      </c>
      <c r="O308" s="532">
        <f>N217</f>
        <v>0</v>
      </c>
      <c r="Q308" s="950"/>
      <c r="R308" s="541">
        <v>20</v>
      </c>
      <c r="S308" s="541">
        <f>Q217</f>
        <v>900</v>
      </c>
      <c r="T308" s="541" t="str">
        <f>R217</f>
        <v>-</v>
      </c>
      <c r="U308" s="541" t="str">
        <f>S217</f>
        <v>-</v>
      </c>
      <c r="V308" s="541">
        <f>T217</f>
        <v>0</v>
      </c>
      <c r="W308" s="555">
        <f>U217</f>
        <v>0</v>
      </c>
      <c r="AE308" s="545"/>
    </row>
    <row r="309" spans="1:31" ht="13.5" thickBot="1" x14ac:dyDescent="0.35">
      <c r="A309" s="470"/>
      <c r="B309" s="470"/>
      <c r="C309" s="470"/>
      <c r="D309" s="470"/>
      <c r="E309" s="470"/>
      <c r="F309" s="463"/>
      <c r="G309" s="470"/>
      <c r="I309" s="470"/>
      <c r="J309" s="470"/>
      <c r="K309" s="470"/>
      <c r="L309" s="470"/>
      <c r="M309" s="470"/>
      <c r="N309" s="463"/>
      <c r="O309" s="470"/>
      <c r="Q309" s="556"/>
      <c r="R309" s="558"/>
      <c r="S309" s="131"/>
      <c r="T309" s="131"/>
      <c r="U309" s="131"/>
      <c r="W309" s="132"/>
      <c r="AE309" s="514"/>
    </row>
    <row r="310" spans="1:31" ht="13" x14ac:dyDescent="0.3">
      <c r="A310" s="948">
        <v>5</v>
      </c>
      <c r="B310" s="532">
        <v>1</v>
      </c>
      <c r="C310" s="532">
        <f>C9</f>
        <v>35</v>
      </c>
      <c r="D310" s="532">
        <f t="shared" ref="D310:F310" si="128">D9</f>
        <v>-0.1</v>
      </c>
      <c r="E310" s="532">
        <f t="shared" si="128"/>
        <v>-0.5</v>
      </c>
      <c r="F310" s="532">
        <f t="shared" si="128"/>
        <v>0</v>
      </c>
      <c r="G310" s="532">
        <f>G9</f>
        <v>0.25</v>
      </c>
      <c r="I310" s="948">
        <v>5</v>
      </c>
      <c r="J310" s="532">
        <v>1</v>
      </c>
      <c r="K310" s="532">
        <f>J20</f>
        <v>70</v>
      </c>
      <c r="L310" s="532">
        <f>K20</f>
        <v>-3.4</v>
      </c>
      <c r="M310" s="532">
        <f>L20</f>
        <v>-2.4</v>
      </c>
      <c r="N310" s="532">
        <f>M20</f>
        <v>-1.1000000000000001</v>
      </c>
      <c r="O310" s="532">
        <f>N20</f>
        <v>1.1499999999999999</v>
      </c>
      <c r="Q310" s="949">
        <v>5</v>
      </c>
      <c r="R310" s="550">
        <v>1</v>
      </c>
      <c r="S310" s="550">
        <f>Q9</f>
        <v>1000</v>
      </c>
      <c r="T310" s="550" t="str">
        <f>R9</f>
        <v>-</v>
      </c>
      <c r="U310" s="550" t="str">
        <f>S9</f>
        <v>-</v>
      </c>
      <c r="V310" s="550">
        <f>T9</f>
        <v>0</v>
      </c>
      <c r="W310" s="557">
        <f>U9</f>
        <v>0</v>
      </c>
      <c r="AE310" s="553"/>
    </row>
    <row r="311" spans="1:31" ht="13" x14ac:dyDescent="0.3">
      <c r="A311" s="948"/>
      <c r="B311" s="532">
        <v>2</v>
      </c>
      <c r="C311" s="532">
        <f>C20</f>
        <v>35</v>
      </c>
      <c r="D311" s="532">
        <f t="shared" ref="D311:F311" si="129">D20</f>
        <v>0.5</v>
      </c>
      <c r="E311" s="532">
        <f t="shared" si="129"/>
        <v>-0.1</v>
      </c>
      <c r="F311" s="532">
        <f t="shared" si="129"/>
        <v>-0.3</v>
      </c>
      <c r="G311" s="532">
        <f>G20</f>
        <v>0.4</v>
      </c>
      <c r="I311" s="948"/>
      <c r="J311" s="532">
        <v>2</v>
      </c>
      <c r="K311" s="532">
        <f>J20</f>
        <v>70</v>
      </c>
      <c r="L311" s="532">
        <f>K20</f>
        <v>-3.4</v>
      </c>
      <c r="M311" s="532">
        <f>L20</f>
        <v>-2.4</v>
      </c>
      <c r="N311" s="532">
        <f>M20</f>
        <v>-1.1000000000000001</v>
      </c>
      <c r="O311" s="532">
        <f>N20</f>
        <v>1.1499999999999999</v>
      </c>
      <c r="Q311" s="948"/>
      <c r="R311" s="532">
        <v>2</v>
      </c>
      <c r="S311" s="532">
        <f>Q20</f>
        <v>1000</v>
      </c>
      <c r="T311" s="532" t="str">
        <f>R20</f>
        <v>-</v>
      </c>
      <c r="U311" s="532" t="str">
        <f>S20</f>
        <v>-</v>
      </c>
      <c r="V311" s="532">
        <f>T20</f>
        <v>0</v>
      </c>
      <c r="W311" s="533">
        <f>U20</f>
        <v>0</v>
      </c>
      <c r="AE311" s="514"/>
    </row>
    <row r="312" spans="1:31" ht="13" x14ac:dyDescent="0.3">
      <c r="A312" s="948"/>
      <c r="B312" s="532">
        <v>3</v>
      </c>
      <c r="C312" s="532">
        <f>C31</f>
        <v>35</v>
      </c>
      <c r="D312" s="532">
        <f t="shared" ref="D312:F312" si="130">D31</f>
        <v>0.3</v>
      </c>
      <c r="E312" s="532">
        <f t="shared" si="130"/>
        <v>-0.3</v>
      </c>
      <c r="F312" s="532">
        <f t="shared" si="130"/>
        <v>-0.5</v>
      </c>
      <c r="G312" s="532">
        <f>G31</f>
        <v>0.4</v>
      </c>
      <c r="I312" s="948"/>
      <c r="J312" s="532">
        <v>3</v>
      </c>
      <c r="K312" s="532">
        <f>J31</f>
        <v>70</v>
      </c>
      <c r="L312" s="532">
        <f>K31</f>
        <v>-4.4000000000000004</v>
      </c>
      <c r="M312" s="532">
        <f>L31</f>
        <v>-2</v>
      </c>
      <c r="N312" s="532">
        <f>M31</f>
        <v>-3.6</v>
      </c>
      <c r="O312" s="532">
        <f>N31</f>
        <v>1.2000000000000002</v>
      </c>
      <c r="Q312" s="948"/>
      <c r="R312" s="532">
        <v>3</v>
      </c>
      <c r="S312" s="532">
        <f>Q31</f>
        <v>1000</v>
      </c>
      <c r="T312" s="532" t="str">
        <f>R31</f>
        <v>-</v>
      </c>
      <c r="U312" s="532" t="str">
        <f>S31</f>
        <v>-</v>
      </c>
      <c r="V312" s="532">
        <f>T31</f>
        <v>0</v>
      </c>
      <c r="W312" s="533">
        <f>U31</f>
        <v>0</v>
      </c>
      <c r="AE312" s="514"/>
    </row>
    <row r="313" spans="1:31" ht="13" x14ac:dyDescent="0.3">
      <c r="A313" s="948"/>
      <c r="B313" s="532">
        <v>4</v>
      </c>
      <c r="C313" s="532">
        <f>C42</f>
        <v>35</v>
      </c>
      <c r="D313" s="532">
        <f t="shared" ref="D313:F313" si="131">D42</f>
        <v>-0.3</v>
      </c>
      <c r="E313" s="532">
        <f t="shared" si="131"/>
        <v>-0.6</v>
      </c>
      <c r="F313" s="532">
        <f t="shared" si="131"/>
        <v>0</v>
      </c>
      <c r="G313" s="532">
        <f>G42</f>
        <v>0.15</v>
      </c>
      <c r="I313" s="948"/>
      <c r="J313" s="532">
        <v>4</v>
      </c>
      <c r="K313" s="532">
        <f>J42</f>
        <v>70</v>
      </c>
      <c r="L313" s="532">
        <f>K42</f>
        <v>-4</v>
      </c>
      <c r="M313" s="532">
        <f>L42</f>
        <v>0.7</v>
      </c>
      <c r="N313" s="532">
        <f>M42</f>
        <v>0</v>
      </c>
      <c r="O313" s="532">
        <f>N42</f>
        <v>2.35</v>
      </c>
      <c r="Q313" s="948"/>
      <c r="R313" s="532">
        <v>4</v>
      </c>
      <c r="S313" s="532">
        <f>Q42</f>
        <v>1000</v>
      </c>
      <c r="T313" s="532" t="str">
        <f>R42</f>
        <v>-</v>
      </c>
      <c r="U313" s="532" t="str">
        <f>S42</f>
        <v>-</v>
      </c>
      <c r="V313" s="532">
        <f>T42</f>
        <v>0</v>
      </c>
      <c r="W313" s="533">
        <f>U42</f>
        <v>0</v>
      </c>
      <c r="AE313" s="514"/>
    </row>
    <row r="314" spans="1:31" ht="13" x14ac:dyDescent="0.3">
      <c r="A314" s="948"/>
      <c r="B314" s="532">
        <v>5</v>
      </c>
      <c r="C314" s="532">
        <f>C53</f>
        <v>35</v>
      </c>
      <c r="D314" s="532">
        <f t="shared" ref="D314:F314" si="132">D53</f>
        <v>0.4</v>
      </c>
      <c r="E314" s="532">
        <f t="shared" si="132"/>
        <v>0.7</v>
      </c>
      <c r="F314" s="532">
        <f t="shared" si="132"/>
        <v>9.9999999999999995E-7</v>
      </c>
      <c r="G314" s="532">
        <f>G53</f>
        <v>0.34999949999999996</v>
      </c>
      <c r="I314" s="948"/>
      <c r="J314" s="532">
        <v>5</v>
      </c>
      <c r="K314" s="532">
        <f>J53</f>
        <v>70</v>
      </c>
      <c r="L314" s="532">
        <f>K53</f>
        <v>-7.1</v>
      </c>
      <c r="M314" s="532">
        <f>L53</f>
        <v>-4.0999999999999996</v>
      </c>
      <c r="N314" s="532">
        <f>M53</f>
        <v>-2.1</v>
      </c>
      <c r="O314" s="532">
        <f>N53</f>
        <v>2.5</v>
      </c>
      <c r="Q314" s="948"/>
      <c r="R314" s="532">
        <v>5</v>
      </c>
      <c r="S314" s="532">
        <f>Q53</f>
        <v>1000</v>
      </c>
      <c r="T314" s="532" t="str">
        <f>R53</f>
        <v>-</v>
      </c>
      <c r="U314" s="532" t="str">
        <f>S53</f>
        <v>-</v>
      </c>
      <c r="V314" s="532">
        <f>T53</f>
        <v>0</v>
      </c>
      <c r="W314" s="533">
        <f>U53</f>
        <v>0</v>
      </c>
      <c r="AE314" s="514"/>
    </row>
    <row r="315" spans="1:31" ht="13" x14ac:dyDescent="0.3">
      <c r="A315" s="948"/>
      <c r="B315" s="532">
        <v>6</v>
      </c>
      <c r="C315" s="532">
        <f>C64</f>
        <v>35</v>
      </c>
      <c r="D315" s="532">
        <f t="shared" ref="D315:F315" si="133">D64</f>
        <v>0.1</v>
      </c>
      <c r="E315" s="532">
        <f t="shared" si="133"/>
        <v>-0.9</v>
      </c>
      <c r="F315" s="532">
        <f t="shared" si="133"/>
        <v>0</v>
      </c>
      <c r="G315" s="532">
        <f>G64</f>
        <v>0.5</v>
      </c>
      <c r="I315" s="948"/>
      <c r="J315" s="532">
        <v>6</v>
      </c>
      <c r="K315" s="532">
        <f>J64</f>
        <v>70</v>
      </c>
      <c r="L315" s="532">
        <f>K64</f>
        <v>-6.7</v>
      </c>
      <c r="M315" s="532">
        <f>L64</f>
        <v>0.9</v>
      </c>
      <c r="N315" s="532">
        <f>M64</f>
        <v>0</v>
      </c>
      <c r="O315" s="532">
        <f>N64</f>
        <v>3.8000000000000003</v>
      </c>
      <c r="Q315" s="948"/>
      <c r="R315" s="532">
        <v>6</v>
      </c>
      <c r="S315" s="532">
        <f>Q64</f>
        <v>1000</v>
      </c>
      <c r="T315" s="532">
        <f>R64</f>
        <v>0.9</v>
      </c>
      <c r="U315" s="532">
        <f>S64</f>
        <v>-0.3</v>
      </c>
      <c r="V315" s="532">
        <f>T64</f>
        <v>0</v>
      </c>
      <c r="W315" s="533">
        <f>U64</f>
        <v>0.6</v>
      </c>
      <c r="AE315" s="514"/>
    </row>
    <row r="316" spans="1:31" ht="13" x14ac:dyDescent="0.3">
      <c r="A316" s="948"/>
      <c r="B316" s="532">
        <v>7</v>
      </c>
      <c r="C316" s="532">
        <f>C75</f>
        <v>35</v>
      </c>
      <c r="D316" s="532">
        <f t="shared" ref="D316:F316" si="134">D75</f>
        <v>-0.4</v>
      </c>
      <c r="E316" s="532">
        <f t="shared" si="134"/>
        <v>9.9999999999999995E-7</v>
      </c>
      <c r="F316" s="532">
        <f t="shared" si="134"/>
        <v>-1.1000000000000001</v>
      </c>
      <c r="G316" s="532">
        <f>G75</f>
        <v>0.5500005</v>
      </c>
      <c r="I316" s="948"/>
      <c r="J316" s="532">
        <v>7</v>
      </c>
      <c r="K316" s="532">
        <f>J75</f>
        <v>70</v>
      </c>
      <c r="L316" s="532">
        <f>K75</f>
        <v>-2.1</v>
      </c>
      <c r="M316" s="532">
        <f>L75</f>
        <v>-2.2999999999999998</v>
      </c>
      <c r="N316" s="532">
        <f>M75</f>
        <v>0.9</v>
      </c>
      <c r="O316" s="532">
        <f>N75</f>
        <v>1.5999999999999999</v>
      </c>
      <c r="Q316" s="948"/>
      <c r="R316" s="532">
        <v>7</v>
      </c>
      <c r="S316" s="532">
        <f>Q75</f>
        <v>1000</v>
      </c>
      <c r="T316" s="532">
        <f>R75</f>
        <v>0.4</v>
      </c>
      <c r="U316" s="532">
        <f>S75</f>
        <v>-3.9</v>
      </c>
      <c r="V316" s="532">
        <f>T75</f>
        <v>-0.4</v>
      </c>
      <c r="W316" s="533">
        <f>U75</f>
        <v>2.15</v>
      </c>
      <c r="AE316" s="514"/>
    </row>
    <row r="317" spans="1:31" ht="13" x14ac:dyDescent="0.3">
      <c r="A317" s="948"/>
      <c r="B317" s="532">
        <v>8</v>
      </c>
      <c r="C317" s="532">
        <f>C86</f>
        <v>35</v>
      </c>
      <c r="D317" s="532">
        <f t="shared" ref="D317:F317" si="135">D86</f>
        <v>-0.1</v>
      </c>
      <c r="E317" s="532">
        <f t="shared" si="135"/>
        <v>-0.5</v>
      </c>
      <c r="F317" s="532">
        <f t="shared" si="135"/>
        <v>0</v>
      </c>
      <c r="G317" s="532">
        <f>G86</f>
        <v>0.2</v>
      </c>
      <c r="I317" s="948"/>
      <c r="J317" s="532">
        <v>8</v>
      </c>
      <c r="K317" s="532">
        <f>J86</f>
        <v>70</v>
      </c>
      <c r="L317" s="532">
        <f>K86</f>
        <v>-4.0999999999999996</v>
      </c>
      <c r="M317" s="532">
        <f>L86</f>
        <v>-1.2</v>
      </c>
      <c r="N317" s="532">
        <f>M86</f>
        <v>0</v>
      </c>
      <c r="O317" s="532">
        <f>N86</f>
        <v>1.4499999999999997</v>
      </c>
      <c r="Q317" s="948"/>
      <c r="R317" s="532">
        <v>8</v>
      </c>
      <c r="S317" s="532">
        <f>Q86</f>
        <v>1000</v>
      </c>
      <c r="T317" s="532">
        <f>R86</f>
        <v>-3.5</v>
      </c>
      <c r="U317" s="532">
        <f>S86</f>
        <v>0.2</v>
      </c>
      <c r="V317" s="532">
        <f>T86</f>
        <v>0</v>
      </c>
      <c r="W317" s="533">
        <f>U86</f>
        <v>1.85</v>
      </c>
      <c r="AE317" s="514"/>
    </row>
    <row r="318" spans="1:31" ht="13" x14ac:dyDescent="0.3">
      <c r="A318" s="948"/>
      <c r="B318" s="532">
        <v>9</v>
      </c>
      <c r="C318" s="532">
        <f>C97</f>
        <v>35</v>
      </c>
      <c r="D318" s="532">
        <f t="shared" ref="D318:F318" si="136">D97</f>
        <v>-0.5</v>
      </c>
      <c r="E318" s="532" t="str">
        <f t="shared" si="136"/>
        <v>-</v>
      </c>
      <c r="F318" s="532">
        <f t="shared" si="136"/>
        <v>0</v>
      </c>
      <c r="G318" s="532">
        <f>G97</f>
        <v>0</v>
      </c>
      <c r="I318" s="948"/>
      <c r="J318" s="532">
        <v>9</v>
      </c>
      <c r="K318" s="532">
        <f>J97</f>
        <v>70</v>
      </c>
      <c r="L318" s="532">
        <f>K97</f>
        <v>-0.6</v>
      </c>
      <c r="M318" s="532" t="str">
        <f>L97</f>
        <v>-</v>
      </c>
      <c r="N318" s="532">
        <f>M97</f>
        <v>0</v>
      </c>
      <c r="O318" s="532">
        <f>N97</f>
        <v>0</v>
      </c>
      <c r="Q318" s="948"/>
      <c r="R318" s="532">
        <v>9</v>
      </c>
      <c r="S318" s="532">
        <f>Q97</f>
        <v>1000</v>
      </c>
      <c r="T318" s="532">
        <f>R97</f>
        <v>0.2</v>
      </c>
      <c r="U318" s="532" t="str">
        <f>S97</f>
        <v>-</v>
      </c>
      <c r="V318" s="532">
        <f>T97</f>
        <v>0</v>
      </c>
      <c r="W318" s="533">
        <f>U97</f>
        <v>0</v>
      </c>
      <c r="AE318" s="514"/>
    </row>
    <row r="319" spans="1:31" ht="13" x14ac:dyDescent="0.3">
      <c r="A319" s="948"/>
      <c r="B319" s="532">
        <v>10</v>
      </c>
      <c r="C319" s="532">
        <f>C108</f>
        <v>35</v>
      </c>
      <c r="D319" s="532">
        <f t="shared" ref="D319:F319" si="137">D108</f>
        <v>0.2</v>
      </c>
      <c r="E319" s="532">
        <f t="shared" si="137"/>
        <v>0.8</v>
      </c>
      <c r="F319" s="532">
        <f t="shared" si="137"/>
        <v>0</v>
      </c>
      <c r="G319" s="532">
        <f>G108</f>
        <v>0.30000000000000004</v>
      </c>
      <c r="I319" s="948"/>
      <c r="J319" s="532">
        <v>10</v>
      </c>
      <c r="K319" s="532">
        <f>J108</f>
        <v>70</v>
      </c>
      <c r="L319" s="532">
        <f>K108</f>
        <v>-0.3</v>
      </c>
      <c r="M319" s="532">
        <f>L108</f>
        <v>-5.0999999999999996</v>
      </c>
      <c r="N319" s="532">
        <f>M108</f>
        <v>0</v>
      </c>
      <c r="O319" s="532">
        <f>N108</f>
        <v>2.4</v>
      </c>
      <c r="Q319" s="948"/>
      <c r="R319" s="532">
        <v>10</v>
      </c>
      <c r="S319" s="532">
        <f>Q108</f>
        <v>1000</v>
      </c>
      <c r="T319" s="532" t="str">
        <f>R108</f>
        <v>-</v>
      </c>
      <c r="U319" s="532" t="str">
        <f>S108</f>
        <v>-</v>
      </c>
      <c r="V319" s="532">
        <f>T108</f>
        <v>0</v>
      </c>
      <c r="W319" s="533">
        <f>U108</f>
        <v>0</v>
      </c>
      <c r="AE319" s="514"/>
    </row>
    <row r="320" spans="1:31" ht="13" x14ac:dyDescent="0.3">
      <c r="A320" s="948"/>
      <c r="B320" s="532">
        <v>11</v>
      </c>
      <c r="C320" s="532">
        <f>C119</f>
        <v>35</v>
      </c>
      <c r="D320" s="532">
        <f t="shared" ref="D320:F320" si="138">D119</f>
        <v>0.5</v>
      </c>
      <c r="E320" s="532">
        <f t="shared" si="138"/>
        <v>0.4</v>
      </c>
      <c r="F320" s="532">
        <f t="shared" si="138"/>
        <v>0</v>
      </c>
      <c r="G320" s="532">
        <f>G119</f>
        <v>4.9999999999999989E-2</v>
      </c>
      <c r="I320" s="948"/>
      <c r="J320" s="532">
        <v>11</v>
      </c>
      <c r="K320" s="532">
        <f>J119</f>
        <v>70</v>
      </c>
      <c r="L320" s="532">
        <f>K119</f>
        <v>-3.4</v>
      </c>
      <c r="M320" s="532">
        <f>L119</f>
        <v>-1.7</v>
      </c>
      <c r="N320" s="532">
        <f>M119</f>
        <v>0</v>
      </c>
      <c r="O320" s="532">
        <f>N119</f>
        <v>0.85</v>
      </c>
      <c r="Q320" s="948"/>
      <c r="R320" s="532">
        <v>11</v>
      </c>
      <c r="S320" s="532">
        <f>Q119</f>
        <v>1000</v>
      </c>
      <c r="T320" s="532" t="str">
        <f>R119</f>
        <v>-</v>
      </c>
      <c r="U320" s="532" t="str">
        <f>S119</f>
        <v>-</v>
      </c>
      <c r="V320" s="532">
        <f>T119</f>
        <v>0</v>
      </c>
      <c r="W320" s="533">
        <f>U119</f>
        <v>0</v>
      </c>
      <c r="AE320" s="514"/>
    </row>
    <row r="321" spans="1:31" ht="13" x14ac:dyDescent="0.3">
      <c r="A321" s="948"/>
      <c r="B321" s="532">
        <v>12</v>
      </c>
      <c r="C321" s="532">
        <f>C130</f>
        <v>35</v>
      </c>
      <c r="D321" s="532">
        <f t="shared" ref="D321:F321" si="139">D130</f>
        <v>-0.2</v>
      </c>
      <c r="E321" s="532" t="str">
        <f t="shared" si="139"/>
        <v>-</v>
      </c>
      <c r="F321" s="532">
        <f t="shared" si="139"/>
        <v>0</v>
      </c>
      <c r="G321" s="532">
        <f>G130</f>
        <v>0</v>
      </c>
      <c r="I321" s="948"/>
      <c r="J321" s="532">
        <v>12</v>
      </c>
      <c r="K321" s="532">
        <f>J130</f>
        <v>70</v>
      </c>
      <c r="L321" s="532">
        <f>K130</f>
        <v>-0.1</v>
      </c>
      <c r="M321" s="532" t="str">
        <f>L130</f>
        <v>-</v>
      </c>
      <c r="N321" s="532">
        <f>M130</f>
        <v>0</v>
      </c>
      <c r="O321" s="532">
        <f>N130</f>
        <v>0</v>
      </c>
      <c r="Q321" s="948"/>
      <c r="R321" s="532">
        <v>12</v>
      </c>
      <c r="S321" s="532">
        <f>Q130</f>
        <v>1000</v>
      </c>
      <c r="T321" s="532">
        <f>R130</f>
        <v>-0.8</v>
      </c>
      <c r="U321" s="532" t="str">
        <f>S130</f>
        <v>-</v>
      </c>
      <c r="V321" s="532">
        <f>T130</f>
        <v>0</v>
      </c>
      <c r="W321" s="533">
        <f>U130</f>
        <v>0</v>
      </c>
      <c r="AE321" s="514"/>
    </row>
    <row r="322" spans="1:31" ht="13" x14ac:dyDescent="0.3">
      <c r="A322" s="948"/>
      <c r="B322" s="532">
        <v>13</v>
      </c>
      <c r="C322" s="532">
        <f>C141</f>
        <v>35</v>
      </c>
      <c r="D322" s="532">
        <f>E141</f>
        <v>0.3</v>
      </c>
      <c r="E322" s="532" t="str">
        <f>F141</f>
        <v>-</v>
      </c>
      <c r="F322" s="536">
        <v>9.9999999999999995E-7</v>
      </c>
      <c r="G322" s="532">
        <f>G141</f>
        <v>0</v>
      </c>
      <c r="I322" s="948"/>
      <c r="J322" s="532">
        <v>13</v>
      </c>
      <c r="K322" s="532">
        <f>J141</f>
        <v>70</v>
      </c>
      <c r="L322" s="532">
        <f>L141</f>
        <v>-1.9</v>
      </c>
      <c r="M322" s="532" t="str">
        <f>M141</f>
        <v>-</v>
      </c>
      <c r="N322" s="536">
        <v>9.9999999999999995E-7</v>
      </c>
      <c r="O322" s="532">
        <f>N141</f>
        <v>0</v>
      </c>
      <c r="Q322" s="948"/>
      <c r="R322" s="532">
        <v>13</v>
      </c>
      <c r="S322" s="532">
        <f>Q141</f>
        <v>1000</v>
      </c>
      <c r="T322" s="532">
        <f>S141</f>
        <v>1.1000000000000001</v>
      </c>
      <c r="U322" s="532" t="str">
        <f>T141</f>
        <v>-</v>
      </c>
      <c r="V322" s="536">
        <v>9.9999999999999995E-7</v>
      </c>
      <c r="W322" s="533">
        <f>U141</f>
        <v>0</v>
      </c>
      <c r="AE322" s="514"/>
    </row>
    <row r="323" spans="1:31" ht="13" x14ac:dyDescent="0.3">
      <c r="A323" s="948"/>
      <c r="B323" s="532">
        <v>14</v>
      </c>
      <c r="C323" s="532">
        <f>C152</f>
        <v>35</v>
      </c>
      <c r="D323" s="532">
        <f>E152</f>
        <v>-0.6</v>
      </c>
      <c r="E323" s="532" t="str">
        <f>F152</f>
        <v>-</v>
      </c>
      <c r="F323" s="536">
        <v>9.9999999999999995E-7</v>
      </c>
      <c r="G323" s="532">
        <f>G152</f>
        <v>0</v>
      </c>
      <c r="I323" s="948"/>
      <c r="J323" s="532">
        <v>14</v>
      </c>
      <c r="K323" s="532">
        <f>J152</f>
        <v>70</v>
      </c>
      <c r="L323" s="532">
        <f>L152</f>
        <v>-0.8</v>
      </c>
      <c r="M323" s="532" t="str">
        <f>M152</f>
        <v>-</v>
      </c>
      <c r="N323" s="536">
        <v>9.9999999999999995E-7</v>
      </c>
      <c r="O323" s="532">
        <f>N152</f>
        <v>0</v>
      </c>
      <c r="Q323" s="948"/>
      <c r="R323" s="532">
        <v>14</v>
      </c>
      <c r="S323" s="532">
        <f>Q152</f>
        <v>1000</v>
      </c>
      <c r="T323" s="532">
        <f>S152</f>
        <v>1.1000000000000001</v>
      </c>
      <c r="U323" s="532" t="str">
        <f>T152</f>
        <v>-</v>
      </c>
      <c r="V323" s="536">
        <v>9.9999999999999995E-7</v>
      </c>
      <c r="W323" s="533">
        <f>U152</f>
        <v>0</v>
      </c>
      <c r="AE323" s="514"/>
    </row>
    <row r="324" spans="1:31" ht="13" x14ac:dyDescent="0.3">
      <c r="A324" s="948"/>
      <c r="B324" s="532">
        <v>15</v>
      </c>
      <c r="C324" s="532">
        <f>C163</f>
        <v>35</v>
      </c>
      <c r="D324" s="532">
        <f>E163</f>
        <v>-0.1</v>
      </c>
      <c r="E324" s="532" t="str">
        <f>F163</f>
        <v>-</v>
      </c>
      <c r="F324" s="536">
        <v>9.9999999999999995E-7</v>
      </c>
      <c r="G324" s="532">
        <f>G163</f>
        <v>0</v>
      </c>
      <c r="I324" s="948"/>
      <c r="J324" s="532">
        <v>15</v>
      </c>
      <c r="K324" s="532">
        <f>J163</f>
        <v>70</v>
      </c>
      <c r="L324" s="532">
        <f>L163</f>
        <v>-0.8</v>
      </c>
      <c r="M324" s="532" t="str">
        <f>M163</f>
        <v>-</v>
      </c>
      <c r="N324" s="536">
        <v>9.9999999999999995E-7</v>
      </c>
      <c r="O324" s="532">
        <f>N163</f>
        <v>0</v>
      </c>
      <c r="Q324" s="948"/>
      <c r="R324" s="532">
        <v>15</v>
      </c>
      <c r="S324" s="532">
        <f>Q163</f>
        <v>1000</v>
      </c>
      <c r="T324" s="532">
        <f>S163</f>
        <v>1.1000000000000001</v>
      </c>
      <c r="U324" s="532" t="str">
        <f>T163</f>
        <v>-</v>
      </c>
      <c r="V324" s="536">
        <v>9.9999999999999995E-7</v>
      </c>
      <c r="W324" s="533">
        <f>U163</f>
        <v>0</v>
      </c>
      <c r="AE324" s="514"/>
    </row>
    <row r="325" spans="1:31" ht="13" x14ac:dyDescent="0.3">
      <c r="A325" s="948"/>
      <c r="B325" s="532">
        <v>16</v>
      </c>
      <c r="C325" s="532">
        <f>C174</f>
        <v>35</v>
      </c>
      <c r="D325" s="532">
        <f t="shared" ref="D325:F325" si="140">D174</f>
        <v>0.6</v>
      </c>
      <c r="E325" s="532">
        <f t="shared" si="140"/>
        <v>0.1</v>
      </c>
      <c r="F325" s="532">
        <f t="shared" si="140"/>
        <v>0</v>
      </c>
      <c r="G325" s="532">
        <f>G174</f>
        <v>0.25</v>
      </c>
      <c r="I325" s="948"/>
      <c r="J325" s="532">
        <v>16</v>
      </c>
      <c r="K325" s="532">
        <f>J174</f>
        <v>70</v>
      </c>
      <c r="L325" s="532">
        <f>K174</f>
        <v>-2.1</v>
      </c>
      <c r="M325" s="532">
        <f>L174</f>
        <v>-1.8</v>
      </c>
      <c r="N325" s="532">
        <f>M174</f>
        <v>0</v>
      </c>
      <c r="O325" s="532">
        <f>N174</f>
        <v>0.15000000000000002</v>
      </c>
      <c r="Q325" s="948"/>
      <c r="R325" s="532">
        <v>16</v>
      </c>
      <c r="S325" s="532">
        <f>Q174</f>
        <v>1000</v>
      </c>
      <c r="T325" s="532">
        <f>R174</f>
        <v>4.3</v>
      </c>
      <c r="U325" s="532">
        <f>S174</f>
        <v>-0.4</v>
      </c>
      <c r="V325" s="532">
        <f>T174</f>
        <v>0</v>
      </c>
      <c r="W325" s="533">
        <f>U174</f>
        <v>2.35</v>
      </c>
      <c r="AE325" s="514"/>
    </row>
    <row r="326" spans="1:31" ht="13" x14ac:dyDescent="0.3">
      <c r="A326" s="948"/>
      <c r="B326" s="532">
        <v>17</v>
      </c>
      <c r="C326" s="532">
        <f>C185</f>
        <v>35</v>
      </c>
      <c r="D326" s="532">
        <f t="shared" ref="D326:F326" si="141">D185</f>
        <v>0.7</v>
      </c>
      <c r="E326" s="532">
        <f t="shared" si="141"/>
        <v>-0.5</v>
      </c>
      <c r="F326" s="532">
        <f t="shared" si="141"/>
        <v>0</v>
      </c>
      <c r="G326" s="532">
        <f>G185</f>
        <v>0.6</v>
      </c>
      <c r="I326" s="948"/>
      <c r="J326" s="532">
        <v>17</v>
      </c>
      <c r="K326" s="532">
        <f>J185</f>
        <v>70</v>
      </c>
      <c r="L326" s="532">
        <f>K185</f>
        <v>-1.8</v>
      </c>
      <c r="M326" s="532">
        <f>L185</f>
        <v>-0.3</v>
      </c>
      <c r="N326" s="532">
        <f>M185</f>
        <v>0</v>
      </c>
      <c r="O326" s="532">
        <f>N185</f>
        <v>0.75</v>
      </c>
      <c r="Q326" s="948"/>
      <c r="R326" s="532">
        <v>17</v>
      </c>
      <c r="S326" s="532">
        <f>Q185</f>
        <v>1000</v>
      </c>
      <c r="T326" s="532">
        <f>R185</f>
        <v>4.5</v>
      </c>
      <c r="U326" s="532">
        <f>S185</f>
        <v>-0.6</v>
      </c>
      <c r="V326" s="532">
        <f>T185</f>
        <v>0</v>
      </c>
      <c r="W326" s="533">
        <f>U185</f>
        <v>2.5499999999999998</v>
      </c>
      <c r="AE326" s="514"/>
    </row>
    <row r="327" spans="1:31" ht="13" x14ac:dyDescent="0.3">
      <c r="A327" s="948"/>
      <c r="B327" s="532">
        <v>18</v>
      </c>
      <c r="C327" s="532">
        <f>C196</f>
        <v>35</v>
      </c>
      <c r="D327" s="532">
        <f t="shared" ref="D327:F327" si="142">D196</f>
        <v>0.4</v>
      </c>
      <c r="E327" s="532">
        <f t="shared" si="142"/>
        <v>-0.3</v>
      </c>
      <c r="F327" s="532">
        <f t="shared" si="142"/>
        <v>0</v>
      </c>
      <c r="G327" s="532">
        <f>G196</f>
        <v>0.35</v>
      </c>
      <c r="I327" s="948"/>
      <c r="J327" s="532">
        <v>18</v>
      </c>
      <c r="K327" s="532">
        <f>J196</f>
        <v>70</v>
      </c>
      <c r="L327" s="532">
        <f>K196</f>
        <v>-2.2000000000000002</v>
      </c>
      <c r="M327" s="532">
        <f>L196</f>
        <v>-0.3</v>
      </c>
      <c r="N327" s="532">
        <f>M196</f>
        <v>0</v>
      </c>
      <c r="O327" s="532">
        <f>N196</f>
        <v>0.95000000000000007</v>
      </c>
      <c r="Q327" s="948"/>
      <c r="R327" s="532">
        <v>18</v>
      </c>
      <c r="S327" s="532">
        <f>Q196</f>
        <v>1000</v>
      </c>
      <c r="T327" s="532">
        <f>R196</f>
        <v>4.4000000000000004</v>
      </c>
      <c r="U327" s="532">
        <f>S196</f>
        <v>-0.8</v>
      </c>
      <c r="V327" s="532">
        <f>T196</f>
        <v>0</v>
      </c>
      <c r="W327" s="533">
        <f>U196</f>
        <v>2.6</v>
      </c>
      <c r="AE327" s="514"/>
    </row>
    <row r="328" spans="1:31" ht="13" x14ac:dyDescent="0.3">
      <c r="A328" s="948"/>
      <c r="B328" s="532">
        <v>19</v>
      </c>
      <c r="C328" s="532">
        <f>C207</f>
        <v>35</v>
      </c>
      <c r="D328" s="532">
        <f t="shared" ref="D328:F328" si="143">D207</f>
        <v>-0.1</v>
      </c>
      <c r="E328" s="532" t="str">
        <f t="shared" si="143"/>
        <v>-</v>
      </c>
      <c r="F328" s="532">
        <f t="shared" si="143"/>
        <v>0</v>
      </c>
      <c r="G328" s="532">
        <f>G207</f>
        <v>0</v>
      </c>
      <c r="I328" s="948"/>
      <c r="J328" s="532">
        <v>19</v>
      </c>
      <c r="K328" s="532">
        <f>J207</f>
        <v>70</v>
      </c>
      <c r="L328" s="532">
        <f>K207</f>
        <v>-0.7</v>
      </c>
      <c r="M328" s="532" t="str">
        <f>L207</f>
        <v>-</v>
      </c>
      <c r="N328" s="532">
        <f>M207</f>
        <v>0</v>
      </c>
      <c r="O328" s="532">
        <f>N207</f>
        <v>0</v>
      </c>
      <c r="Q328" s="948"/>
      <c r="R328" s="532">
        <v>19</v>
      </c>
      <c r="S328" s="532">
        <f>Q207</f>
        <v>1000</v>
      </c>
      <c r="T328" s="532">
        <f>R207</f>
        <v>2.2000000000000002</v>
      </c>
      <c r="U328" s="532" t="str">
        <f>S207</f>
        <v>-</v>
      </c>
      <c r="V328" s="532">
        <f>T207</f>
        <v>0</v>
      </c>
      <c r="W328" s="533">
        <f>U207</f>
        <v>0</v>
      </c>
      <c r="AE328" s="514"/>
    </row>
    <row r="329" spans="1:31" ht="13.5" thickBot="1" x14ac:dyDescent="0.35">
      <c r="A329" s="948"/>
      <c r="B329" s="532">
        <v>20</v>
      </c>
      <c r="C329" s="532">
        <f>C218</f>
        <v>34.5</v>
      </c>
      <c r="D329" s="532">
        <f t="shared" ref="D329:F329" si="144">D218</f>
        <v>9.9999999999999995E-7</v>
      </c>
      <c r="E329" s="532" t="str">
        <f t="shared" si="144"/>
        <v>-</v>
      </c>
      <c r="F329" s="532">
        <f t="shared" si="144"/>
        <v>9.9999999999999995E-7</v>
      </c>
      <c r="G329" s="532">
        <f>G218</f>
        <v>0</v>
      </c>
      <c r="I329" s="948"/>
      <c r="J329" s="532">
        <v>20</v>
      </c>
      <c r="K329" s="532">
        <f>J218</f>
        <v>80.8</v>
      </c>
      <c r="L329" s="532">
        <f>K218</f>
        <v>9.9999999999999995E-7</v>
      </c>
      <c r="M329" s="532" t="str">
        <f>L218</f>
        <v>-</v>
      </c>
      <c r="N329" s="532">
        <f>M218</f>
        <v>0</v>
      </c>
      <c r="O329" s="532">
        <f>N218</f>
        <v>0</v>
      </c>
      <c r="Q329" s="950"/>
      <c r="R329" s="541">
        <v>20</v>
      </c>
      <c r="S329" s="541">
        <f>Q218</f>
        <v>1000</v>
      </c>
      <c r="T329" s="541" t="str">
        <f>R218</f>
        <v>-</v>
      </c>
      <c r="U329" s="541" t="str">
        <f>S218</f>
        <v>-</v>
      </c>
      <c r="V329" s="541">
        <f>T218</f>
        <v>0</v>
      </c>
      <c r="W329" s="555">
        <f>U218</f>
        <v>0</v>
      </c>
      <c r="AE329" s="545"/>
    </row>
    <row r="330" spans="1:31" ht="13.5" thickBot="1" x14ac:dyDescent="0.35">
      <c r="A330" s="470"/>
      <c r="B330" s="470"/>
      <c r="C330" s="470"/>
      <c r="D330" s="470"/>
      <c r="E330" s="470"/>
      <c r="F330" s="463"/>
      <c r="G330" s="470"/>
      <c r="I330" s="470"/>
      <c r="J330" s="470"/>
      <c r="K330" s="470"/>
      <c r="L330" s="470"/>
      <c r="M330" s="470"/>
      <c r="N330" s="463"/>
      <c r="O330" s="470"/>
      <c r="Q330" s="556"/>
      <c r="R330" s="546"/>
      <c r="S330" s="131"/>
      <c r="T330" s="131"/>
      <c r="U330" s="131"/>
      <c r="W330" s="132"/>
      <c r="AE330" s="514"/>
    </row>
    <row r="331" spans="1:31" ht="13" x14ac:dyDescent="0.3">
      <c r="A331" s="948">
        <v>6</v>
      </c>
      <c r="B331" s="532">
        <v>1</v>
      </c>
      <c r="C331" s="532">
        <f>C10</f>
        <v>37</v>
      </c>
      <c r="D331" s="532">
        <f t="shared" ref="D331:F331" si="145">D10</f>
        <v>-0.2</v>
      </c>
      <c r="E331" s="532">
        <f t="shared" si="145"/>
        <v>-0.6</v>
      </c>
      <c r="F331" s="532">
        <f t="shared" si="145"/>
        <v>0</v>
      </c>
      <c r="G331" s="532">
        <f>G10</f>
        <v>0.3</v>
      </c>
      <c r="I331" s="948">
        <v>6</v>
      </c>
      <c r="J331" s="532">
        <v>1</v>
      </c>
      <c r="K331" s="532">
        <f>J10</f>
        <v>80</v>
      </c>
      <c r="L331" s="532">
        <f>K10</f>
        <v>-3.2</v>
      </c>
      <c r="M331" s="532">
        <f>L10</f>
        <v>0.7</v>
      </c>
      <c r="N331" s="532">
        <f>M10</f>
        <v>0</v>
      </c>
      <c r="O331" s="532">
        <f>N10</f>
        <v>1.9500000000000002</v>
      </c>
      <c r="Q331" s="949">
        <v>6</v>
      </c>
      <c r="R331" s="550">
        <v>1</v>
      </c>
      <c r="S331" s="550">
        <f>Q10</f>
        <v>1005</v>
      </c>
      <c r="T331" s="550" t="str">
        <f>R10</f>
        <v>-</v>
      </c>
      <c r="U331" s="550" t="str">
        <f>S10</f>
        <v>-</v>
      </c>
      <c r="V331" s="550">
        <f>T10</f>
        <v>0</v>
      </c>
      <c r="W331" s="557">
        <f>U10</f>
        <v>0</v>
      </c>
      <c r="AE331" s="553"/>
    </row>
    <row r="332" spans="1:31" ht="13" x14ac:dyDescent="0.3">
      <c r="A332" s="948"/>
      <c r="B332" s="532">
        <v>2</v>
      </c>
      <c r="C332" s="532">
        <f>C21</f>
        <v>37</v>
      </c>
      <c r="D332" s="532">
        <f t="shared" ref="D332:F332" si="146">D21</f>
        <v>0.6</v>
      </c>
      <c r="E332" s="532">
        <f t="shared" si="146"/>
        <v>-0.2</v>
      </c>
      <c r="F332" s="532">
        <f t="shared" si="146"/>
        <v>-0.3</v>
      </c>
      <c r="G332" s="532">
        <f>G21</f>
        <v>0.44999999999999996</v>
      </c>
      <c r="I332" s="948"/>
      <c r="J332" s="532">
        <v>2</v>
      </c>
      <c r="K332" s="532">
        <f>J21</f>
        <v>80</v>
      </c>
      <c r="L332" s="532">
        <f>K21</f>
        <v>-1.1000000000000001</v>
      </c>
      <c r="M332" s="532">
        <f>L21</f>
        <v>-0.5</v>
      </c>
      <c r="N332" s="532">
        <f>M21</f>
        <v>-0.7</v>
      </c>
      <c r="O332" s="532">
        <f>N21</f>
        <v>0.30000000000000004</v>
      </c>
      <c r="Q332" s="948"/>
      <c r="R332" s="532">
        <v>2</v>
      </c>
      <c r="S332" s="532">
        <f>Q21</f>
        <v>1005</v>
      </c>
      <c r="T332" s="532" t="str">
        <f>R21</f>
        <v>-</v>
      </c>
      <c r="U332" s="532" t="str">
        <f>S21</f>
        <v>-</v>
      </c>
      <c r="V332" s="532">
        <f>T21</f>
        <v>0</v>
      </c>
      <c r="W332" s="533">
        <f>U21</f>
        <v>0</v>
      </c>
      <c r="AE332" s="514"/>
    </row>
    <row r="333" spans="1:31" ht="13" x14ac:dyDescent="0.3">
      <c r="A333" s="948"/>
      <c r="B333" s="532">
        <v>3</v>
      </c>
      <c r="C333" s="532">
        <f>C32</f>
        <v>37</v>
      </c>
      <c r="D333" s="532">
        <f t="shared" ref="D333:F333" si="147">D32</f>
        <v>0.3</v>
      </c>
      <c r="E333" s="532">
        <f t="shared" si="147"/>
        <v>-0.2</v>
      </c>
      <c r="F333" s="532">
        <f t="shared" si="147"/>
        <v>-0.6</v>
      </c>
      <c r="G333" s="532">
        <f>G32</f>
        <v>0.44999999999999996</v>
      </c>
      <c r="I333" s="948"/>
      <c r="J333" s="532">
        <v>3</v>
      </c>
      <c r="K333" s="532">
        <f>J32</f>
        <v>80</v>
      </c>
      <c r="L333" s="532">
        <f>K32</f>
        <v>-2.7</v>
      </c>
      <c r="M333" s="532">
        <f>L32</f>
        <v>-0.8</v>
      </c>
      <c r="N333" s="532">
        <f>M32</f>
        <v>-2.9</v>
      </c>
      <c r="O333" s="532">
        <f>N32</f>
        <v>1.0499999999999998</v>
      </c>
      <c r="Q333" s="948"/>
      <c r="R333" s="532">
        <v>3</v>
      </c>
      <c r="S333" s="532">
        <f>Q32</f>
        <v>1005</v>
      </c>
      <c r="T333" s="532" t="str">
        <f>R32</f>
        <v>-</v>
      </c>
      <c r="U333" s="532" t="str">
        <f>S32</f>
        <v>-</v>
      </c>
      <c r="V333" s="532">
        <f>T32</f>
        <v>0</v>
      </c>
      <c r="W333" s="533">
        <f>U32</f>
        <v>0</v>
      </c>
      <c r="AE333" s="514"/>
    </row>
    <row r="334" spans="1:31" ht="13" x14ac:dyDescent="0.3">
      <c r="A334" s="948"/>
      <c r="B334" s="532">
        <v>4</v>
      </c>
      <c r="C334" s="532">
        <f>C43</f>
        <v>37</v>
      </c>
      <c r="D334" s="532">
        <f t="shared" ref="D334:F334" si="148">D43</f>
        <v>-0.4</v>
      </c>
      <c r="E334" s="532">
        <f t="shared" si="148"/>
        <v>-0.6</v>
      </c>
      <c r="F334" s="532">
        <f t="shared" si="148"/>
        <v>0</v>
      </c>
      <c r="G334" s="532">
        <f>G43</f>
        <v>9.9999999999999978E-2</v>
      </c>
      <c r="I334" s="948"/>
      <c r="J334" s="532">
        <v>4</v>
      </c>
      <c r="K334" s="532">
        <f>J43</f>
        <v>80</v>
      </c>
      <c r="L334" s="532">
        <f>K43</f>
        <v>-3.8</v>
      </c>
      <c r="M334" s="532">
        <f>L43</f>
        <v>1.9</v>
      </c>
      <c r="N334" s="532">
        <f>M43</f>
        <v>0</v>
      </c>
      <c r="O334" s="532">
        <f>N43</f>
        <v>2.8499999999999996</v>
      </c>
      <c r="Q334" s="948"/>
      <c r="R334" s="532">
        <v>4</v>
      </c>
      <c r="S334" s="532">
        <f>Q43</f>
        <v>1005</v>
      </c>
      <c r="T334" s="532" t="str">
        <f>R43</f>
        <v>-</v>
      </c>
      <c r="U334" s="532" t="str">
        <f>S43</f>
        <v>-</v>
      </c>
      <c r="V334" s="532">
        <f>T43</f>
        <v>0</v>
      </c>
      <c r="W334" s="533">
        <f>U43</f>
        <v>0</v>
      </c>
      <c r="AE334" s="514"/>
    </row>
    <row r="335" spans="1:31" ht="13" x14ac:dyDescent="0.3">
      <c r="A335" s="948"/>
      <c r="B335" s="532">
        <v>5</v>
      </c>
      <c r="C335" s="532">
        <f>C54</f>
        <v>37</v>
      </c>
      <c r="D335" s="532">
        <f t="shared" ref="D335:F335" si="149">D54</f>
        <v>0.03</v>
      </c>
      <c r="E335" s="532">
        <f t="shared" si="149"/>
        <v>0.7</v>
      </c>
      <c r="F335" s="532">
        <f t="shared" si="149"/>
        <v>9.9999999999999995E-7</v>
      </c>
      <c r="G335" s="532">
        <f>G54</f>
        <v>0.34999949999999996</v>
      </c>
      <c r="I335" s="948"/>
      <c r="J335" s="532">
        <v>5</v>
      </c>
      <c r="K335" s="532">
        <f>J54</f>
        <v>80</v>
      </c>
      <c r="L335" s="532">
        <f>K54</f>
        <v>-6.3</v>
      </c>
      <c r="M335" s="532">
        <f>L54</f>
        <v>-3</v>
      </c>
      <c r="N335" s="532">
        <f>M54</f>
        <v>0.2</v>
      </c>
      <c r="O335" s="532">
        <f>N54</f>
        <v>3.25</v>
      </c>
      <c r="Q335" s="948"/>
      <c r="R335" s="532">
        <v>5</v>
      </c>
      <c r="S335" s="532">
        <f>Q54</f>
        <v>1005</v>
      </c>
      <c r="T335" s="532" t="str">
        <f>R54</f>
        <v>-</v>
      </c>
      <c r="U335" s="532" t="str">
        <f>S54</f>
        <v>-</v>
      </c>
      <c r="V335" s="532">
        <f>T54</f>
        <v>0</v>
      </c>
      <c r="W335" s="533">
        <f>U54</f>
        <v>0</v>
      </c>
      <c r="AE335" s="514"/>
    </row>
    <row r="336" spans="1:31" ht="13" x14ac:dyDescent="0.3">
      <c r="A336" s="948"/>
      <c r="B336" s="532">
        <v>6</v>
      </c>
      <c r="C336" s="532">
        <f>C65</f>
        <v>37</v>
      </c>
      <c r="D336" s="532">
        <f t="shared" ref="D336:F336" si="150">D65</f>
        <v>0.1</v>
      </c>
      <c r="E336" s="532">
        <f t="shared" si="150"/>
        <v>-1.1000000000000001</v>
      </c>
      <c r="F336" s="532">
        <f t="shared" si="150"/>
        <v>0</v>
      </c>
      <c r="G336" s="532">
        <f>G65</f>
        <v>0.60000000000000009</v>
      </c>
      <c r="I336" s="948"/>
      <c r="J336" s="532">
        <v>6</v>
      </c>
      <c r="K336" s="532">
        <f>J65</f>
        <v>80</v>
      </c>
      <c r="L336" s="532">
        <f>K65</f>
        <v>-6.3</v>
      </c>
      <c r="M336" s="532">
        <f>L65</f>
        <v>0.8</v>
      </c>
      <c r="N336" s="532">
        <f>M65</f>
        <v>0</v>
      </c>
      <c r="O336" s="532">
        <f>N65</f>
        <v>3.55</v>
      </c>
      <c r="Q336" s="948"/>
      <c r="R336" s="532">
        <v>6</v>
      </c>
      <c r="S336" s="532">
        <f>Q65</f>
        <v>1005</v>
      </c>
      <c r="T336" s="532">
        <f>R65</f>
        <v>0.9</v>
      </c>
      <c r="U336" s="532">
        <f>S65</f>
        <v>-0.3</v>
      </c>
      <c r="V336" s="532">
        <f>T65</f>
        <v>0</v>
      </c>
      <c r="W336" s="533">
        <f>U65</f>
        <v>0.6</v>
      </c>
      <c r="AE336" s="514"/>
    </row>
    <row r="337" spans="1:31" ht="13" x14ac:dyDescent="0.3">
      <c r="A337" s="948"/>
      <c r="B337" s="532">
        <v>7</v>
      </c>
      <c r="C337" s="532">
        <f>C76</f>
        <v>37</v>
      </c>
      <c r="D337" s="532">
        <f t="shared" ref="D337:F337" si="151">D76</f>
        <v>-0.4</v>
      </c>
      <c r="E337" s="532">
        <f t="shared" si="151"/>
        <v>9.9999999999999995E-7</v>
      </c>
      <c r="F337" s="532">
        <f t="shared" si="151"/>
        <v>-1.4</v>
      </c>
      <c r="G337" s="532">
        <f>G76</f>
        <v>0.70000049999999991</v>
      </c>
      <c r="I337" s="948"/>
      <c r="J337" s="532">
        <v>7</v>
      </c>
      <c r="K337" s="532">
        <f>J76</f>
        <v>80</v>
      </c>
      <c r="L337" s="532">
        <f>K76</f>
        <v>-1.9</v>
      </c>
      <c r="M337" s="532">
        <f>L76</f>
        <v>-2.6</v>
      </c>
      <c r="N337" s="532">
        <f>M76</f>
        <v>1.2</v>
      </c>
      <c r="O337" s="532">
        <f>N76</f>
        <v>1.9</v>
      </c>
      <c r="Q337" s="948"/>
      <c r="R337" s="532">
        <v>7</v>
      </c>
      <c r="S337" s="532">
        <f>Q76</f>
        <v>1005</v>
      </c>
      <c r="T337" s="532" t="str">
        <f>R76</f>
        <v>-</v>
      </c>
      <c r="U337" s="532">
        <f>S76</f>
        <v>-3.8</v>
      </c>
      <c r="V337" s="532">
        <f>T76</f>
        <v>-0.5</v>
      </c>
      <c r="W337" s="533">
        <f>U76</f>
        <v>1.65</v>
      </c>
      <c r="AE337" s="514"/>
    </row>
    <row r="338" spans="1:31" ht="13" x14ac:dyDescent="0.3">
      <c r="A338" s="948"/>
      <c r="B338" s="532">
        <v>8</v>
      </c>
      <c r="C338" s="532">
        <f>C87</f>
        <v>37</v>
      </c>
      <c r="D338" s="532">
        <f t="shared" ref="D338:F338" si="152">D87</f>
        <v>-0.1</v>
      </c>
      <c r="E338" s="532">
        <f t="shared" si="152"/>
        <v>-0.5</v>
      </c>
      <c r="F338" s="532">
        <f t="shared" si="152"/>
        <v>0</v>
      </c>
      <c r="G338" s="532">
        <f>G87</f>
        <v>0.2</v>
      </c>
      <c r="I338" s="948"/>
      <c r="J338" s="532">
        <v>8</v>
      </c>
      <c r="K338" s="532">
        <f>J87</f>
        <v>80</v>
      </c>
      <c r="L338" s="532">
        <f>K87</f>
        <v>-4.5</v>
      </c>
      <c r="M338" s="532">
        <f>L87</f>
        <v>-1.2</v>
      </c>
      <c r="N338" s="532">
        <f>M87</f>
        <v>0</v>
      </c>
      <c r="O338" s="532">
        <f>N87</f>
        <v>1.65</v>
      </c>
      <c r="Q338" s="948"/>
      <c r="R338" s="532">
        <v>8</v>
      </c>
      <c r="S338" s="532">
        <f>Q87</f>
        <v>1005</v>
      </c>
      <c r="T338" s="532">
        <f>R87</f>
        <v>-3.4</v>
      </c>
      <c r="U338" s="532">
        <f>S87</f>
        <v>0.2</v>
      </c>
      <c r="V338" s="532">
        <f>T87</f>
        <v>0</v>
      </c>
      <c r="W338" s="533">
        <f>U87</f>
        <v>1.8</v>
      </c>
      <c r="AE338" s="514"/>
    </row>
    <row r="339" spans="1:31" ht="13" x14ac:dyDescent="0.3">
      <c r="A339" s="948"/>
      <c r="B339" s="532">
        <v>9</v>
      </c>
      <c r="C339" s="532">
        <f>C98</f>
        <v>37</v>
      </c>
      <c r="D339" s="532">
        <f t="shared" ref="D339:F339" si="153">D98</f>
        <v>-0.5</v>
      </c>
      <c r="E339" s="532" t="str">
        <f t="shared" si="153"/>
        <v>-</v>
      </c>
      <c r="F339" s="532">
        <f t="shared" si="153"/>
        <v>0</v>
      </c>
      <c r="G339" s="532">
        <f>G98</f>
        <v>0</v>
      </c>
      <c r="I339" s="948"/>
      <c r="J339" s="532">
        <v>9</v>
      </c>
      <c r="K339" s="532">
        <f>J98</f>
        <v>80</v>
      </c>
      <c r="L339" s="532">
        <f>K98</f>
        <v>-0.5</v>
      </c>
      <c r="M339" s="532" t="str">
        <f>L98</f>
        <v>-</v>
      </c>
      <c r="N339" s="532">
        <f>M98</f>
        <v>0</v>
      </c>
      <c r="O339" s="532">
        <f>N98</f>
        <v>0</v>
      </c>
      <c r="Q339" s="948"/>
      <c r="R339" s="532">
        <v>9</v>
      </c>
      <c r="S339" s="532">
        <f>Q98</f>
        <v>1005</v>
      </c>
      <c r="T339" s="532">
        <f>R98</f>
        <v>0.2</v>
      </c>
      <c r="U339" s="532" t="str">
        <f>S98</f>
        <v>-</v>
      </c>
      <c r="V339" s="532">
        <f>T98</f>
        <v>0</v>
      </c>
      <c r="W339" s="533">
        <f>U98</f>
        <v>0</v>
      </c>
      <c r="AE339" s="514"/>
    </row>
    <row r="340" spans="1:31" ht="13" x14ac:dyDescent="0.3">
      <c r="A340" s="948"/>
      <c r="B340" s="532">
        <v>10</v>
      </c>
      <c r="C340" s="532">
        <f>C109</f>
        <v>37</v>
      </c>
      <c r="D340" s="532">
        <f t="shared" ref="D340:F340" si="154">D109</f>
        <v>0.2</v>
      </c>
      <c r="E340" s="532">
        <f t="shared" si="154"/>
        <v>0.4</v>
      </c>
      <c r="F340" s="532">
        <f t="shared" si="154"/>
        <v>0</v>
      </c>
      <c r="G340" s="532">
        <f>G109</f>
        <v>0.1</v>
      </c>
      <c r="I340" s="948"/>
      <c r="J340" s="532">
        <v>10</v>
      </c>
      <c r="K340" s="532">
        <f>J109</f>
        <v>80</v>
      </c>
      <c r="L340" s="532">
        <f>K109</f>
        <v>2.2000000000000002</v>
      </c>
      <c r="M340" s="532">
        <f>L109</f>
        <v>-4.7</v>
      </c>
      <c r="N340" s="532">
        <f>M109</f>
        <v>0</v>
      </c>
      <c r="O340" s="532">
        <f>N109</f>
        <v>3.45</v>
      </c>
      <c r="Q340" s="948"/>
      <c r="R340" s="532">
        <v>10</v>
      </c>
      <c r="S340" s="532">
        <f>Q109</f>
        <v>1005</v>
      </c>
      <c r="T340" s="532" t="str">
        <f>R109</f>
        <v>-</v>
      </c>
      <c r="U340" s="532" t="str">
        <f>S109</f>
        <v>-</v>
      </c>
      <c r="V340" s="532">
        <f>T109</f>
        <v>0</v>
      </c>
      <c r="W340" s="533">
        <f>U109</f>
        <v>0</v>
      </c>
      <c r="AE340" s="514"/>
    </row>
    <row r="341" spans="1:31" ht="13" x14ac:dyDescent="0.3">
      <c r="A341" s="948"/>
      <c r="B341" s="532">
        <v>11</v>
      </c>
      <c r="C341" s="532">
        <f>C120</f>
        <v>37</v>
      </c>
      <c r="D341" s="532">
        <f t="shared" ref="D341:F341" si="155">D120</f>
        <v>0.5</v>
      </c>
      <c r="E341" s="532">
        <f t="shared" si="155"/>
        <v>0.5</v>
      </c>
      <c r="F341" s="532">
        <f t="shared" si="155"/>
        <v>0</v>
      </c>
      <c r="G341" s="532">
        <f>G120</f>
        <v>0</v>
      </c>
      <c r="I341" s="948"/>
      <c r="J341" s="532">
        <v>11</v>
      </c>
      <c r="K341" s="532">
        <f>J120</f>
        <v>80</v>
      </c>
      <c r="L341" s="532">
        <f>K120</f>
        <v>-1.4</v>
      </c>
      <c r="M341" s="532">
        <f>L120</f>
        <v>2.6</v>
      </c>
      <c r="N341" s="532">
        <f>M120</f>
        <v>0</v>
      </c>
      <c r="O341" s="532">
        <f>N120</f>
        <v>2</v>
      </c>
      <c r="Q341" s="948"/>
      <c r="R341" s="532">
        <v>11</v>
      </c>
      <c r="S341" s="532">
        <f>Q120</f>
        <v>1005</v>
      </c>
      <c r="T341" s="532" t="str">
        <f>R120</f>
        <v>-</v>
      </c>
      <c r="U341" s="532" t="str">
        <f>S120</f>
        <v>-</v>
      </c>
      <c r="V341" s="532">
        <f>T120</f>
        <v>0</v>
      </c>
      <c r="W341" s="533">
        <f>U120</f>
        <v>0</v>
      </c>
      <c r="AE341" s="514"/>
    </row>
    <row r="342" spans="1:31" ht="13" x14ac:dyDescent="0.3">
      <c r="A342" s="948"/>
      <c r="B342" s="532">
        <v>12</v>
      </c>
      <c r="C342" s="532">
        <f>C131</f>
        <v>37</v>
      </c>
      <c r="D342" s="532">
        <f t="shared" ref="D342:F342" si="156">D131</f>
        <v>-0.3</v>
      </c>
      <c r="E342" s="532" t="str">
        <f t="shared" si="156"/>
        <v>-</v>
      </c>
      <c r="F342" s="532">
        <f t="shared" si="156"/>
        <v>0</v>
      </c>
      <c r="G342" s="532">
        <f>G131</f>
        <v>0</v>
      </c>
      <c r="I342" s="948"/>
      <c r="J342" s="532">
        <v>12</v>
      </c>
      <c r="K342" s="532">
        <f>J131</f>
        <v>80</v>
      </c>
      <c r="L342" s="532">
        <f>K131</f>
        <v>-0.5</v>
      </c>
      <c r="M342" s="532" t="str">
        <f>L131</f>
        <v>-</v>
      </c>
      <c r="N342" s="532">
        <f>M131</f>
        <v>0</v>
      </c>
      <c r="O342" s="532">
        <f>N131</f>
        <v>0</v>
      </c>
      <c r="Q342" s="948"/>
      <c r="R342" s="532">
        <v>12</v>
      </c>
      <c r="S342" s="532">
        <f>Q131</f>
        <v>1005</v>
      </c>
      <c r="T342" s="532">
        <f>R131</f>
        <v>-0.8</v>
      </c>
      <c r="U342" s="532" t="str">
        <f>S131</f>
        <v>-</v>
      </c>
      <c r="V342" s="532">
        <f>T131</f>
        <v>0</v>
      </c>
      <c r="W342" s="533">
        <f>U131</f>
        <v>0</v>
      </c>
      <c r="AE342" s="514"/>
    </row>
    <row r="343" spans="1:31" ht="13" x14ac:dyDescent="0.3">
      <c r="A343" s="948"/>
      <c r="B343" s="532">
        <v>13</v>
      </c>
      <c r="C343" s="532">
        <f>C142</f>
        <v>37</v>
      </c>
      <c r="D343" s="532">
        <f>E142</f>
        <v>0.4</v>
      </c>
      <c r="E343" s="532" t="str">
        <f>F142</f>
        <v>-</v>
      </c>
      <c r="F343" s="536">
        <v>9.9999999999999995E-7</v>
      </c>
      <c r="G343" s="532">
        <f>G142</f>
        <v>0</v>
      </c>
      <c r="I343" s="948"/>
      <c r="J343" s="532">
        <v>13</v>
      </c>
      <c r="K343" s="532">
        <f>J142</f>
        <v>80</v>
      </c>
      <c r="L343" s="532">
        <f>L142</f>
        <v>-2.5</v>
      </c>
      <c r="M343" s="532" t="str">
        <f>M142</f>
        <v>-</v>
      </c>
      <c r="N343" s="536">
        <v>9.9999999999999995E-7</v>
      </c>
      <c r="O343" s="532">
        <f>N142</f>
        <v>0</v>
      </c>
      <c r="Q343" s="948"/>
      <c r="R343" s="532">
        <v>13</v>
      </c>
      <c r="S343" s="532">
        <f>Q142</f>
        <v>1005</v>
      </c>
      <c r="T343" s="532">
        <f>S142</f>
        <v>1.1000000000000001</v>
      </c>
      <c r="U343" s="532" t="str">
        <f>T142</f>
        <v>-</v>
      </c>
      <c r="V343" s="536">
        <v>9.9999999999999995E-7</v>
      </c>
      <c r="W343" s="533">
        <f>U142</f>
        <v>0</v>
      </c>
      <c r="AE343" s="514"/>
    </row>
    <row r="344" spans="1:31" ht="13" x14ac:dyDescent="0.3">
      <c r="A344" s="948"/>
      <c r="B344" s="532">
        <v>14</v>
      </c>
      <c r="C344" s="532">
        <f>C153</f>
        <v>37</v>
      </c>
      <c r="D344" s="532">
        <f>E153</f>
        <v>-0.8</v>
      </c>
      <c r="E344" s="532" t="str">
        <f>F153</f>
        <v>-</v>
      </c>
      <c r="F344" s="536">
        <v>9.9999999999999995E-7</v>
      </c>
      <c r="G344" s="532">
        <f>G153</f>
        <v>0</v>
      </c>
      <c r="I344" s="948"/>
      <c r="J344" s="532">
        <v>14</v>
      </c>
      <c r="K344" s="532">
        <f>J153</f>
        <v>80</v>
      </c>
      <c r="L344" s="532">
        <f>L153</f>
        <v>-0.9</v>
      </c>
      <c r="M344" s="532" t="str">
        <f>M153</f>
        <v>-</v>
      </c>
      <c r="N344" s="536">
        <v>9.9999999999999995E-7</v>
      </c>
      <c r="O344" s="532">
        <f>N153</f>
        <v>0</v>
      </c>
      <c r="Q344" s="948"/>
      <c r="R344" s="532">
        <v>14</v>
      </c>
      <c r="S344" s="532">
        <f>Q153</f>
        <v>1005</v>
      </c>
      <c r="T344" s="532">
        <f>S153</f>
        <v>1.1000000000000001</v>
      </c>
      <c r="U344" s="532" t="str">
        <f>T153</f>
        <v>-</v>
      </c>
      <c r="V344" s="536">
        <v>9.9999999999999995E-7</v>
      </c>
      <c r="W344" s="533">
        <f>U153</f>
        <v>0</v>
      </c>
      <c r="AE344" s="514"/>
    </row>
    <row r="345" spans="1:31" ht="13" x14ac:dyDescent="0.3">
      <c r="A345" s="948"/>
      <c r="B345" s="532">
        <v>15</v>
      </c>
      <c r="C345" s="532">
        <f>C164</f>
        <v>37</v>
      </c>
      <c r="D345" s="532">
        <f>E164</f>
        <v>-0.1</v>
      </c>
      <c r="E345" s="532" t="str">
        <f>F164</f>
        <v>-</v>
      </c>
      <c r="F345" s="536">
        <v>9.9999999999999995E-7</v>
      </c>
      <c r="G345" s="532">
        <f>G164</f>
        <v>0</v>
      </c>
      <c r="I345" s="948"/>
      <c r="J345" s="532">
        <v>15</v>
      </c>
      <c r="K345" s="532">
        <f>J164</f>
        <v>80</v>
      </c>
      <c r="L345" s="532">
        <f>L164</f>
        <v>-1.3</v>
      </c>
      <c r="M345" s="532" t="str">
        <f>M164</f>
        <v>-</v>
      </c>
      <c r="N345" s="536">
        <v>9.9999999999999995E-7</v>
      </c>
      <c r="O345" s="532">
        <f>N164</f>
        <v>0</v>
      </c>
      <c r="Q345" s="948"/>
      <c r="R345" s="532">
        <v>15</v>
      </c>
      <c r="S345" s="532">
        <f>Q164</f>
        <v>1005</v>
      </c>
      <c r="T345" s="532">
        <f>S164</f>
        <v>1.1000000000000001</v>
      </c>
      <c r="U345" s="532" t="str">
        <f>T164</f>
        <v>-</v>
      </c>
      <c r="V345" s="536">
        <v>9.9999999999999995E-7</v>
      </c>
      <c r="W345" s="533">
        <f>U164</f>
        <v>0</v>
      </c>
      <c r="AE345" s="514"/>
    </row>
    <row r="346" spans="1:31" ht="13" x14ac:dyDescent="0.3">
      <c r="A346" s="948"/>
      <c r="B346" s="532">
        <v>16</v>
      </c>
      <c r="C346" s="532">
        <f>C175</f>
        <v>37</v>
      </c>
      <c r="D346" s="532">
        <f t="shared" ref="D346:F346" si="157">D175</f>
        <v>0.6</v>
      </c>
      <c r="E346" s="532">
        <f t="shared" si="157"/>
        <v>9.9999999999999995E-7</v>
      </c>
      <c r="F346" s="532">
        <f t="shared" si="157"/>
        <v>0</v>
      </c>
      <c r="G346" s="532">
        <f>G175</f>
        <v>0.29999949999999997</v>
      </c>
      <c r="I346" s="948"/>
      <c r="J346" s="532">
        <v>16</v>
      </c>
      <c r="K346" s="532">
        <f>J175</f>
        <v>80</v>
      </c>
      <c r="L346" s="532">
        <f>K175</f>
        <v>-2.5</v>
      </c>
      <c r="M346" s="532">
        <f>L175</f>
        <v>-2.2999999999999998</v>
      </c>
      <c r="N346" s="532">
        <f>M175</f>
        <v>0</v>
      </c>
      <c r="O346" s="532">
        <f>N175</f>
        <v>0.10000000000000009</v>
      </c>
      <c r="Q346" s="948"/>
      <c r="R346" s="532">
        <v>16</v>
      </c>
      <c r="S346" s="532">
        <f>Q175</f>
        <v>1005</v>
      </c>
      <c r="T346" s="532" t="str">
        <f>R175</f>
        <v>-</v>
      </c>
      <c r="U346" s="532">
        <f>S175</f>
        <v>-0.4</v>
      </c>
      <c r="V346" s="532">
        <f>T175</f>
        <v>0</v>
      </c>
      <c r="W346" s="533">
        <f>U175</f>
        <v>0</v>
      </c>
      <c r="AE346" s="514"/>
    </row>
    <row r="347" spans="1:31" ht="13" x14ac:dyDescent="0.3">
      <c r="A347" s="948"/>
      <c r="B347" s="532">
        <v>17</v>
      </c>
      <c r="C347" s="532">
        <f>C186</f>
        <v>37</v>
      </c>
      <c r="D347" s="532">
        <f t="shared" ref="D347:F347" si="158">D186</f>
        <v>0.7</v>
      </c>
      <c r="E347" s="532">
        <f t="shared" si="158"/>
        <v>-0.6</v>
      </c>
      <c r="F347" s="532">
        <f t="shared" si="158"/>
        <v>0</v>
      </c>
      <c r="G347" s="532">
        <f>G186</f>
        <v>0.64999999999999991</v>
      </c>
      <c r="I347" s="948"/>
      <c r="J347" s="532">
        <v>17</v>
      </c>
      <c r="K347" s="532">
        <f>J186</f>
        <v>80</v>
      </c>
      <c r="L347" s="532">
        <f>K186</f>
        <v>-2.2000000000000002</v>
      </c>
      <c r="M347" s="532">
        <f>L186</f>
        <v>-0.8</v>
      </c>
      <c r="N347" s="532">
        <f>M186</f>
        <v>0</v>
      </c>
      <c r="O347" s="532">
        <f>N186</f>
        <v>0.70000000000000007</v>
      </c>
      <c r="Q347" s="948"/>
      <c r="R347" s="532">
        <v>17</v>
      </c>
      <c r="S347" s="532">
        <f>Q186</f>
        <v>1005</v>
      </c>
      <c r="T347" s="532" t="str">
        <f>R186</f>
        <v>-</v>
      </c>
      <c r="U347" s="532">
        <f>S186</f>
        <v>-0.6</v>
      </c>
      <c r="V347" s="532">
        <f>T186</f>
        <v>0</v>
      </c>
      <c r="W347" s="533">
        <f>U186</f>
        <v>0</v>
      </c>
      <c r="AE347" s="514"/>
    </row>
    <row r="348" spans="1:31" ht="13" x14ac:dyDescent="0.3">
      <c r="A348" s="948"/>
      <c r="B348" s="532">
        <v>18</v>
      </c>
      <c r="C348" s="532">
        <f>C197</f>
        <v>37</v>
      </c>
      <c r="D348" s="532">
        <f t="shared" ref="D348:F348" si="159">D197</f>
        <v>0.4</v>
      </c>
      <c r="E348" s="532">
        <f t="shared" si="159"/>
        <v>-0.3</v>
      </c>
      <c r="F348" s="532">
        <f t="shared" si="159"/>
        <v>0</v>
      </c>
      <c r="G348" s="532">
        <f>G197</f>
        <v>0.35</v>
      </c>
      <c r="I348" s="948"/>
      <c r="J348" s="532">
        <v>18</v>
      </c>
      <c r="K348" s="532">
        <f>J197</f>
        <v>80</v>
      </c>
      <c r="L348" s="532">
        <f>K197</f>
        <v>-2.4</v>
      </c>
      <c r="M348" s="532">
        <f>L197</f>
        <v>-0.5</v>
      </c>
      <c r="N348" s="532">
        <f>M197</f>
        <v>0</v>
      </c>
      <c r="O348" s="532">
        <f>N197</f>
        <v>0.95</v>
      </c>
      <c r="Q348" s="948"/>
      <c r="R348" s="532">
        <v>18</v>
      </c>
      <c r="S348" s="532">
        <f>Q197</f>
        <v>1005</v>
      </c>
      <c r="T348" s="532" t="str">
        <f>R197</f>
        <v>-</v>
      </c>
      <c r="U348" s="532">
        <f>S197</f>
        <v>-0.7</v>
      </c>
      <c r="V348" s="532">
        <f>T197</f>
        <v>0</v>
      </c>
      <c r="W348" s="533">
        <f>U197</f>
        <v>0</v>
      </c>
      <c r="AE348" s="514"/>
    </row>
    <row r="349" spans="1:31" ht="13" x14ac:dyDescent="0.3">
      <c r="A349" s="948"/>
      <c r="B349" s="532">
        <v>19</v>
      </c>
      <c r="C349" s="532">
        <f>C208</f>
        <v>37</v>
      </c>
      <c r="D349" s="532">
        <f t="shared" ref="D349:F349" si="160">D208</f>
        <v>9.9999999999999995E-7</v>
      </c>
      <c r="E349" s="532" t="str">
        <f t="shared" si="160"/>
        <v>-</v>
      </c>
      <c r="F349" s="532">
        <f t="shared" si="160"/>
        <v>0</v>
      </c>
      <c r="G349" s="532">
        <f>G208</f>
        <v>0</v>
      </c>
      <c r="I349" s="948"/>
      <c r="J349" s="532">
        <v>19</v>
      </c>
      <c r="K349" s="532">
        <f>J208</f>
        <v>80</v>
      </c>
      <c r="L349" s="532">
        <f>K208</f>
        <v>-0.9</v>
      </c>
      <c r="M349" s="532" t="str">
        <f>L208</f>
        <v>-</v>
      </c>
      <c r="N349" s="532">
        <f>M208</f>
        <v>0</v>
      </c>
      <c r="O349" s="532">
        <f>N208</f>
        <v>0</v>
      </c>
      <c r="Q349" s="948"/>
      <c r="R349" s="532">
        <v>19</v>
      </c>
      <c r="S349" s="532">
        <f>Q208</f>
        <v>1005</v>
      </c>
      <c r="T349" s="532">
        <f>R208</f>
        <v>2.2000000000000002</v>
      </c>
      <c r="U349" s="532" t="str">
        <f>S208</f>
        <v>-</v>
      </c>
      <c r="V349" s="532">
        <f>T208</f>
        <v>0</v>
      </c>
      <c r="W349" s="533">
        <f>U208</f>
        <v>0</v>
      </c>
      <c r="AE349" s="514"/>
    </row>
    <row r="350" spans="1:31" ht="13.5" thickBot="1" x14ac:dyDescent="0.35">
      <c r="A350" s="948"/>
      <c r="B350" s="532">
        <v>20</v>
      </c>
      <c r="C350" s="532">
        <f>C219</f>
        <v>39.5</v>
      </c>
      <c r="D350" s="532">
        <f t="shared" ref="D350:F350" si="161">D219</f>
        <v>9.9999999999999995E-7</v>
      </c>
      <c r="E350" s="532" t="str">
        <f t="shared" si="161"/>
        <v>-</v>
      </c>
      <c r="F350" s="532">
        <f t="shared" si="161"/>
        <v>9.9999999999999995E-7</v>
      </c>
      <c r="G350" s="532">
        <f>G219</f>
        <v>0</v>
      </c>
      <c r="I350" s="948"/>
      <c r="J350" s="532">
        <v>20</v>
      </c>
      <c r="K350" s="532">
        <f>J219</f>
        <v>88.7</v>
      </c>
      <c r="L350" s="532">
        <f>K219</f>
        <v>9.9999999999999995E-7</v>
      </c>
      <c r="M350" s="532" t="str">
        <f>L219</f>
        <v>-</v>
      </c>
      <c r="N350" s="532">
        <f>M219</f>
        <v>0</v>
      </c>
      <c r="O350" s="532">
        <f>N219</f>
        <v>0</v>
      </c>
      <c r="Q350" s="950"/>
      <c r="R350" s="541">
        <v>20</v>
      </c>
      <c r="S350" s="541">
        <f>Q219</f>
        <v>1005</v>
      </c>
      <c r="T350" s="541" t="str">
        <f>R219</f>
        <v>-</v>
      </c>
      <c r="U350" s="541" t="str">
        <f>S219</f>
        <v>-</v>
      </c>
      <c r="V350" s="541">
        <f>T219</f>
        <v>0</v>
      </c>
      <c r="W350" s="555">
        <f>U219</f>
        <v>0</v>
      </c>
      <c r="AE350" s="545"/>
    </row>
    <row r="351" spans="1:31" ht="13.5" thickBot="1" x14ac:dyDescent="0.35">
      <c r="A351" s="470"/>
      <c r="B351" s="470"/>
      <c r="C351" s="470"/>
      <c r="D351" s="470"/>
      <c r="E351" s="470"/>
      <c r="F351" s="463"/>
      <c r="G351" s="470"/>
      <c r="I351" s="470"/>
      <c r="J351" s="470"/>
      <c r="K351" s="470"/>
      <c r="L351" s="470"/>
      <c r="M351" s="470"/>
      <c r="N351" s="463"/>
      <c r="O351" s="470"/>
      <c r="Q351" s="559"/>
      <c r="R351" s="546"/>
      <c r="S351" s="131"/>
      <c r="T351" s="131"/>
      <c r="U351" s="131"/>
      <c r="W351" s="132"/>
      <c r="AE351" s="514"/>
    </row>
    <row r="352" spans="1:31" ht="13" x14ac:dyDescent="0.3">
      <c r="A352" s="948">
        <v>7</v>
      </c>
      <c r="B352" s="532">
        <v>1</v>
      </c>
      <c r="C352" s="532">
        <f>C11</f>
        <v>40</v>
      </c>
      <c r="D352" s="532">
        <f t="shared" ref="D352:F352" si="162">D11</f>
        <v>-0.3</v>
      </c>
      <c r="E352" s="532">
        <f t="shared" si="162"/>
        <v>-0.8</v>
      </c>
      <c r="F352" s="532">
        <f t="shared" si="162"/>
        <v>0</v>
      </c>
      <c r="G352" s="532">
        <f>G11</f>
        <v>0.4</v>
      </c>
      <c r="I352" s="948">
        <v>7</v>
      </c>
      <c r="J352" s="532">
        <v>1</v>
      </c>
      <c r="K352" s="532">
        <f>J11</f>
        <v>90</v>
      </c>
      <c r="L352" s="532">
        <f>K11</f>
        <v>-1.6</v>
      </c>
      <c r="M352" s="532">
        <f>L11</f>
        <v>4.5</v>
      </c>
      <c r="N352" s="532">
        <f>M11</f>
        <v>0</v>
      </c>
      <c r="O352" s="532">
        <f>N11</f>
        <v>3.05</v>
      </c>
      <c r="Q352" s="954">
        <v>7</v>
      </c>
      <c r="R352" s="550">
        <v>1</v>
      </c>
      <c r="S352" s="550">
        <f>Q11</f>
        <v>1020</v>
      </c>
      <c r="T352" s="550" t="str">
        <f>R11</f>
        <v>-</v>
      </c>
      <c r="U352" s="550" t="str">
        <f>S11</f>
        <v>-</v>
      </c>
      <c r="V352" s="550">
        <f>T11</f>
        <v>0</v>
      </c>
      <c r="W352" s="557">
        <f>U11</f>
        <v>0</v>
      </c>
      <c r="AE352" s="553"/>
    </row>
    <row r="353" spans="1:31" ht="13" x14ac:dyDescent="0.3">
      <c r="A353" s="948"/>
      <c r="B353" s="532">
        <v>2</v>
      </c>
      <c r="C353" s="532">
        <f>C22</f>
        <v>40</v>
      </c>
      <c r="D353" s="532">
        <f t="shared" ref="D353:F353" si="163">D22</f>
        <v>0.6</v>
      </c>
      <c r="E353" s="532">
        <f t="shared" si="163"/>
        <v>-0.1</v>
      </c>
      <c r="F353" s="532">
        <f t="shared" si="163"/>
        <v>-0.3</v>
      </c>
      <c r="G353" s="532">
        <f>G22</f>
        <v>0.44999999999999996</v>
      </c>
      <c r="I353" s="948"/>
      <c r="J353" s="532">
        <v>2</v>
      </c>
      <c r="K353" s="532">
        <f>J22</f>
        <v>90</v>
      </c>
      <c r="L353" s="532">
        <f>K22</f>
        <v>1.2</v>
      </c>
      <c r="M353" s="532">
        <f>L22</f>
        <v>1.7</v>
      </c>
      <c r="N353" s="532">
        <f>M22</f>
        <v>-0.3</v>
      </c>
      <c r="O353" s="532">
        <f>N22</f>
        <v>1</v>
      </c>
      <c r="Q353" s="952"/>
      <c r="R353" s="532">
        <v>2</v>
      </c>
      <c r="S353" s="532">
        <f>Q22</f>
        <v>1020</v>
      </c>
      <c r="T353" s="532" t="str">
        <f>R22</f>
        <v>-</v>
      </c>
      <c r="U353" s="532" t="str">
        <f>S22</f>
        <v>-</v>
      </c>
      <c r="V353" s="532">
        <f>T22</f>
        <v>0</v>
      </c>
      <c r="W353" s="533">
        <f>U22</f>
        <v>0</v>
      </c>
      <c r="AE353" s="514"/>
    </row>
    <row r="354" spans="1:31" ht="13" x14ac:dyDescent="0.3">
      <c r="A354" s="948"/>
      <c r="B354" s="532">
        <v>3</v>
      </c>
      <c r="C354" s="532">
        <f>C33</f>
        <v>40</v>
      </c>
      <c r="D354" s="532">
        <f t="shared" ref="D354:F354" si="164">D33</f>
        <v>0.3</v>
      </c>
      <c r="E354" s="532">
        <f t="shared" si="164"/>
        <v>0.2</v>
      </c>
      <c r="F354" s="532">
        <f t="shared" si="164"/>
        <v>-0.7</v>
      </c>
      <c r="G354" s="532">
        <f>G33</f>
        <v>0.5</v>
      </c>
      <c r="I354" s="948"/>
      <c r="J354" s="532">
        <v>3</v>
      </c>
      <c r="K354" s="532">
        <f>J33</f>
        <v>90</v>
      </c>
      <c r="L354" s="532">
        <f>K33</f>
        <v>-0.9</v>
      </c>
      <c r="M354" s="532">
        <f>L33</f>
        <v>0.3</v>
      </c>
      <c r="N354" s="532">
        <f>M33</f>
        <v>-2</v>
      </c>
      <c r="O354" s="532">
        <f>N33</f>
        <v>1.1499999999999999</v>
      </c>
      <c r="Q354" s="952"/>
      <c r="R354" s="532">
        <v>3</v>
      </c>
      <c r="S354" s="532">
        <f>Q33</f>
        <v>1020</v>
      </c>
      <c r="T354" s="532" t="str">
        <f>R33</f>
        <v>-</v>
      </c>
      <c r="U354" s="532" t="str">
        <f>S33</f>
        <v>-</v>
      </c>
      <c r="V354" s="532">
        <f>T33</f>
        <v>0</v>
      </c>
      <c r="W354" s="533">
        <f>U33</f>
        <v>0</v>
      </c>
      <c r="AE354" s="514"/>
    </row>
    <row r="355" spans="1:31" ht="13" x14ac:dyDescent="0.3">
      <c r="A355" s="948"/>
      <c r="B355" s="532">
        <v>4</v>
      </c>
      <c r="C355" s="532">
        <f>C44</f>
        <v>40</v>
      </c>
      <c r="D355" s="532">
        <f t="shared" ref="D355:F355" si="165">D44</f>
        <v>-0.5</v>
      </c>
      <c r="E355" s="532">
        <f t="shared" si="165"/>
        <v>-0.6</v>
      </c>
      <c r="F355" s="532">
        <f t="shared" si="165"/>
        <v>0</v>
      </c>
      <c r="G355" s="532">
        <f>G44</f>
        <v>4.9999999999999989E-2</v>
      </c>
      <c r="I355" s="948"/>
      <c r="J355" s="532">
        <v>4</v>
      </c>
      <c r="K355" s="532">
        <f>J44</f>
        <v>90</v>
      </c>
      <c r="L355" s="532">
        <f>K44</f>
        <v>-3.5</v>
      </c>
      <c r="M355" s="532">
        <f>L44</f>
        <v>3.3</v>
      </c>
      <c r="N355" s="532">
        <f>M44</f>
        <v>0</v>
      </c>
      <c r="O355" s="532">
        <f>N44</f>
        <v>3.4</v>
      </c>
      <c r="Q355" s="952"/>
      <c r="R355" s="532">
        <v>4</v>
      </c>
      <c r="S355" s="532">
        <f>Q44</f>
        <v>1020</v>
      </c>
      <c r="T355" s="532" t="str">
        <f>R44</f>
        <v>-</v>
      </c>
      <c r="U355" s="532" t="str">
        <f>S44</f>
        <v>-</v>
      </c>
      <c r="V355" s="532">
        <f>T44</f>
        <v>0</v>
      </c>
      <c r="W355" s="533">
        <f>U44</f>
        <v>0</v>
      </c>
      <c r="AE355" s="514"/>
    </row>
    <row r="356" spans="1:31" ht="13" x14ac:dyDescent="0.3">
      <c r="A356" s="948"/>
      <c r="B356" s="532">
        <v>5</v>
      </c>
      <c r="C356" s="532">
        <f>C55</f>
        <v>40</v>
      </c>
      <c r="D356" s="532">
        <f t="shared" ref="D356:F356" si="166">D55</f>
        <v>0.3</v>
      </c>
      <c r="E356" s="532">
        <f t="shared" si="166"/>
        <v>0.7</v>
      </c>
      <c r="F356" s="532">
        <f t="shared" si="166"/>
        <v>-0.1</v>
      </c>
      <c r="G356" s="532">
        <f>G55</f>
        <v>0.39999999999999997</v>
      </c>
      <c r="I356" s="948"/>
      <c r="J356" s="532">
        <v>5</v>
      </c>
      <c r="K356" s="532">
        <f>J55</f>
        <v>90</v>
      </c>
      <c r="L356" s="532">
        <f>K55</f>
        <v>-5.4</v>
      </c>
      <c r="M356" s="532">
        <f>L55</f>
        <v>-1.8</v>
      </c>
      <c r="N356" s="532">
        <f>M55</f>
        <v>2.7</v>
      </c>
      <c r="O356" s="532">
        <f>N55</f>
        <v>4.0500000000000007</v>
      </c>
      <c r="Q356" s="952"/>
      <c r="R356" s="532">
        <v>5</v>
      </c>
      <c r="S356" s="532">
        <f>Q55</f>
        <v>1020</v>
      </c>
      <c r="T356" s="532" t="str">
        <f>R55</f>
        <v>-</v>
      </c>
      <c r="U356" s="532" t="str">
        <f>S55</f>
        <v>-</v>
      </c>
      <c r="V356" s="532">
        <f>T55</f>
        <v>0</v>
      </c>
      <c r="W356" s="533">
        <f>U55</f>
        <v>0</v>
      </c>
      <c r="AE356" s="514"/>
    </row>
    <row r="357" spans="1:31" ht="13" x14ac:dyDescent="0.3">
      <c r="A357" s="948"/>
      <c r="B357" s="532">
        <v>6</v>
      </c>
      <c r="C357" s="532">
        <f>C66</f>
        <v>40</v>
      </c>
      <c r="D357" s="532">
        <f t="shared" ref="D357:F357" si="167">D66</f>
        <v>0.1</v>
      </c>
      <c r="E357" s="532">
        <f t="shared" si="167"/>
        <v>-1.4</v>
      </c>
      <c r="F357" s="532">
        <f t="shared" si="167"/>
        <v>0</v>
      </c>
      <c r="G357" s="532">
        <f>G66</f>
        <v>0.75</v>
      </c>
      <c r="I357" s="948"/>
      <c r="J357" s="532">
        <v>6</v>
      </c>
      <c r="K357" s="532">
        <f>J66</f>
        <v>90</v>
      </c>
      <c r="L357" s="532">
        <f>K66</f>
        <v>-5.2</v>
      </c>
      <c r="M357" s="532">
        <f>L66</f>
        <v>0.7</v>
      </c>
      <c r="N357" s="532">
        <f>M66</f>
        <v>0</v>
      </c>
      <c r="O357" s="532">
        <f>N66</f>
        <v>2.95</v>
      </c>
      <c r="Q357" s="952"/>
      <c r="R357" s="532">
        <v>6</v>
      </c>
      <c r="S357" s="532">
        <f>Q66</f>
        <v>1020</v>
      </c>
      <c r="T357" s="532">
        <f>R66</f>
        <v>0.9</v>
      </c>
      <c r="U357" s="532">
        <f>S66</f>
        <v>9.9999999999999995E-7</v>
      </c>
      <c r="V357" s="532">
        <f>T66</f>
        <v>0</v>
      </c>
      <c r="W357" s="533">
        <f>U66</f>
        <v>0.4499995</v>
      </c>
      <c r="AE357" s="514"/>
    </row>
    <row r="358" spans="1:31" ht="13" x14ac:dyDescent="0.3">
      <c r="A358" s="948"/>
      <c r="B358" s="532">
        <v>7</v>
      </c>
      <c r="C358" s="532">
        <f>C77</f>
        <v>40</v>
      </c>
      <c r="D358" s="532">
        <f t="shared" ref="D358:F358" si="168">D77</f>
        <v>-0.5</v>
      </c>
      <c r="E358" s="532">
        <f t="shared" si="168"/>
        <v>0.1</v>
      </c>
      <c r="F358" s="532">
        <f t="shared" si="168"/>
        <v>-1.7</v>
      </c>
      <c r="G358" s="532">
        <f>G77</f>
        <v>0.9</v>
      </c>
      <c r="I358" s="948"/>
      <c r="J358" s="532">
        <v>7</v>
      </c>
      <c r="K358" s="532">
        <f>J77</f>
        <v>90</v>
      </c>
      <c r="L358" s="532">
        <f>K77</f>
        <v>-1.6</v>
      </c>
      <c r="M358" s="532">
        <f>L77</f>
        <v>-3</v>
      </c>
      <c r="N358" s="532">
        <f>M77</f>
        <v>1.8</v>
      </c>
      <c r="O358" s="532">
        <f>N77</f>
        <v>2.4</v>
      </c>
      <c r="Q358" s="952"/>
      <c r="R358" s="532">
        <v>7</v>
      </c>
      <c r="S358" s="532">
        <f>Q77</f>
        <v>1020</v>
      </c>
      <c r="T358" s="532">
        <f>R77</f>
        <v>0.3</v>
      </c>
      <c r="U358" s="532">
        <f>S77</f>
        <v>-3.8</v>
      </c>
      <c r="V358" s="532">
        <f>T77</f>
        <v>9.9999999999999995E-7</v>
      </c>
      <c r="W358" s="533">
        <f>U77</f>
        <v>2.0499999999999998</v>
      </c>
      <c r="AE358" s="514"/>
    </row>
    <row r="359" spans="1:31" ht="13" x14ac:dyDescent="0.3">
      <c r="A359" s="948"/>
      <c r="B359" s="532">
        <v>8</v>
      </c>
      <c r="C359" s="532">
        <f>C88</f>
        <v>40</v>
      </c>
      <c r="D359" s="532">
        <f t="shared" ref="D359:F359" si="169">D88</f>
        <v>9.9999999999999995E-7</v>
      </c>
      <c r="E359" s="532">
        <f t="shared" si="169"/>
        <v>-0.4</v>
      </c>
      <c r="F359" s="532">
        <f t="shared" si="169"/>
        <v>0</v>
      </c>
      <c r="G359" s="532">
        <f>G88</f>
        <v>0.2000005</v>
      </c>
      <c r="I359" s="948"/>
      <c r="J359" s="532">
        <v>8</v>
      </c>
      <c r="K359" s="532">
        <f>J88</f>
        <v>90</v>
      </c>
      <c r="L359" s="532">
        <f>K88</f>
        <v>-4.9000000000000004</v>
      </c>
      <c r="M359" s="532">
        <f>L88</f>
        <v>-1.3</v>
      </c>
      <c r="N359" s="532">
        <f>M88</f>
        <v>0</v>
      </c>
      <c r="O359" s="532">
        <f>N88</f>
        <v>1.8000000000000003</v>
      </c>
      <c r="Q359" s="952"/>
      <c r="R359" s="532">
        <v>8</v>
      </c>
      <c r="S359" s="532">
        <f>Q88</f>
        <v>1020</v>
      </c>
      <c r="T359" s="532">
        <f>R88</f>
        <v>-3.4</v>
      </c>
      <c r="U359" s="532">
        <f>S88</f>
        <v>9.9999999999999995E-7</v>
      </c>
      <c r="V359" s="532">
        <f>T88</f>
        <v>0</v>
      </c>
      <c r="W359" s="533">
        <f>U88</f>
        <v>1.7000005</v>
      </c>
      <c r="AE359" s="514"/>
    </row>
    <row r="360" spans="1:31" ht="13" x14ac:dyDescent="0.3">
      <c r="A360" s="948"/>
      <c r="B360" s="532">
        <v>9</v>
      </c>
      <c r="C360" s="532">
        <f>C99</f>
        <v>40</v>
      </c>
      <c r="D360" s="532">
        <f t="shared" ref="D360:F360" si="170">D99</f>
        <v>-0.4</v>
      </c>
      <c r="E360" s="532" t="str">
        <f t="shared" si="170"/>
        <v>-</v>
      </c>
      <c r="F360" s="532">
        <f t="shared" si="170"/>
        <v>0</v>
      </c>
      <c r="G360" s="532">
        <f>G99</f>
        <v>0</v>
      </c>
      <c r="I360" s="948"/>
      <c r="J360" s="532">
        <v>9</v>
      </c>
      <c r="K360" s="532">
        <f>J99</f>
        <v>90</v>
      </c>
      <c r="L360" s="532">
        <f>K99</f>
        <v>-0.2</v>
      </c>
      <c r="M360" s="532" t="str">
        <f>L99</f>
        <v>-</v>
      </c>
      <c r="N360" s="532">
        <f>M99</f>
        <v>0</v>
      </c>
      <c r="O360" s="532">
        <f>N99</f>
        <v>0</v>
      </c>
      <c r="Q360" s="952"/>
      <c r="R360" s="532">
        <v>9</v>
      </c>
      <c r="S360" s="532">
        <f>Q99</f>
        <v>1020</v>
      </c>
      <c r="T360" s="532">
        <f>R99</f>
        <v>9.9999999999999995E-7</v>
      </c>
      <c r="U360" s="532" t="str">
        <f>S99</f>
        <v>-</v>
      </c>
      <c r="V360" s="532">
        <f>T99</f>
        <v>0</v>
      </c>
      <c r="W360" s="533">
        <f>U99</f>
        <v>0</v>
      </c>
      <c r="AE360" s="514"/>
    </row>
    <row r="361" spans="1:31" ht="13" x14ac:dyDescent="0.3">
      <c r="A361" s="948"/>
      <c r="B361" s="532">
        <v>10</v>
      </c>
      <c r="C361" s="532">
        <f>C110</f>
        <v>40</v>
      </c>
      <c r="D361" s="532">
        <f t="shared" ref="D361:F361" si="171">D110</f>
        <v>0.2</v>
      </c>
      <c r="E361" s="532">
        <f t="shared" si="171"/>
        <v>9.9999999999999995E-7</v>
      </c>
      <c r="F361" s="532">
        <f t="shared" si="171"/>
        <v>0</v>
      </c>
      <c r="G361" s="532">
        <f>G110</f>
        <v>9.9999500000000005E-2</v>
      </c>
      <c r="I361" s="948"/>
      <c r="J361" s="532">
        <v>10</v>
      </c>
      <c r="K361" s="532">
        <f>J110</f>
        <v>90</v>
      </c>
      <c r="L361" s="532">
        <f>K110</f>
        <v>5.4</v>
      </c>
      <c r="M361" s="532">
        <f>L110</f>
        <v>9.9999999999999995E-7</v>
      </c>
      <c r="N361" s="532">
        <f>M110</f>
        <v>0</v>
      </c>
      <c r="O361" s="532">
        <f>N110</f>
        <v>2.6999995000000001</v>
      </c>
      <c r="Q361" s="952"/>
      <c r="R361" s="532">
        <v>10</v>
      </c>
      <c r="S361" s="532">
        <f>Q110</f>
        <v>1020</v>
      </c>
      <c r="T361" s="532" t="str">
        <f>R110</f>
        <v>-</v>
      </c>
      <c r="U361" s="532" t="str">
        <f>S110</f>
        <v>-</v>
      </c>
      <c r="V361" s="532">
        <f>T110</f>
        <v>0</v>
      </c>
      <c r="W361" s="533">
        <f>U110</f>
        <v>0</v>
      </c>
      <c r="AE361" s="514"/>
    </row>
    <row r="362" spans="1:31" ht="13" x14ac:dyDescent="0.3">
      <c r="A362" s="948"/>
      <c r="B362" s="532">
        <v>11</v>
      </c>
      <c r="C362" s="532">
        <f>C121</f>
        <v>40</v>
      </c>
      <c r="D362" s="532">
        <f t="shared" ref="D362:F362" si="172">D121</f>
        <v>0.5</v>
      </c>
      <c r="E362" s="532">
        <f t="shared" si="172"/>
        <v>9.9999999999999995E-7</v>
      </c>
      <c r="F362" s="532">
        <f t="shared" si="172"/>
        <v>0</v>
      </c>
      <c r="G362" s="532">
        <f>G121</f>
        <v>0.24999950000000001</v>
      </c>
      <c r="I362" s="948"/>
      <c r="J362" s="532">
        <v>11</v>
      </c>
      <c r="K362" s="532">
        <f>J121</f>
        <v>90</v>
      </c>
      <c r="L362" s="532">
        <f>K121</f>
        <v>1.3</v>
      </c>
      <c r="M362" s="532">
        <f>L121</f>
        <v>9.9999999999999995E-7</v>
      </c>
      <c r="N362" s="532">
        <f>M121</f>
        <v>0</v>
      </c>
      <c r="O362" s="532">
        <f>N121</f>
        <v>0.64999950000000006</v>
      </c>
      <c r="Q362" s="952"/>
      <c r="R362" s="532">
        <v>11</v>
      </c>
      <c r="S362" s="532">
        <f>Q121</f>
        <v>1020</v>
      </c>
      <c r="T362" s="532" t="str">
        <f>R121</f>
        <v>-</v>
      </c>
      <c r="U362" s="532" t="str">
        <f>S121</f>
        <v>-</v>
      </c>
      <c r="V362" s="532">
        <f>T121</f>
        <v>0</v>
      </c>
      <c r="W362" s="533">
        <f>U121</f>
        <v>0</v>
      </c>
      <c r="AE362" s="514"/>
    </row>
    <row r="363" spans="1:31" ht="13" x14ac:dyDescent="0.3">
      <c r="A363" s="948"/>
      <c r="B363" s="532">
        <v>12</v>
      </c>
      <c r="C363" s="532">
        <f>C132</f>
        <v>40</v>
      </c>
      <c r="D363" s="532">
        <f t="shared" ref="D363:F363" si="173">D132</f>
        <v>-0.4</v>
      </c>
      <c r="E363" s="532" t="str">
        <f t="shared" si="173"/>
        <v>-</v>
      </c>
      <c r="F363" s="532">
        <f t="shared" si="173"/>
        <v>0</v>
      </c>
      <c r="G363" s="532">
        <f>G132</f>
        <v>0</v>
      </c>
      <c r="I363" s="948"/>
      <c r="J363" s="532">
        <v>12</v>
      </c>
      <c r="K363" s="532">
        <f>J132</f>
        <v>90</v>
      </c>
      <c r="L363" s="532">
        <f>K132</f>
        <v>-0.9</v>
      </c>
      <c r="M363" s="532" t="str">
        <f>L132</f>
        <v>-</v>
      </c>
      <c r="N363" s="532">
        <f>M132</f>
        <v>0</v>
      </c>
      <c r="O363" s="532">
        <f>N132</f>
        <v>0</v>
      </c>
      <c r="Q363" s="952"/>
      <c r="R363" s="532">
        <v>12</v>
      </c>
      <c r="S363" s="532">
        <f>Q132</f>
        <v>1020</v>
      </c>
      <c r="T363" s="532">
        <f>R132</f>
        <v>9.9999999999999995E-7</v>
      </c>
      <c r="U363" s="532" t="str">
        <f>S132</f>
        <v>-</v>
      </c>
      <c r="V363" s="532">
        <f>T132</f>
        <v>0</v>
      </c>
      <c r="W363" s="533">
        <f>U132</f>
        <v>0</v>
      </c>
      <c r="AE363" s="514"/>
    </row>
    <row r="364" spans="1:31" ht="13" x14ac:dyDescent="0.3">
      <c r="A364" s="948"/>
      <c r="B364" s="532">
        <v>13</v>
      </c>
      <c r="C364" s="532">
        <f>C143</f>
        <v>40</v>
      </c>
      <c r="D364" s="532">
        <f>E143</f>
        <v>0.5</v>
      </c>
      <c r="E364" s="532" t="str">
        <f>F143</f>
        <v>-</v>
      </c>
      <c r="F364" s="536">
        <v>9.9999999999999995E-7</v>
      </c>
      <c r="G364" s="532">
        <f>G143</f>
        <v>0</v>
      </c>
      <c r="I364" s="948"/>
      <c r="J364" s="532">
        <v>13</v>
      </c>
      <c r="K364" s="532">
        <f>J143</f>
        <v>90</v>
      </c>
      <c r="L364" s="532">
        <f>L143</f>
        <v>-3.2</v>
      </c>
      <c r="M364" s="532" t="str">
        <f>M143</f>
        <v>-</v>
      </c>
      <c r="N364" s="536">
        <v>9.9999999999999995E-7</v>
      </c>
      <c r="O364" s="532">
        <f>N143</f>
        <v>0</v>
      </c>
      <c r="Q364" s="952"/>
      <c r="R364" s="532">
        <v>13</v>
      </c>
      <c r="S364" s="532">
        <f>Q143</f>
        <v>1010</v>
      </c>
      <c r="T364" s="532">
        <f>S143</f>
        <v>1.1000000000000001</v>
      </c>
      <c r="U364" s="532" t="str">
        <f>T143</f>
        <v>-</v>
      </c>
      <c r="V364" s="536">
        <v>9.9999999999999995E-7</v>
      </c>
      <c r="W364" s="533">
        <f>U143</f>
        <v>0</v>
      </c>
      <c r="AE364" s="514"/>
    </row>
    <row r="365" spans="1:31" ht="13" x14ac:dyDescent="0.3">
      <c r="A365" s="948"/>
      <c r="B365" s="532">
        <v>14</v>
      </c>
      <c r="C365" s="532">
        <f>C154</f>
        <v>40</v>
      </c>
      <c r="D365" s="532">
        <f>E154</f>
        <v>-1.1000000000000001</v>
      </c>
      <c r="E365" s="532" t="str">
        <f>F154</f>
        <v>-</v>
      </c>
      <c r="F365" s="536">
        <v>9.9999999999999995E-7</v>
      </c>
      <c r="G365" s="532">
        <f>G154</f>
        <v>0</v>
      </c>
      <c r="I365" s="948"/>
      <c r="J365" s="532">
        <v>14</v>
      </c>
      <c r="K365" s="532">
        <f>J154</f>
        <v>90</v>
      </c>
      <c r="L365" s="532">
        <f>L154</f>
        <v>-0.8</v>
      </c>
      <c r="M365" s="532" t="str">
        <f>M154</f>
        <v>-</v>
      </c>
      <c r="N365" s="536">
        <v>9.9999999999999995E-7</v>
      </c>
      <c r="O365" s="532">
        <f>N154</f>
        <v>0</v>
      </c>
      <c r="Q365" s="952"/>
      <c r="R365" s="532">
        <v>14</v>
      </c>
      <c r="S365" s="532">
        <f>Q154</f>
        <v>1010</v>
      </c>
      <c r="T365" s="532">
        <f>S154</f>
        <v>9.9999999999999995E-7</v>
      </c>
      <c r="U365" s="532" t="str">
        <f>T154</f>
        <v>-</v>
      </c>
      <c r="V365" s="536">
        <v>9.9999999999999995E-7</v>
      </c>
      <c r="W365" s="533">
        <f>U154</f>
        <v>0</v>
      </c>
      <c r="AE365" s="514"/>
    </row>
    <row r="366" spans="1:31" ht="13" x14ac:dyDescent="0.3">
      <c r="A366" s="948"/>
      <c r="B366" s="532">
        <v>15</v>
      </c>
      <c r="C366" s="532">
        <f>C165</f>
        <v>40</v>
      </c>
      <c r="D366" s="532">
        <f>E165</f>
        <v>9.9999999999999995E-7</v>
      </c>
      <c r="E366" s="532" t="str">
        <f>F165</f>
        <v>-</v>
      </c>
      <c r="F366" s="536">
        <v>9.9999999999999995E-7</v>
      </c>
      <c r="G366" s="532">
        <f>G165</f>
        <v>0</v>
      </c>
      <c r="I366" s="948"/>
      <c r="J366" s="532">
        <v>15</v>
      </c>
      <c r="K366" s="532">
        <f>J165</f>
        <v>90</v>
      </c>
      <c r="L366" s="532">
        <f>L165</f>
        <v>-2</v>
      </c>
      <c r="M366" s="532" t="str">
        <f>M165</f>
        <v>-</v>
      </c>
      <c r="N366" s="536">
        <v>9.9999999999999995E-7</v>
      </c>
      <c r="O366" s="532">
        <f>N165</f>
        <v>0</v>
      </c>
      <c r="Q366" s="952"/>
      <c r="R366" s="532">
        <v>15</v>
      </c>
      <c r="S366" s="532">
        <f>Q165</f>
        <v>1010</v>
      </c>
      <c r="T366" s="532">
        <f>S165</f>
        <v>9.9999999999999995E-7</v>
      </c>
      <c r="U366" s="532" t="str">
        <f>T165</f>
        <v>-</v>
      </c>
      <c r="V366" s="536">
        <v>9.9999999999999995E-7</v>
      </c>
      <c r="W366" s="533">
        <f>U165</f>
        <v>0</v>
      </c>
      <c r="AE366" s="514"/>
    </row>
    <row r="367" spans="1:31" ht="13" x14ac:dyDescent="0.3">
      <c r="A367" s="948"/>
      <c r="B367" s="532">
        <v>16</v>
      </c>
      <c r="C367" s="532">
        <f>C176</f>
        <v>40</v>
      </c>
      <c r="D367" s="532">
        <f t="shared" ref="D367:F367" si="174">D176</f>
        <v>0.6</v>
      </c>
      <c r="E367" s="532">
        <f t="shared" si="174"/>
        <v>9.9999999999999995E-7</v>
      </c>
      <c r="F367" s="532">
        <f t="shared" si="174"/>
        <v>0</v>
      </c>
      <c r="G367" s="532">
        <f>G176</f>
        <v>0.29999949999999997</v>
      </c>
      <c r="I367" s="948"/>
      <c r="J367" s="532">
        <v>16</v>
      </c>
      <c r="K367" s="532">
        <f>J176</f>
        <v>90</v>
      </c>
      <c r="L367" s="532">
        <f>K176</f>
        <v>-3.1</v>
      </c>
      <c r="M367" s="532">
        <f>L176</f>
        <v>-3</v>
      </c>
      <c r="N367" s="532">
        <f>M176</f>
        <v>0</v>
      </c>
      <c r="O367" s="532">
        <f>N176</f>
        <v>5.0000000000000044E-2</v>
      </c>
      <c r="Q367" s="952"/>
      <c r="R367" s="532">
        <v>16</v>
      </c>
      <c r="S367" s="532">
        <f>Q176</f>
        <v>1010</v>
      </c>
      <c r="T367" s="532">
        <f>R176</f>
        <v>4.3</v>
      </c>
      <c r="U367" s="532">
        <f>S176</f>
        <v>9.9999999999999995E-7</v>
      </c>
      <c r="V367" s="532">
        <f>T176</f>
        <v>0</v>
      </c>
      <c r="W367" s="533">
        <f>U176</f>
        <v>2.1499994999999998</v>
      </c>
      <c r="AE367" s="514"/>
    </row>
    <row r="368" spans="1:31" ht="13" x14ac:dyDescent="0.3">
      <c r="A368" s="948"/>
      <c r="B368" s="532">
        <v>17</v>
      </c>
      <c r="C368" s="532">
        <f>C187</f>
        <v>40</v>
      </c>
      <c r="D368" s="532">
        <f t="shared" ref="D368:F368" si="175">D187</f>
        <v>0.7</v>
      </c>
      <c r="E368" s="532">
        <f t="shared" si="175"/>
        <v>-0.8</v>
      </c>
      <c r="F368" s="532">
        <f t="shared" si="175"/>
        <v>0</v>
      </c>
      <c r="G368" s="532">
        <f>G187</f>
        <v>0.75</v>
      </c>
      <c r="I368" s="948"/>
      <c r="J368" s="532">
        <v>17</v>
      </c>
      <c r="K368" s="532">
        <f>J187</f>
        <v>90</v>
      </c>
      <c r="L368" s="532">
        <f>K187</f>
        <v>-2.9</v>
      </c>
      <c r="M368" s="532">
        <f>L187</f>
        <v>-1.4</v>
      </c>
      <c r="N368" s="532">
        <f>M187</f>
        <v>0</v>
      </c>
      <c r="O368" s="532">
        <f>N187</f>
        <v>0.75</v>
      </c>
      <c r="Q368" s="952"/>
      <c r="R368" s="532">
        <v>17</v>
      </c>
      <c r="S368" s="532">
        <f>Q187</f>
        <v>1020</v>
      </c>
      <c r="T368" s="532">
        <f>R187</f>
        <v>4.5</v>
      </c>
      <c r="U368" s="532">
        <f>S187</f>
        <v>9.9999999999999995E-7</v>
      </c>
      <c r="V368" s="532">
        <f>T187</f>
        <v>0</v>
      </c>
      <c r="W368" s="533">
        <f>U187</f>
        <v>2.2499994999999999</v>
      </c>
      <c r="AE368" s="514"/>
    </row>
    <row r="369" spans="1:36" ht="13" x14ac:dyDescent="0.3">
      <c r="A369" s="948"/>
      <c r="B369" s="532">
        <v>18</v>
      </c>
      <c r="C369" s="532">
        <f>C198</f>
        <v>40</v>
      </c>
      <c r="D369" s="532">
        <f t="shared" ref="D369:F369" si="176">D198</f>
        <v>0.5</v>
      </c>
      <c r="E369" s="532">
        <f t="shared" si="176"/>
        <v>-0.4</v>
      </c>
      <c r="F369" s="532">
        <f t="shared" si="176"/>
        <v>0</v>
      </c>
      <c r="G369" s="532">
        <f>G198</f>
        <v>0.45</v>
      </c>
      <c r="I369" s="948"/>
      <c r="J369" s="532">
        <v>18</v>
      </c>
      <c r="K369" s="532">
        <f>J198</f>
        <v>90</v>
      </c>
      <c r="L369" s="532">
        <f>K198</f>
        <v>-3</v>
      </c>
      <c r="M369" s="532">
        <f>L198</f>
        <v>-0.8</v>
      </c>
      <c r="N369" s="532">
        <f>M198</f>
        <v>0</v>
      </c>
      <c r="O369" s="532">
        <f>N198</f>
        <v>1.1000000000000001</v>
      </c>
      <c r="Q369" s="952"/>
      <c r="R369" s="532">
        <v>18</v>
      </c>
      <c r="S369" s="532">
        <f>Q198</f>
        <v>1010</v>
      </c>
      <c r="T369" s="532">
        <f>R198</f>
        <v>4.4000000000000004</v>
      </c>
      <c r="U369" s="532">
        <f>S198</f>
        <v>9.9999999999999995E-7</v>
      </c>
      <c r="V369" s="532">
        <f>T198</f>
        <v>0</v>
      </c>
      <c r="W369" s="533">
        <f>U198</f>
        <v>2.1999995000000001</v>
      </c>
      <c r="AE369" s="514"/>
    </row>
    <row r="370" spans="1:36" ht="13" x14ac:dyDescent="0.3">
      <c r="A370" s="948"/>
      <c r="B370" s="532">
        <v>19</v>
      </c>
      <c r="C370" s="532">
        <f>C209</f>
        <v>40</v>
      </c>
      <c r="D370" s="532">
        <f t="shared" ref="D370:F370" si="177">D209</f>
        <v>0.2</v>
      </c>
      <c r="E370" s="532" t="str">
        <f t="shared" si="177"/>
        <v>-</v>
      </c>
      <c r="F370" s="532">
        <f t="shared" si="177"/>
        <v>0</v>
      </c>
      <c r="G370" s="532">
        <f>G209</f>
        <v>0</v>
      </c>
      <c r="I370" s="948"/>
      <c r="J370" s="532">
        <v>19</v>
      </c>
      <c r="K370" s="532">
        <f>J209</f>
        <v>90</v>
      </c>
      <c r="L370" s="532">
        <f>K209</f>
        <v>-0.6</v>
      </c>
      <c r="M370" s="532" t="str">
        <f>L209</f>
        <v>-</v>
      </c>
      <c r="N370" s="532">
        <f>M209</f>
        <v>0</v>
      </c>
      <c r="O370" s="532">
        <f>N209</f>
        <v>0</v>
      </c>
      <c r="Q370" s="952"/>
      <c r="R370" s="532">
        <v>19</v>
      </c>
      <c r="S370" s="532">
        <f>Q209</f>
        <v>1020</v>
      </c>
      <c r="T370" s="532">
        <f>R209</f>
        <v>2.2999999999999998</v>
      </c>
      <c r="U370" s="532" t="str">
        <f>S209</f>
        <v>-</v>
      </c>
      <c r="V370" s="532">
        <f>T209</f>
        <v>0</v>
      </c>
      <c r="W370" s="533">
        <f>U209</f>
        <v>0</v>
      </c>
      <c r="AE370" s="514"/>
    </row>
    <row r="371" spans="1:36" ht="13.5" thickBot="1" x14ac:dyDescent="0.35">
      <c r="A371" s="948"/>
      <c r="B371" s="532">
        <v>20</v>
      </c>
      <c r="C371" s="532">
        <f>C220</f>
        <v>40</v>
      </c>
      <c r="D371" s="532">
        <f t="shared" ref="D371:F371" si="178">D220</f>
        <v>9.9999999999999995E-7</v>
      </c>
      <c r="E371" s="532" t="str">
        <f t="shared" si="178"/>
        <v>-</v>
      </c>
      <c r="F371" s="532">
        <f t="shared" si="178"/>
        <v>9.9999999999999995E-7</v>
      </c>
      <c r="G371" s="532">
        <f>G220</f>
        <v>0</v>
      </c>
      <c r="I371" s="948"/>
      <c r="J371" s="532">
        <v>20</v>
      </c>
      <c r="K371" s="532">
        <f>J220</f>
        <v>90</v>
      </c>
      <c r="L371" s="532">
        <f>K220</f>
        <v>9.9999999999999995E-7</v>
      </c>
      <c r="M371" s="532" t="str">
        <f>L220</f>
        <v>-</v>
      </c>
      <c r="N371" s="532">
        <f>M220</f>
        <v>0</v>
      </c>
      <c r="O371" s="532">
        <f>N220</f>
        <v>0</v>
      </c>
      <c r="Q371" s="953"/>
      <c r="R371" s="541">
        <v>20</v>
      </c>
      <c r="S371" s="541">
        <f>Q220</f>
        <v>1020</v>
      </c>
      <c r="T371" s="541" t="str">
        <f>R220</f>
        <v>-</v>
      </c>
      <c r="U371" s="541" t="str">
        <f>S220</f>
        <v>-</v>
      </c>
      <c r="V371" s="541">
        <f>T220</f>
        <v>0</v>
      </c>
      <c r="W371" s="555">
        <f>U220</f>
        <v>0</v>
      </c>
      <c r="AE371" s="545"/>
    </row>
    <row r="372" spans="1:36" ht="13.5" thickBot="1" x14ac:dyDescent="0.35">
      <c r="A372" s="560"/>
      <c r="B372" s="561"/>
      <c r="C372" s="549"/>
      <c r="D372" s="549"/>
      <c r="E372" s="549"/>
      <c r="F372" s="549"/>
      <c r="G372" s="549"/>
      <c r="H372" s="514"/>
      <c r="I372" s="544"/>
      <c r="J372" s="561"/>
      <c r="K372" s="549"/>
      <c r="L372" s="549"/>
      <c r="M372" s="549"/>
      <c r="N372" s="549"/>
      <c r="O372" s="549"/>
      <c r="P372" s="514"/>
    </row>
    <row r="373" spans="1:36" ht="29.25" customHeight="1" x14ac:dyDescent="0.25">
      <c r="A373" s="775">
        <f>A410</f>
        <v>18</v>
      </c>
      <c r="B373" s="955" t="str">
        <f>A389</f>
        <v>Thermohygrobarometer, Merek : EXTECH, Model : SD700, SN : A.100618</v>
      </c>
      <c r="C373" s="955"/>
      <c r="D373" s="955"/>
      <c r="E373" s="955"/>
      <c r="G373" s="775">
        <f>A373</f>
        <v>18</v>
      </c>
      <c r="H373" s="955" t="str">
        <f>B373</f>
        <v>Thermohygrobarometer, Merek : EXTECH, Model : SD700, SN : A.100618</v>
      </c>
      <c r="I373" s="955"/>
      <c r="J373" s="955"/>
      <c r="K373" s="955"/>
      <c r="M373" s="775">
        <f>G373</f>
        <v>18</v>
      </c>
      <c r="N373" s="955" t="str">
        <f>H373</f>
        <v>Thermohygrobarometer, Merek : EXTECH, Model : SD700, SN : A.100618</v>
      </c>
      <c r="O373" s="955"/>
      <c r="P373" s="955"/>
      <c r="Q373" s="955"/>
      <c r="S373" s="775">
        <f>A373</f>
        <v>18</v>
      </c>
      <c r="T373" s="960" t="str">
        <f>H373</f>
        <v>Thermohygrobarometer, Merek : EXTECH, Model : SD700, SN : A.100618</v>
      </c>
      <c r="U373" s="960"/>
      <c r="V373" s="960"/>
      <c r="W373" s="960"/>
      <c r="Z373" s="563"/>
      <c r="AE373" s="521"/>
    </row>
    <row r="374" spans="1:36" ht="13.5" x14ac:dyDescent="0.3">
      <c r="A374" s="564" t="s">
        <v>348</v>
      </c>
      <c r="B374" s="961" t="s">
        <v>349</v>
      </c>
      <c r="C374" s="961"/>
      <c r="D374" s="961"/>
      <c r="E374" s="961" t="s">
        <v>350</v>
      </c>
      <c r="G374" s="564" t="s">
        <v>351</v>
      </c>
      <c r="H374" s="961" t="s">
        <v>349</v>
      </c>
      <c r="I374" s="961"/>
      <c r="J374" s="961"/>
      <c r="K374" s="961" t="s">
        <v>350</v>
      </c>
      <c r="M374" s="564" t="s">
        <v>352</v>
      </c>
      <c r="N374" s="961" t="s">
        <v>349</v>
      </c>
      <c r="O374" s="961"/>
      <c r="P374" s="961"/>
      <c r="Q374" s="961" t="s">
        <v>350</v>
      </c>
      <c r="S374" s="955"/>
      <c r="T374" s="955" t="s">
        <v>376</v>
      </c>
      <c r="U374" s="955" t="s">
        <v>377</v>
      </c>
      <c r="V374" s="955" t="s">
        <v>123</v>
      </c>
      <c r="W374" s="956" t="s">
        <v>240</v>
      </c>
      <c r="Z374" s="549"/>
    </row>
    <row r="375" spans="1:36" ht="14" x14ac:dyDescent="0.3">
      <c r="A375" s="412" t="s">
        <v>375</v>
      </c>
      <c r="B375" s="564">
        <f>VLOOKUP(B373,A390:L409,9,FALSE)</f>
        <v>2023</v>
      </c>
      <c r="C375" s="564">
        <f>VLOOKUP(B373,A390:L409,10,FALSE)</f>
        <v>2020</v>
      </c>
      <c r="D375" s="564">
        <f>VLOOKUP(B373,A390:L409,11,FALSE)</f>
        <v>2016</v>
      </c>
      <c r="E375" s="961"/>
      <c r="G375" s="565" t="s">
        <v>32</v>
      </c>
      <c r="H375" s="564">
        <f>B375</f>
        <v>2023</v>
      </c>
      <c r="I375" s="564">
        <f>C375</f>
        <v>2020</v>
      </c>
      <c r="J375" s="564">
        <f>D375</f>
        <v>2016</v>
      </c>
      <c r="K375" s="961"/>
      <c r="M375" s="565" t="s">
        <v>354</v>
      </c>
      <c r="N375" s="564">
        <f>H375</f>
        <v>2023</v>
      </c>
      <c r="O375" s="564">
        <f>I375</f>
        <v>2020</v>
      </c>
      <c r="P375" s="564">
        <f>J375</f>
        <v>2016</v>
      </c>
      <c r="Q375" s="961"/>
      <c r="S375" s="955"/>
      <c r="T375" s="955"/>
      <c r="U375" s="955"/>
      <c r="V375" s="955"/>
      <c r="W375" s="956"/>
      <c r="Z375" s="549"/>
    </row>
    <row r="376" spans="1:36" ht="13" x14ac:dyDescent="0.3">
      <c r="A376" s="470">
        <f>VLOOKUP($A$373,$B$226:$G$245,2,FALSE)</f>
        <v>15</v>
      </c>
      <c r="B376" s="470">
        <f>VLOOKUP($A$373,$B$226:$G$245,3,FALSE)</f>
        <v>0.3</v>
      </c>
      <c r="C376" s="470">
        <f>VLOOKUP($A$373,$B$226:$G$245,4,FALSE)</f>
        <v>9.9999999999999995E-7</v>
      </c>
      <c r="D376" s="470">
        <f>VLOOKUP($A$373,$B$226:$G$245,5,FALSE)</f>
        <v>0</v>
      </c>
      <c r="E376" s="470">
        <f>VLOOKUP($A$373,$B$226:$G$245,6,FALSE)</f>
        <v>0.14999950000000001</v>
      </c>
      <c r="G376" s="470">
        <f>VLOOKUP($G$373,$J$226:$O$245,2,FALSE)</f>
        <v>35</v>
      </c>
      <c r="H376" s="470">
        <f>VLOOKUP($G$373,$J$226:$O$245,3,FALSE)</f>
        <v>-3.2</v>
      </c>
      <c r="I376" s="470">
        <f>VLOOKUP($G$373,$J$226:$O$245,4,FALSE)</f>
        <v>-0.4</v>
      </c>
      <c r="J376" s="470">
        <f>VLOOKUP($G$373,$J$226:$O$245,5,FALSE)</f>
        <v>0</v>
      </c>
      <c r="K376" s="470">
        <f>VLOOKUP($G$373,$J$226:$O$245,6,FALSE)</f>
        <v>1.4000000000000001</v>
      </c>
      <c r="M376" s="470">
        <f>VLOOKUP($M$373,$R$226:$W$245,2,FALSE)</f>
        <v>960</v>
      </c>
      <c r="N376" s="470">
        <f>VLOOKUP($M$373,$R$226:$W$245,3,FALSE)</f>
        <v>4.5999999999999996</v>
      </c>
      <c r="O376" s="470" t="str">
        <f>VLOOKUP($M$373,$R$226:$W$245,4,FALSE)</f>
        <v>-</v>
      </c>
      <c r="P376" s="470">
        <f>VLOOKUP($M$373,$R$226:$W$245,5,FALSE)</f>
        <v>0</v>
      </c>
      <c r="Q376" s="470">
        <f>VLOOKUP($M$373,$R$226:$W$245,6,FALSE)</f>
        <v>0</v>
      </c>
      <c r="S376" s="955"/>
      <c r="T376" s="955"/>
      <c r="U376" s="955"/>
      <c r="V376" s="955"/>
      <c r="W376" s="956"/>
      <c r="Z376" s="549"/>
    </row>
    <row r="377" spans="1:36" ht="13" x14ac:dyDescent="0.3">
      <c r="A377" s="470">
        <f>VLOOKUP($A$373,$B$247:$G$266,2,FALSE)</f>
        <v>20</v>
      </c>
      <c r="B377" s="470">
        <f>VLOOKUP($A$373,$B$247:$G$266,3,FALSE)</f>
        <v>0.2</v>
      </c>
      <c r="C377" s="470">
        <f>VLOOKUP($A$373,$B$247:$G$266,4,FALSE)</f>
        <v>-0.1</v>
      </c>
      <c r="D377" s="470">
        <f>VLOOKUP($A$373,$B$247:$G$266,5,FALSE)</f>
        <v>0</v>
      </c>
      <c r="E377" s="470">
        <f>VLOOKUP($A$373,$B$247:$G$266,6,FALSE)</f>
        <v>0.15000000000000002</v>
      </c>
      <c r="G377" s="470">
        <f>VLOOKUP($G$373,$J$247:$O$266,2,FALSE)</f>
        <v>40</v>
      </c>
      <c r="H377" s="470">
        <f>VLOOKUP($G$373,$J$247:$O$266,3,FALSE)</f>
        <v>-2.9</v>
      </c>
      <c r="I377" s="470">
        <f>VLOOKUP($G$373,$J$247:$O$266,4,FALSE)</f>
        <v>-0.2</v>
      </c>
      <c r="J377" s="470">
        <f>VLOOKUP($G$373,$J$247:$O$266,5,FALSE)</f>
        <v>0</v>
      </c>
      <c r="K377" s="470">
        <f>VLOOKUP($G$373,$J$247:$O$266,6,FALSE)</f>
        <v>1.3499999999999999</v>
      </c>
      <c r="M377" s="470">
        <f>VLOOKUP($M$373,$R$247:$W$266,2,FALSE)</f>
        <v>970</v>
      </c>
      <c r="N377" s="470">
        <f>VLOOKUP($M$373,$R$247:$W$266,3,FALSE)</f>
        <v>4.5</v>
      </c>
      <c r="O377" s="470" t="str">
        <f>VLOOKUP($M$373,$R$247:$W$266,4,FALSE)</f>
        <v>-</v>
      </c>
      <c r="P377" s="470">
        <f>VLOOKUP($M$373,$R$247:$W$266,5,FALSE)</f>
        <v>0</v>
      </c>
      <c r="Q377" s="470">
        <f>VLOOKUP($M$373,$R$247:$W$266,6,FALSE)</f>
        <v>0</v>
      </c>
      <c r="S377" s="130" t="s">
        <v>348</v>
      </c>
      <c r="T377" s="566">
        <f>ID!F16</f>
        <v>26.65</v>
      </c>
      <c r="U377" s="772">
        <f>T377+S386</f>
        <v>26.957443118756935</v>
      </c>
      <c r="V377" s="566">
        <f>STDEV(ID!D16:E16)</f>
        <v>7.0710678118653253E-2</v>
      </c>
      <c r="W377" s="130">
        <f>VLOOKUP(S373,Y225:Z244,2,(FALSE))</f>
        <v>0.6</v>
      </c>
      <c r="Z377" s="549"/>
    </row>
    <row r="378" spans="1:36" ht="13" x14ac:dyDescent="0.3">
      <c r="A378" s="470">
        <f>VLOOKUP($A$373,$B$268:$G$287,2,FALSE)</f>
        <v>25</v>
      </c>
      <c r="B378" s="470">
        <f>VLOOKUP($A$373,$B$268:$G$287,3,FALSE)</f>
        <v>0.2</v>
      </c>
      <c r="C378" s="470">
        <f>VLOOKUP($A$373,$B$268:$G$287,4,FALSE)</f>
        <v>-0.2</v>
      </c>
      <c r="D378" s="470">
        <f>VLOOKUP($A$373,$B$268:$G$287,5,FALSE)</f>
        <v>0</v>
      </c>
      <c r="E378" s="470">
        <f>VLOOKUP($A$373,$B$268:$G$287,6,FALSE)</f>
        <v>0.2</v>
      </c>
      <c r="G378" s="470">
        <f>VLOOKUP($G$373,$J$268:$O$287,2,FALSE)</f>
        <v>50</v>
      </c>
      <c r="H378" s="470">
        <f>VLOOKUP($G$373,$J$268:$O$287,3,FALSE)</f>
        <v>-2.4</v>
      </c>
      <c r="I378" s="470">
        <f>VLOOKUP($G$373,$J$268:$O$287,4,FALSE)</f>
        <v>-0.2</v>
      </c>
      <c r="J378" s="470">
        <f>VLOOKUP($G$373,$J$268:$O$287,5,FALSE)</f>
        <v>0</v>
      </c>
      <c r="K378" s="470">
        <f>VLOOKUP($G$373,$J$268:$O$287,6,FALSE)</f>
        <v>1.0999999999999999</v>
      </c>
      <c r="M378" s="470">
        <f>VLOOKUP($M$373,$R$268:$W$287,2,FALSE)</f>
        <v>980</v>
      </c>
      <c r="N378" s="470">
        <f>VLOOKUP($M$373,$R$268:$W$287,3,FALSE)</f>
        <v>4.5</v>
      </c>
      <c r="O378" s="470" t="str">
        <f>VLOOKUP($M$373,$R$268:$W$287,4,FALSE)</f>
        <v>-</v>
      </c>
      <c r="P378" s="470">
        <f>VLOOKUP($M$373,$R$268:$W$287,5,FALSE)</f>
        <v>0</v>
      </c>
      <c r="Q378" s="470">
        <f>VLOOKUP($M$373,$R$268:$W$287,6,FALSE)</f>
        <v>0</v>
      </c>
      <c r="S378" s="130" t="s">
        <v>32</v>
      </c>
      <c r="T378" s="566">
        <f>ID!F17</f>
        <v>66.650000000000006</v>
      </c>
      <c r="U378" s="772">
        <f>T378+T386</f>
        <v>64.085311614730884</v>
      </c>
      <c r="V378" s="566">
        <f>STDEV(ID!D17:E17)</f>
        <v>7.0710678118660789E-2</v>
      </c>
      <c r="W378" s="130">
        <f>VLOOKUP(S373,Y249:Z268,2,(FALSE))</f>
        <v>2.2999999999999998</v>
      </c>
      <c r="Z378" s="549"/>
    </row>
    <row r="379" spans="1:36" ht="13" x14ac:dyDescent="0.3">
      <c r="A379" s="470">
        <f>VLOOKUP($A$373,$B$289:$G$308,2,FALSE)</f>
        <v>30</v>
      </c>
      <c r="B379" s="470">
        <f>VLOOKUP($A$373,$B$289:$G$308,3,FALSE)</f>
        <v>0.3</v>
      </c>
      <c r="C379" s="470">
        <f>VLOOKUP($A$373,$B$289:$G$308,4,FALSE)</f>
        <v>-0.2</v>
      </c>
      <c r="D379" s="470">
        <f>VLOOKUP($A$373,$B$289:$G$308,5,FALSE)</f>
        <v>0</v>
      </c>
      <c r="E379" s="470">
        <f>VLOOKUP($A$373,$B$289:$G$308,6,FALSE)</f>
        <v>0.25</v>
      </c>
      <c r="G379" s="470">
        <f>VLOOKUP($G$373,$J$289:$O$308,2,FALSE)</f>
        <v>60</v>
      </c>
      <c r="H379" s="470">
        <f>VLOOKUP($G$373,$J$289:$O$308,3,FALSE)</f>
        <v>-2.1</v>
      </c>
      <c r="I379" s="470">
        <f>VLOOKUP($G$373,$J$289:$O$308,4,FALSE)</f>
        <v>-0.2</v>
      </c>
      <c r="J379" s="470">
        <f>VLOOKUP($G$373,$J$289:$O$308,5,FALSE)</f>
        <v>0</v>
      </c>
      <c r="K379" s="470">
        <f>VLOOKUP($G$373,$J$289:$O$308,6,FALSE)</f>
        <v>0.95000000000000007</v>
      </c>
      <c r="M379" s="470">
        <f>VLOOKUP($M$373,$R$289:$W$308,2,FALSE)</f>
        <v>990</v>
      </c>
      <c r="N379" s="470">
        <f>VLOOKUP($M$373,$R$289:$W$308,3,FALSE)</f>
        <v>4.5</v>
      </c>
      <c r="O379" s="470" t="str">
        <f>VLOOKUP($M$373,$R$289:$W$308,4,FALSE)</f>
        <v>-</v>
      </c>
      <c r="P379" s="470">
        <f>VLOOKUP($M$373,$R$289:$W$308,5,FALSE)</f>
        <v>0</v>
      </c>
      <c r="Q379" s="470">
        <f>VLOOKUP($M$373,$R$289:$W$308,6,FALSE)</f>
        <v>0</v>
      </c>
      <c r="S379" s="467" t="s">
        <v>354</v>
      </c>
      <c r="T379" s="504"/>
      <c r="U379" s="773">
        <f>T379+U386</f>
        <v>8.1419047619047493</v>
      </c>
      <c r="V379" s="504"/>
      <c r="W379" s="130">
        <f>VLOOKUP(S373,Y273:Z292,2,(FALSE))</f>
        <v>2.1</v>
      </c>
      <c r="Z379" s="549"/>
      <c r="AE379" s="567"/>
    </row>
    <row r="380" spans="1:36" ht="13.5" thickBot="1" x14ac:dyDescent="0.35">
      <c r="A380" s="470">
        <f>VLOOKUP($A$373,$B$310:$G$329,2,FALSE)</f>
        <v>35</v>
      </c>
      <c r="B380" s="470">
        <f>VLOOKUP($A$373,$B$310:$G$329,3,FALSE)</f>
        <v>0.4</v>
      </c>
      <c r="C380" s="470">
        <f>VLOOKUP($A$373,$B$310:$G$329,4,FALSE)</f>
        <v>-0.3</v>
      </c>
      <c r="D380" s="470">
        <f>VLOOKUP($A$373,$B$310:$G$329,5,FALSE)</f>
        <v>0</v>
      </c>
      <c r="E380" s="470">
        <f>VLOOKUP($A$373,$B$310:$G$329,6,FALSE)</f>
        <v>0.35</v>
      </c>
      <c r="G380" s="470">
        <f>VLOOKUP($G$373,$J$310:$O$329,2,FALSE)</f>
        <v>70</v>
      </c>
      <c r="H380" s="470">
        <f>VLOOKUP($G$373,$J$310:$O$329,3,FALSE)</f>
        <v>-2.2000000000000002</v>
      </c>
      <c r="I380" s="470">
        <f>VLOOKUP($G$373,$J$310:$O$329,4,FALSE)</f>
        <v>-0.3</v>
      </c>
      <c r="J380" s="470">
        <f>VLOOKUP($G$373,$J$310:$O$329,5,FALSE)</f>
        <v>0</v>
      </c>
      <c r="K380" s="470">
        <f>VLOOKUP($G$373,$J$310:$O$329,6,FALSE)</f>
        <v>0.95000000000000007</v>
      </c>
      <c r="M380" s="470">
        <f>VLOOKUP($M$373,$R$310:$W$329,2,FALSE)</f>
        <v>1000</v>
      </c>
      <c r="N380" s="470">
        <f>VLOOKUP($M$373,$R$310:$W$329,3,FALSE)</f>
        <v>4.4000000000000004</v>
      </c>
      <c r="O380" s="470">
        <f>VLOOKUP($M$373,$R$310:$W$329,4,FALSE)</f>
        <v>-0.8</v>
      </c>
      <c r="P380" s="470">
        <f>VLOOKUP($M$373,$R$310:$W$329,5,FALSE)</f>
        <v>0</v>
      </c>
      <c r="Q380" s="470">
        <f>VLOOKUP($M$373,$R$310:$W$329,6,FALSE)</f>
        <v>2.6</v>
      </c>
      <c r="Z380" s="549"/>
      <c r="AE380" s="420"/>
    </row>
    <row r="381" spans="1:36" ht="14" x14ac:dyDescent="0.3">
      <c r="A381" s="470">
        <f>VLOOKUP($A$373,$B$331:$G$350,2,FALSE)</f>
        <v>37</v>
      </c>
      <c r="B381" s="470">
        <f>VLOOKUP($A$373,$B$331:$G$350,3,FALSE)</f>
        <v>0.4</v>
      </c>
      <c r="C381" s="470">
        <f>VLOOKUP($A$373,$B$331:$G$350,4,FALSE)</f>
        <v>-0.3</v>
      </c>
      <c r="D381" s="470">
        <f>VLOOKUP($A$373,$B$331:$G$350,5,FALSE)</f>
        <v>0</v>
      </c>
      <c r="E381" s="470">
        <f>VLOOKUP($A$373,$B$331:$G$350,6,FALSE)</f>
        <v>0.35</v>
      </c>
      <c r="G381" s="470">
        <f>VLOOKUP($G$373,$J$331:$O$350,2,FALSE)</f>
        <v>80</v>
      </c>
      <c r="H381" s="470">
        <f>VLOOKUP($G$373,$J$331:$O$350,3,FALSE)</f>
        <v>-2.4</v>
      </c>
      <c r="I381" s="470">
        <f>VLOOKUP($G$373,$J$331:$O$350,4,FALSE)</f>
        <v>-0.5</v>
      </c>
      <c r="J381" s="470">
        <f>VLOOKUP($G$373,$J$331:$O$350,5,FALSE)</f>
        <v>0</v>
      </c>
      <c r="K381" s="470">
        <f>VLOOKUP($G$373,$J$331:$O$350,6,FALSE)</f>
        <v>0.95</v>
      </c>
      <c r="M381" s="470">
        <f>VLOOKUP($M$373,$R$331:$W$350,2,FALSE)</f>
        <v>1005</v>
      </c>
      <c r="N381" s="470" t="str">
        <f>VLOOKUP($M$373,$R$331:$W$350,3,FALSE)</f>
        <v>-</v>
      </c>
      <c r="O381" s="470">
        <f>VLOOKUP($M$373,$R$331:$W$350,4,FALSE)</f>
        <v>-0.7</v>
      </c>
      <c r="P381" s="470">
        <f>VLOOKUP($M$373,$R$331:$W$350,5,FALSE)</f>
        <v>0</v>
      </c>
      <c r="Q381" s="470">
        <f>VLOOKUP($M$373,$R$331:$W$350,6,FALSE)</f>
        <v>0</v>
      </c>
      <c r="S381" s="957" t="s">
        <v>378</v>
      </c>
      <c r="T381" s="568" t="str">
        <f>N393&amp;N390&amp;O393&amp;O390&amp;P393&amp;P390</f>
        <v>( 27.0 ± 0.6 ) °C</v>
      </c>
      <c r="U381" s="569"/>
      <c r="V381" s="375" t="str">
        <f>N393</f>
        <v xml:space="preserve">( </v>
      </c>
      <c r="W381" s="768">
        <f>U377</f>
        <v>26.957443118756935</v>
      </c>
      <c r="X381" s="375" t="str">
        <f>O393</f>
        <v xml:space="preserve"> ± </v>
      </c>
      <c r="Y381" s="768">
        <f>W377</f>
        <v>0.6</v>
      </c>
      <c r="Z381" s="549" t="str">
        <f>P393</f>
        <v xml:space="preserve"> )</v>
      </c>
      <c r="AA381" s="375" t="str">
        <f>P390</f>
        <v xml:space="preserve"> °C</v>
      </c>
      <c r="AE381" s="570"/>
    </row>
    <row r="382" spans="1:36" ht="14" x14ac:dyDescent="0.3">
      <c r="A382" s="470">
        <f>VLOOKUP($A$373,$B$352:$G$371,2,FALSE)</f>
        <v>40</v>
      </c>
      <c r="B382" s="470">
        <f>VLOOKUP($A$373,$B$352:$G$371,3,FALSE)</f>
        <v>0.5</v>
      </c>
      <c r="C382" s="470">
        <f>VLOOKUP($A$373,$B$352:$G$371,4,FALSE)</f>
        <v>-0.4</v>
      </c>
      <c r="D382" s="470">
        <f>VLOOKUP($A$373,$B$352:$G$371,5,FALSE)</f>
        <v>0</v>
      </c>
      <c r="E382" s="470">
        <f>VLOOKUP($A$373,$B$352:$G$371,6,FALSE)</f>
        <v>0.45</v>
      </c>
      <c r="G382" s="470">
        <f>VLOOKUP($G$373,$J$352:$O$371,2,FALSE)</f>
        <v>90</v>
      </c>
      <c r="H382" s="470">
        <f>VLOOKUP($G$373,$J$352:$O$371,3,FALSE)</f>
        <v>-3</v>
      </c>
      <c r="I382" s="470">
        <f>VLOOKUP($G$373,$J$352:$O$371,4,FALSE)</f>
        <v>-0.8</v>
      </c>
      <c r="J382" s="470">
        <f>VLOOKUP($G$373,$J$352:$O$371,5,FALSE)</f>
        <v>0</v>
      </c>
      <c r="K382" s="470">
        <f>VLOOKUP($G$373,$J$352:$O$371,6,FALSE)</f>
        <v>1.1000000000000001</v>
      </c>
      <c r="M382" s="470">
        <f>VLOOKUP($M$373,$R$352:$W$371,2,FALSE)</f>
        <v>1010</v>
      </c>
      <c r="N382" s="470">
        <f>VLOOKUP($M$373,$R$352:$W$371,3,FALSE)</f>
        <v>4.4000000000000004</v>
      </c>
      <c r="O382" s="470">
        <f>VLOOKUP($M$373,$R$352:$W$371,4,FALSE)</f>
        <v>9.9999999999999995E-7</v>
      </c>
      <c r="P382" s="470">
        <f>VLOOKUP($M$373,$R$352:$W$371,5,FALSE)</f>
        <v>0</v>
      </c>
      <c r="Q382" s="470">
        <f>VLOOKUP($M$373,$R$352:$W$371,6,FALSE)</f>
        <v>2.1999995000000001</v>
      </c>
      <c r="S382" s="958"/>
      <c r="T382" s="508" t="str">
        <f>N393&amp;N391&amp;O393&amp;O391&amp;P393&amp;P391</f>
        <v>( 64.1 ± 2.3 ) %RH</v>
      </c>
      <c r="U382" s="571"/>
      <c r="V382" s="375" t="str">
        <f>N393</f>
        <v xml:space="preserve">( </v>
      </c>
      <c r="W382" s="768">
        <f>U378</f>
        <v>64.085311614730884</v>
      </c>
      <c r="X382" s="375" t="str">
        <f>O393</f>
        <v xml:space="preserve"> ± </v>
      </c>
      <c r="Y382" s="768">
        <f>W378</f>
        <v>2.2999999999999998</v>
      </c>
      <c r="Z382" s="549" t="str">
        <f>P393</f>
        <v xml:space="preserve"> )</v>
      </c>
      <c r="AA382" s="375" t="str">
        <f>P391</f>
        <v xml:space="preserve"> %RH</v>
      </c>
      <c r="AE382" s="570"/>
    </row>
    <row r="383" spans="1:36" ht="14.5" thickBot="1" x14ac:dyDescent="0.35">
      <c r="A383" s="572"/>
      <c r="B383" s="549"/>
      <c r="C383" s="549"/>
      <c r="D383" s="549"/>
      <c r="E383" s="549"/>
      <c r="G383" s="549"/>
      <c r="H383" s="549"/>
      <c r="I383" s="549"/>
      <c r="J383" s="549"/>
      <c r="M383" s="549"/>
      <c r="N383" s="549"/>
      <c r="O383" s="549"/>
      <c r="P383" s="549"/>
      <c r="S383" s="959"/>
      <c r="T383" s="573" t="str">
        <f>N393&amp;N392&amp;O393&amp;O392&amp;P393&amp;P392</f>
        <v>( 8.1 ± 2.1 ) hPa</v>
      </c>
      <c r="U383" s="574"/>
      <c r="Z383" s="549"/>
      <c r="AE383" s="570"/>
    </row>
    <row r="384" spans="1:36" ht="14" x14ac:dyDescent="0.3">
      <c r="D384" s="575"/>
      <c r="E384" s="575"/>
      <c r="G384" s="575"/>
      <c r="H384" s="575"/>
      <c r="I384" s="575"/>
      <c r="J384" s="575"/>
      <c r="M384" s="575"/>
      <c r="N384" s="575"/>
      <c r="O384" s="575"/>
      <c r="P384" s="575"/>
      <c r="Z384" s="549"/>
      <c r="AE384" s="570"/>
      <c r="AF384" s="576"/>
      <c r="AJ384" s="491"/>
    </row>
    <row r="385" spans="1:36" ht="31.5" x14ac:dyDescent="0.3">
      <c r="D385" s="577"/>
      <c r="E385" s="578"/>
      <c r="G385" s="417"/>
      <c r="H385" s="577"/>
      <c r="I385" s="577"/>
      <c r="J385" s="577"/>
      <c r="M385" s="417"/>
      <c r="N385" s="577"/>
      <c r="O385" s="577"/>
      <c r="P385" s="577"/>
      <c r="S385" s="450" t="s">
        <v>379</v>
      </c>
      <c r="T385" s="450" t="s">
        <v>380</v>
      </c>
      <c r="U385" s="450" t="s">
        <v>381</v>
      </c>
      <c r="Z385" s="549"/>
      <c r="AE385" s="549"/>
      <c r="AJ385" s="491"/>
    </row>
    <row r="386" spans="1:36" ht="13.5" x14ac:dyDescent="0.3">
      <c r="A386" s="417"/>
      <c r="B386" s="577"/>
      <c r="C386" s="577"/>
      <c r="D386" s="577"/>
      <c r="E386" s="578"/>
      <c r="G386" s="417"/>
      <c r="H386" s="577"/>
      <c r="I386" s="577"/>
      <c r="J386" s="577"/>
      <c r="M386" s="417"/>
      <c r="N386" s="577"/>
      <c r="O386" s="577"/>
      <c r="P386" s="577"/>
      <c r="S386" s="562">
        <f>FORECAST(T377,B376:B382,A376:A382)</f>
        <v>0.3074431187569367</v>
      </c>
      <c r="T386" s="579">
        <f>FORECAST(T378,H376:H382,G376:G382)</f>
        <v>-2.5646883852691222</v>
      </c>
      <c r="U386" s="579">
        <f>FORECAST(T379,N376:N382,M376:M382)</f>
        <v>8.1419047619047493</v>
      </c>
      <c r="Z386" s="549"/>
      <c r="AE386" s="549"/>
      <c r="AJ386" s="491"/>
    </row>
    <row r="387" spans="1:36" ht="13.5" thickBot="1" x14ac:dyDescent="0.35">
      <c r="A387" s="417"/>
      <c r="B387" s="577"/>
      <c r="C387" s="577"/>
      <c r="D387" s="577"/>
      <c r="E387" s="580"/>
      <c r="G387" s="417"/>
      <c r="H387" s="577"/>
      <c r="I387" s="577"/>
      <c r="J387" s="577"/>
      <c r="M387" s="417"/>
      <c r="N387" s="577"/>
      <c r="O387" s="577"/>
      <c r="P387" s="577"/>
      <c r="Z387" s="581"/>
      <c r="AE387" s="581"/>
      <c r="AF387" s="582"/>
      <c r="AG387" s="583"/>
      <c r="AH387" s="583"/>
      <c r="AI387" s="583"/>
      <c r="AJ387" s="584"/>
    </row>
    <row r="388" spans="1:36" ht="13" thickBot="1" x14ac:dyDescent="0.3"/>
    <row r="389" spans="1:36" ht="13" x14ac:dyDescent="0.25">
      <c r="A389" s="775" t="str">
        <f>ID!B48</f>
        <v>Thermohygrobarometer, Merek : EXTECH, Model : SD700, SN : A.100618</v>
      </c>
      <c r="B389" s="775"/>
      <c r="C389" s="775"/>
      <c r="D389" s="775"/>
      <c r="E389" s="775"/>
      <c r="F389" s="775"/>
      <c r="G389" s="775"/>
      <c r="H389" s="775"/>
      <c r="I389" s="775"/>
      <c r="J389" s="775"/>
      <c r="K389" s="775"/>
      <c r="L389" s="775"/>
      <c r="N389" s="881" t="s">
        <v>328</v>
      </c>
      <c r="O389" s="882"/>
      <c r="P389" s="883"/>
    </row>
    <row r="390" spans="1:36" ht="15.5" x14ac:dyDescent="0.25">
      <c r="A390" s="585" t="s">
        <v>382</v>
      </c>
      <c r="B390" s="532"/>
      <c r="C390" s="532"/>
      <c r="D390" s="585"/>
      <c r="E390" s="585"/>
      <c r="F390" s="585"/>
      <c r="G390" s="585"/>
      <c r="H390" s="585"/>
      <c r="I390" s="532">
        <f>D4</f>
        <v>2020</v>
      </c>
      <c r="J390" s="532">
        <f t="shared" ref="J390:K390" si="179">E4</f>
        <v>2017</v>
      </c>
      <c r="K390" s="532">
        <f t="shared" si="179"/>
        <v>2016</v>
      </c>
      <c r="L390" s="532">
        <v>1</v>
      </c>
      <c r="N390" s="439" t="str">
        <f>TEXT(U377,"0.0")</f>
        <v>27.0</v>
      </c>
      <c r="O390" s="409" t="str">
        <f>TEXT(W377,"0.0")</f>
        <v>0.6</v>
      </c>
      <c r="P390" s="438" t="s">
        <v>383</v>
      </c>
    </row>
    <row r="391" spans="1:36" ht="15.5" x14ac:dyDescent="0.25">
      <c r="A391" s="585" t="s">
        <v>384</v>
      </c>
      <c r="B391" s="532"/>
      <c r="C391" s="532"/>
      <c r="D391" s="585"/>
      <c r="E391" s="585"/>
      <c r="F391" s="585"/>
      <c r="G391" s="585"/>
      <c r="H391" s="585"/>
      <c r="I391" s="532">
        <f>D15</f>
        <v>2023</v>
      </c>
      <c r="J391" s="532">
        <f t="shared" ref="J391:K391" si="180">E15</f>
        <v>2021</v>
      </c>
      <c r="K391" s="532">
        <f t="shared" si="180"/>
        <v>2018</v>
      </c>
      <c r="L391" s="532">
        <v>2</v>
      </c>
      <c r="N391" s="439" t="str">
        <f>TEXT(U378,"0.0")</f>
        <v>64.1</v>
      </c>
      <c r="O391" s="409" t="str">
        <f>TEXT(W378,"0.0")</f>
        <v>2.3</v>
      </c>
      <c r="P391" s="438" t="s">
        <v>385</v>
      </c>
    </row>
    <row r="392" spans="1:36" ht="15.5" x14ac:dyDescent="0.25">
      <c r="A392" s="585" t="s">
        <v>386</v>
      </c>
      <c r="B392" s="532"/>
      <c r="C392" s="532"/>
      <c r="D392" s="585"/>
      <c r="E392" s="585"/>
      <c r="F392" s="585"/>
      <c r="G392" s="585"/>
      <c r="H392" s="585"/>
      <c r="I392" s="532">
        <f>D26</f>
        <v>2023</v>
      </c>
      <c r="J392" s="532">
        <f t="shared" ref="J392:K392" si="181">E26</f>
        <v>2021</v>
      </c>
      <c r="K392" s="532">
        <f t="shared" si="181"/>
        <v>2018</v>
      </c>
      <c r="L392" s="532">
        <v>3</v>
      </c>
      <c r="N392" s="439" t="str">
        <f>TEXT(U379,"0.0")</f>
        <v>8.1</v>
      </c>
      <c r="O392" s="409" t="str">
        <f>TEXT(W379,"0.0")</f>
        <v>2.1</v>
      </c>
      <c r="P392" s="586" t="s">
        <v>387</v>
      </c>
    </row>
    <row r="393" spans="1:36" ht="16" thickBot="1" x14ac:dyDescent="0.35">
      <c r="A393" s="585" t="s">
        <v>388</v>
      </c>
      <c r="B393" s="532"/>
      <c r="C393" s="532"/>
      <c r="D393" s="585"/>
      <c r="E393" s="585"/>
      <c r="F393" s="585"/>
      <c r="G393" s="585"/>
      <c r="H393" s="585"/>
      <c r="I393" s="532">
        <f>D37</f>
        <v>2019</v>
      </c>
      <c r="J393" s="532">
        <f t="shared" ref="J393:K393" si="182">E37</f>
        <v>2017</v>
      </c>
      <c r="K393" s="532">
        <f t="shared" si="182"/>
        <v>2016</v>
      </c>
      <c r="L393" s="532">
        <v>4</v>
      </c>
      <c r="N393" s="433" t="s">
        <v>331</v>
      </c>
      <c r="O393" s="432" t="s">
        <v>332</v>
      </c>
      <c r="P393" s="431" t="s">
        <v>333</v>
      </c>
    </row>
    <row r="394" spans="1:36" ht="13" x14ac:dyDescent="0.25">
      <c r="A394" s="585" t="s">
        <v>389</v>
      </c>
      <c r="B394" s="532"/>
      <c r="C394" s="532"/>
      <c r="D394" s="585"/>
      <c r="E394" s="585"/>
      <c r="F394" s="585"/>
      <c r="G394" s="585"/>
      <c r="H394" s="585"/>
      <c r="I394" s="532">
        <f>D48</f>
        <v>2023</v>
      </c>
      <c r="J394" s="532">
        <f t="shared" ref="J394:K394" si="183">E48</f>
        <v>2020</v>
      </c>
      <c r="K394" s="532">
        <f t="shared" si="183"/>
        <v>2017</v>
      </c>
      <c r="L394" s="532">
        <v>5</v>
      </c>
    </row>
    <row r="395" spans="1:36" ht="13" x14ac:dyDescent="0.25">
      <c r="A395" s="585" t="s">
        <v>390</v>
      </c>
      <c r="B395" s="532"/>
      <c r="C395" s="532"/>
      <c r="D395" s="585"/>
      <c r="E395" s="585"/>
      <c r="F395" s="585"/>
      <c r="G395" s="585"/>
      <c r="H395" s="585"/>
      <c r="I395" s="532">
        <f>D59</f>
        <v>2019</v>
      </c>
      <c r="J395" s="532">
        <f t="shared" ref="J395:K395" si="184">E59</f>
        <v>2018</v>
      </c>
      <c r="K395" s="532">
        <f t="shared" si="184"/>
        <v>2016</v>
      </c>
      <c r="L395" s="532">
        <v>6</v>
      </c>
    </row>
    <row r="396" spans="1:36" ht="13" x14ac:dyDescent="0.25">
      <c r="A396" s="585" t="s">
        <v>391</v>
      </c>
      <c r="B396" s="532"/>
      <c r="C396" s="532"/>
      <c r="D396" s="585"/>
      <c r="E396" s="585"/>
      <c r="F396" s="585"/>
      <c r="G396" s="585"/>
      <c r="H396" s="585"/>
      <c r="I396" s="532">
        <f>D70</f>
        <v>2023</v>
      </c>
      <c r="J396" s="532">
        <f t="shared" ref="J396:K396" si="185">E70</f>
        <v>2021</v>
      </c>
      <c r="K396" s="532">
        <f t="shared" si="185"/>
        <v>2018</v>
      </c>
      <c r="L396" s="532">
        <v>7</v>
      </c>
    </row>
    <row r="397" spans="1:36" ht="13" x14ac:dyDescent="0.25">
      <c r="A397" s="585" t="s">
        <v>392</v>
      </c>
      <c r="B397" s="532"/>
      <c r="C397" s="532"/>
      <c r="D397" s="585"/>
      <c r="E397" s="585"/>
      <c r="F397" s="585"/>
      <c r="G397" s="585"/>
      <c r="H397" s="585"/>
      <c r="I397" s="532">
        <f>D81</f>
        <v>2021</v>
      </c>
      <c r="J397" s="532">
        <f t="shared" ref="J397:K397" si="186">E81</f>
        <v>2019</v>
      </c>
      <c r="K397" s="532">
        <f t="shared" si="186"/>
        <v>2016</v>
      </c>
      <c r="L397" s="532">
        <v>8</v>
      </c>
    </row>
    <row r="398" spans="1:36" ht="13" x14ac:dyDescent="0.25">
      <c r="A398" s="585" t="s">
        <v>393</v>
      </c>
      <c r="B398" s="532"/>
      <c r="C398" s="532"/>
      <c r="D398" s="585"/>
      <c r="E398" s="585"/>
      <c r="F398" s="585"/>
      <c r="G398" s="585"/>
      <c r="H398" s="585"/>
      <c r="I398" s="532">
        <f>D92</f>
        <v>2019</v>
      </c>
      <c r="J398" s="532" t="str">
        <f t="shared" ref="J398:K398" si="187">E92</f>
        <v>-</v>
      </c>
      <c r="K398" s="532">
        <f t="shared" si="187"/>
        <v>2016</v>
      </c>
      <c r="L398" s="532">
        <v>9</v>
      </c>
    </row>
    <row r="399" spans="1:36" ht="13" x14ac:dyDescent="0.25">
      <c r="A399" s="585" t="s">
        <v>394</v>
      </c>
      <c r="B399" s="532"/>
      <c r="C399" s="532"/>
      <c r="D399" s="585"/>
      <c r="E399" s="585"/>
      <c r="F399" s="585"/>
      <c r="G399" s="585"/>
      <c r="H399" s="585"/>
      <c r="I399" s="532">
        <f>D103</f>
        <v>2019</v>
      </c>
      <c r="J399" s="532">
        <f t="shared" ref="J399:K399" si="188">E103</f>
        <v>2016</v>
      </c>
      <c r="K399" s="532">
        <f t="shared" si="188"/>
        <v>2016</v>
      </c>
      <c r="L399" s="532">
        <v>10</v>
      </c>
    </row>
    <row r="400" spans="1:36" ht="13" x14ac:dyDescent="0.25">
      <c r="A400" s="585" t="s">
        <v>395</v>
      </c>
      <c r="B400" s="532"/>
      <c r="C400" s="532"/>
      <c r="D400" s="585"/>
      <c r="E400" s="585"/>
      <c r="F400" s="585"/>
      <c r="G400" s="585"/>
      <c r="H400" s="585"/>
      <c r="I400" s="532">
        <f>D114</f>
        <v>2020</v>
      </c>
      <c r="J400" s="532">
        <f t="shared" ref="J400:K400" si="189">E114</f>
        <v>2016</v>
      </c>
      <c r="K400" s="532">
        <f t="shared" si="189"/>
        <v>2016</v>
      </c>
      <c r="L400" s="532">
        <v>11</v>
      </c>
    </row>
    <row r="401" spans="1:12" ht="13" x14ac:dyDescent="0.25">
      <c r="A401" s="585" t="s">
        <v>396</v>
      </c>
      <c r="B401" s="532"/>
      <c r="C401" s="532"/>
      <c r="D401" s="585"/>
      <c r="E401" s="585"/>
      <c r="F401" s="585"/>
      <c r="G401" s="585"/>
      <c r="H401" s="585"/>
      <c r="I401" s="532">
        <f>D125</f>
        <v>2020</v>
      </c>
      <c r="J401" s="532" t="str">
        <f t="shared" ref="J401:K401" si="190">E125</f>
        <v>-</v>
      </c>
      <c r="K401" s="532">
        <f t="shared" si="190"/>
        <v>2016</v>
      </c>
      <c r="L401" s="532">
        <v>12</v>
      </c>
    </row>
    <row r="402" spans="1:12" ht="13" x14ac:dyDescent="0.25">
      <c r="A402" s="585" t="s">
        <v>397</v>
      </c>
      <c r="B402" s="532"/>
      <c r="C402" s="532"/>
      <c r="D402" s="585"/>
      <c r="E402" s="585"/>
      <c r="F402" s="585"/>
      <c r="G402" s="585"/>
      <c r="H402" s="585"/>
      <c r="I402" s="532">
        <f>D136</f>
        <v>2022</v>
      </c>
      <c r="J402" s="532">
        <f t="shared" ref="J402:K402" si="191">E136</f>
        <v>2020</v>
      </c>
      <c r="K402" s="532" t="str">
        <f t="shared" si="191"/>
        <v>-</v>
      </c>
      <c r="L402" s="532">
        <v>13</v>
      </c>
    </row>
    <row r="403" spans="1:12" ht="13" x14ac:dyDescent="0.25">
      <c r="A403" s="585" t="s">
        <v>398</v>
      </c>
      <c r="B403" s="532"/>
      <c r="C403" s="532"/>
      <c r="D403" s="585"/>
      <c r="E403" s="585"/>
      <c r="F403" s="585"/>
      <c r="G403" s="585"/>
      <c r="H403" s="585"/>
      <c r="I403" s="532">
        <f>D147</f>
        <v>2022</v>
      </c>
      <c r="J403" s="532">
        <f t="shared" ref="J403:K403" si="192">E147</f>
        <v>2020</v>
      </c>
      <c r="K403" s="532" t="str">
        <f t="shared" si="192"/>
        <v>-</v>
      </c>
      <c r="L403" s="532">
        <v>14</v>
      </c>
    </row>
    <row r="404" spans="1:12" ht="13" x14ac:dyDescent="0.25">
      <c r="A404" s="585" t="s">
        <v>399</v>
      </c>
      <c r="B404" s="532"/>
      <c r="C404" s="532"/>
      <c r="D404" s="585"/>
      <c r="E404" s="585"/>
      <c r="F404" s="585"/>
      <c r="G404" s="585"/>
      <c r="H404" s="585"/>
      <c r="I404" s="532">
        <f>D158</f>
        <v>2022</v>
      </c>
      <c r="J404" s="532">
        <f t="shared" ref="J404:K404" si="193">E158</f>
        <v>2020</v>
      </c>
      <c r="K404" s="532" t="str">
        <f t="shared" si="193"/>
        <v>-</v>
      </c>
      <c r="L404" s="532">
        <v>15</v>
      </c>
    </row>
    <row r="405" spans="1:12" ht="13" x14ac:dyDescent="0.25">
      <c r="A405" s="585" t="s">
        <v>400</v>
      </c>
      <c r="B405" s="532"/>
      <c r="C405" s="532"/>
      <c r="D405" s="585"/>
      <c r="E405" s="585"/>
      <c r="F405" s="585"/>
      <c r="G405" s="585"/>
      <c r="H405" s="585"/>
      <c r="I405" s="532">
        <f>D169</f>
        <v>2023</v>
      </c>
      <c r="J405" s="532">
        <f t="shared" ref="J405:K405" si="194">E169</f>
        <v>2020</v>
      </c>
      <c r="K405" s="532">
        <f t="shared" si="194"/>
        <v>2016</v>
      </c>
      <c r="L405" s="532">
        <v>16</v>
      </c>
    </row>
    <row r="406" spans="1:12" ht="13" x14ac:dyDescent="0.25">
      <c r="A406" s="585" t="s">
        <v>401</v>
      </c>
      <c r="B406" s="532"/>
      <c r="C406" s="532"/>
      <c r="D406" s="585"/>
      <c r="E406" s="585"/>
      <c r="F406" s="585"/>
      <c r="G406" s="585"/>
      <c r="H406" s="585"/>
      <c r="I406" s="532">
        <f>D180</f>
        <v>2023</v>
      </c>
      <c r="J406" s="532">
        <f t="shared" ref="J406:K406" si="195">E180</f>
        <v>2020</v>
      </c>
      <c r="K406" s="532">
        <f t="shared" si="195"/>
        <v>2016</v>
      </c>
      <c r="L406" s="532">
        <v>17</v>
      </c>
    </row>
    <row r="407" spans="1:12" ht="13" x14ac:dyDescent="0.25">
      <c r="A407" s="585" t="s">
        <v>132</v>
      </c>
      <c r="B407" s="532"/>
      <c r="C407" s="532"/>
      <c r="D407" s="585"/>
      <c r="E407" s="585"/>
      <c r="F407" s="585"/>
      <c r="G407" s="585"/>
      <c r="H407" s="585"/>
      <c r="I407" s="532">
        <f>D191</f>
        <v>2023</v>
      </c>
      <c r="J407" s="532">
        <f t="shared" ref="J407:K407" si="196">E191</f>
        <v>2020</v>
      </c>
      <c r="K407" s="532">
        <f t="shared" si="196"/>
        <v>2016</v>
      </c>
      <c r="L407" s="532">
        <v>18</v>
      </c>
    </row>
    <row r="408" spans="1:12" ht="13" x14ac:dyDescent="0.25">
      <c r="A408" s="585" t="s">
        <v>402</v>
      </c>
      <c r="B408" s="532"/>
      <c r="C408" s="532"/>
      <c r="D408" s="585"/>
      <c r="E408" s="585"/>
      <c r="F408" s="585"/>
      <c r="G408" s="585"/>
      <c r="H408" s="585"/>
      <c r="I408" s="532">
        <f>D202</f>
        <v>2021</v>
      </c>
      <c r="J408" s="532" t="str">
        <f t="shared" ref="J408:K408" si="197">E202</f>
        <v>-</v>
      </c>
      <c r="K408" s="532">
        <f t="shared" si="197"/>
        <v>2016</v>
      </c>
      <c r="L408" s="532">
        <v>19</v>
      </c>
    </row>
    <row r="409" spans="1:12" ht="13" x14ac:dyDescent="0.25">
      <c r="A409" s="587">
        <v>20</v>
      </c>
      <c r="B409" s="532"/>
      <c r="C409" s="532"/>
      <c r="D409" s="585"/>
      <c r="E409" s="585"/>
      <c r="F409" s="585"/>
      <c r="G409" s="585"/>
      <c r="H409" s="585"/>
      <c r="I409" s="532">
        <f>D213</f>
        <v>2017</v>
      </c>
      <c r="J409" s="532" t="str">
        <f t="shared" ref="J409:K409" si="198">E213</f>
        <v>-</v>
      </c>
      <c r="K409" s="532">
        <f t="shared" si="198"/>
        <v>2016</v>
      </c>
      <c r="L409" s="532">
        <v>20</v>
      </c>
    </row>
    <row r="410" spans="1:12" ht="13" x14ac:dyDescent="0.25">
      <c r="A410" s="775">
        <f>VLOOKUP(A389,A390:L409,12,(FALSE))</f>
        <v>18</v>
      </c>
      <c r="B410" s="774"/>
      <c r="C410" s="774"/>
      <c r="D410" s="774"/>
      <c r="E410" s="774"/>
      <c r="F410" s="774"/>
      <c r="G410" s="774"/>
      <c r="H410" s="774"/>
      <c r="I410" s="774"/>
      <c r="J410" s="774"/>
      <c r="K410" s="774"/>
      <c r="L410" s="774"/>
    </row>
  </sheetData>
  <mergeCells count="401">
    <mergeCell ref="N389:P389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:O50"/>
  <sheetViews>
    <sheetView topLeftCell="K1" workbookViewId="0">
      <selection activeCell="O8" sqref="O8"/>
    </sheetView>
  </sheetViews>
  <sheetFormatPr defaultRowHeight="12.5" x14ac:dyDescent="0.25"/>
  <cols>
    <col min="1" max="1" width="26" customWidth="1"/>
    <col min="2" max="2" width="21.54296875" customWidth="1"/>
    <col min="9" max="9" width="62.1796875" customWidth="1"/>
    <col min="10" max="10" width="94.7265625" customWidth="1"/>
    <col min="13" max="13" width="50.26953125" customWidth="1"/>
  </cols>
  <sheetData>
    <row r="1" spans="1:15" x14ac:dyDescent="0.25">
      <c r="I1" s="75" t="s">
        <v>257</v>
      </c>
      <c r="J1" s="24" t="s">
        <v>258</v>
      </c>
    </row>
    <row r="2" spans="1:15" x14ac:dyDescent="0.25">
      <c r="A2" s="14"/>
      <c r="I2" s="75" t="s">
        <v>259</v>
      </c>
      <c r="J2" s="24" t="s">
        <v>258</v>
      </c>
    </row>
    <row r="3" spans="1:15" x14ac:dyDescent="0.25">
      <c r="A3" s="14"/>
      <c r="I3" s="75" t="s">
        <v>260</v>
      </c>
      <c r="J3" s="24" t="s">
        <v>261</v>
      </c>
      <c r="M3" s="14" t="s">
        <v>670</v>
      </c>
      <c r="N3" s="14" t="s">
        <v>668</v>
      </c>
      <c r="O3">
        <v>500</v>
      </c>
    </row>
    <row r="4" spans="1:15" x14ac:dyDescent="0.25">
      <c r="I4" s="75" t="s">
        <v>262</v>
      </c>
      <c r="J4" s="24" t="s">
        <v>261</v>
      </c>
      <c r="M4" s="14" t="s">
        <v>671</v>
      </c>
      <c r="N4" s="14" t="s">
        <v>669</v>
      </c>
      <c r="O4">
        <v>100</v>
      </c>
    </row>
    <row r="5" spans="1:15" ht="15.5" x14ac:dyDescent="0.35">
      <c r="A5" s="1"/>
      <c r="I5" s="75" t="s">
        <v>263</v>
      </c>
      <c r="J5" s="24" t="s">
        <v>261</v>
      </c>
    </row>
    <row r="6" spans="1:15" ht="15.5" x14ac:dyDescent="0.35">
      <c r="A6" s="1"/>
      <c r="I6" s="75" t="s">
        <v>264</v>
      </c>
      <c r="J6" s="24" t="s">
        <v>261</v>
      </c>
    </row>
    <row r="7" spans="1:15" x14ac:dyDescent="0.25">
      <c r="I7" s="75" t="s">
        <v>265</v>
      </c>
      <c r="J7" s="24" t="s">
        <v>261</v>
      </c>
    </row>
    <row r="8" spans="1:15" ht="29" x14ac:dyDescent="0.35">
      <c r="A8" s="75" t="s">
        <v>257</v>
      </c>
      <c r="I8" s="28" t="s">
        <v>266</v>
      </c>
      <c r="J8" s="15" t="s">
        <v>267</v>
      </c>
    </row>
    <row r="9" spans="1:15" ht="29" x14ac:dyDescent="0.35">
      <c r="A9" s="75" t="s">
        <v>259</v>
      </c>
      <c r="I9" s="28" t="s">
        <v>268</v>
      </c>
      <c r="J9" s="15" t="s">
        <v>269</v>
      </c>
    </row>
    <row r="10" spans="1:15" ht="27.75" customHeight="1" x14ac:dyDescent="0.25">
      <c r="A10" s="75" t="s">
        <v>260</v>
      </c>
      <c r="I10" s="81" t="s">
        <v>270</v>
      </c>
      <c r="J10" s="15" t="s">
        <v>271</v>
      </c>
    </row>
    <row r="11" spans="1:15" ht="29" x14ac:dyDescent="0.35">
      <c r="A11" s="75" t="s">
        <v>262</v>
      </c>
      <c r="I11" s="28" t="s">
        <v>272</v>
      </c>
      <c r="J11" s="170" t="s">
        <v>273</v>
      </c>
    </row>
    <row r="12" spans="1:15" ht="29" x14ac:dyDescent="0.35">
      <c r="A12" s="75" t="s">
        <v>263</v>
      </c>
      <c r="I12" s="28" t="s">
        <v>274</v>
      </c>
      <c r="J12" s="15" t="s">
        <v>273</v>
      </c>
    </row>
    <row r="13" spans="1:15" ht="14.5" x14ac:dyDescent="0.35">
      <c r="A13" s="75" t="s">
        <v>264</v>
      </c>
      <c r="I13" s="28" t="s">
        <v>275</v>
      </c>
      <c r="J13" s="15" t="s">
        <v>273</v>
      </c>
    </row>
    <row r="14" spans="1:15" ht="14.5" x14ac:dyDescent="0.35">
      <c r="A14" s="75" t="s">
        <v>265</v>
      </c>
      <c r="I14" s="28" t="s">
        <v>276</v>
      </c>
      <c r="J14" s="15" t="s">
        <v>273</v>
      </c>
    </row>
    <row r="15" spans="1:15" ht="15.5" x14ac:dyDescent="0.35">
      <c r="A15" s="6" t="s">
        <v>277</v>
      </c>
    </row>
    <row r="16" spans="1:15" ht="15.5" x14ac:dyDescent="0.35">
      <c r="A16" s="6" t="s">
        <v>278</v>
      </c>
    </row>
    <row r="17" spans="1:1" ht="15.5" x14ac:dyDescent="0.35">
      <c r="A17" s="6" t="s">
        <v>279</v>
      </c>
    </row>
    <row r="18" spans="1:1" ht="15.5" x14ac:dyDescent="0.35">
      <c r="A18" s="6" t="s">
        <v>280</v>
      </c>
    </row>
    <row r="19" spans="1:1" ht="15.5" x14ac:dyDescent="0.35">
      <c r="A19" s="6" t="s">
        <v>281</v>
      </c>
    </row>
    <row r="20" spans="1:1" ht="15.5" x14ac:dyDescent="0.35">
      <c r="A20" s="6" t="s">
        <v>282</v>
      </c>
    </row>
    <row r="21" spans="1:1" x14ac:dyDescent="0.25">
      <c r="A21" t="s">
        <v>283</v>
      </c>
    </row>
    <row r="22" spans="1:1" x14ac:dyDescent="0.25">
      <c r="A22" s="14" t="s">
        <v>284</v>
      </c>
    </row>
    <row r="23" spans="1:1" ht="14.5" x14ac:dyDescent="0.35">
      <c r="A23" s="10" t="s">
        <v>285</v>
      </c>
    </row>
    <row r="24" spans="1:1" ht="14.5" x14ac:dyDescent="0.35">
      <c r="A24" s="10"/>
    </row>
    <row r="26" spans="1:1" x14ac:dyDescent="0.25">
      <c r="A26" s="188" t="s">
        <v>142</v>
      </c>
    </row>
    <row r="27" spans="1:1" x14ac:dyDescent="0.25">
      <c r="A27" s="188" t="s">
        <v>286</v>
      </c>
    </row>
    <row r="28" spans="1:1" x14ac:dyDescent="0.25">
      <c r="A28" s="188" t="s">
        <v>137</v>
      </c>
    </row>
    <row r="29" spans="1:1" x14ac:dyDescent="0.25">
      <c r="A29" s="188" t="s">
        <v>155</v>
      </c>
    </row>
    <row r="30" spans="1:1" x14ac:dyDescent="0.25">
      <c r="A30" s="188" t="s">
        <v>147</v>
      </c>
    </row>
    <row r="31" spans="1:1" x14ac:dyDescent="0.25">
      <c r="A31" s="188" t="s">
        <v>149</v>
      </c>
    </row>
    <row r="32" spans="1:1" x14ac:dyDescent="0.25">
      <c r="A32" s="188" t="s">
        <v>154</v>
      </c>
    </row>
    <row r="33" spans="1:15" x14ac:dyDescent="0.25">
      <c r="A33" s="188" t="s">
        <v>287</v>
      </c>
    </row>
    <row r="34" spans="1:15" x14ac:dyDescent="0.25">
      <c r="A34" s="188" t="s">
        <v>148</v>
      </c>
    </row>
    <row r="35" spans="1:15" x14ac:dyDescent="0.25">
      <c r="A35" s="188" t="s">
        <v>146</v>
      </c>
    </row>
    <row r="36" spans="1:15" x14ac:dyDescent="0.25">
      <c r="A36" s="188" t="s">
        <v>153</v>
      </c>
    </row>
    <row r="37" spans="1:15" x14ac:dyDescent="0.25">
      <c r="A37" s="188" t="s">
        <v>145</v>
      </c>
    </row>
    <row r="38" spans="1:15" x14ac:dyDescent="0.25">
      <c r="A38" s="188" t="s">
        <v>160</v>
      </c>
    </row>
    <row r="39" spans="1:15" x14ac:dyDescent="0.25">
      <c r="A39" s="188" t="s">
        <v>157</v>
      </c>
    </row>
    <row r="40" spans="1:15" x14ac:dyDescent="0.25">
      <c r="A40" s="188" t="s">
        <v>152</v>
      </c>
      <c r="I40" t="str">
        <f>ID!B47</f>
        <v>Electrical Safety Analyzer, Merek : Fluke, Model : ESA 615, SN : 3148908</v>
      </c>
      <c r="J40" s="74"/>
      <c r="K40" s="74"/>
      <c r="L40" s="74"/>
      <c r="M40" s="74"/>
      <c r="N40" s="74"/>
      <c r="O40" s="74"/>
    </row>
    <row r="41" spans="1:15" x14ac:dyDescent="0.25">
      <c r="A41" s="188" t="s">
        <v>163</v>
      </c>
      <c r="I41" s="75" t="s">
        <v>288</v>
      </c>
      <c r="J41" s="76"/>
      <c r="K41" s="76"/>
      <c r="L41" s="76"/>
      <c r="M41" s="76"/>
      <c r="N41" s="76"/>
      <c r="O41" s="77">
        <v>1</v>
      </c>
    </row>
    <row r="42" spans="1:15" x14ac:dyDescent="0.25">
      <c r="A42" s="188" t="s">
        <v>161</v>
      </c>
      <c r="I42" s="75" t="s">
        <v>289</v>
      </c>
      <c r="J42" s="78"/>
      <c r="K42" s="78"/>
      <c r="L42" s="78"/>
      <c r="M42" s="78"/>
      <c r="N42" s="78"/>
      <c r="O42" s="77">
        <v>2</v>
      </c>
    </row>
    <row r="43" spans="1:15" x14ac:dyDescent="0.25">
      <c r="A43" s="188" t="s">
        <v>150</v>
      </c>
      <c r="I43" s="75" t="s">
        <v>290</v>
      </c>
      <c r="J43" s="79"/>
      <c r="K43" s="79"/>
      <c r="L43" s="79"/>
      <c r="M43" s="79"/>
      <c r="N43" s="79"/>
      <c r="O43" s="77">
        <v>3</v>
      </c>
    </row>
    <row r="44" spans="1:15" x14ac:dyDescent="0.25">
      <c r="A44" s="188" t="s">
        <v>291</v>
      </c>
      <c r="I44" s="75" t="s">
        <v>292</v>
      </c>
      <c r="J44" s="79"/>
      <c r="K44" s="79"/>
      <c r="L44" s="79"/>
      <c r="M44" s="79"/>
      <c r="N44" s="79"/>
      <c r="O44" s="77">
        <v>4</v>
      </c>
    </row>
    <row r="45" spans="1:15" x14ac:dyDescent="0.25">
      <c r="A45" s="188" t="s">
        <v>293</v>
      </c>
      <c r="I45" s="75" t="s">
        <v>294</v>
      </c>
      <c r="J45" s="76"/>
      <c r="K45" s="76"/>
      <c r="L45" s="76"/>
      <c r="M45" s="76"/>
      <c r="N45" s="76"/>
      <c r="O45" s="77">
        <v>5</v>
      </c>
    </row>
    <row r="46" spans="1:15" x14ac:dyDescent="0.25">
      <c r="A46" s="188" t="s">
        <v>156</v>
      </c>
      <c r="I46" s="75" t="s">
        <v>295</v>
      </c>
      <c r="J46" s="76"/>
      <c r="K46" s="76"/>
      <c r="L46" s="76"/>
      <c r="M46" s="76"/>
      <c r="N46" s="76"/>
      <c r="O46" s="77">
        <v>6</v>
      </c>
    </row>
    <row r="47" spans="1:15" x14ac:dyDescent="0.25">
      <c r="A47" s="188" t="s">
        <v>159</v>
      </c>
      <c r="I47" s="75" t="s">
        <v>296</v>
      </c>
      <c r="J47" s="74"/>
      <c r="K47" s="74"/>
      <c r="L47" s="74"/>
      <c r="M47" s="74"/>
      <c r="N47" s="74"/>
      <c r="O47" s="77">
        <v>7</v>
      </c>
    </row>
    <row r="48" spans="1:15" x14ac:dyDescent="0.25">
      <c r="I48" s="75" t="s">
        <v>297</v>
      </c>
      <c r="J48" s="74"/>
      <c r="K48" s="74"/>
      <c r="L48" s="74"/>
      <c r="M48" s="74"/>
      <c r="N48" s="74"/>
      <c r="O48" s="77">
        <v>8</v>
      </c>
    </row>
    <row r="49" spans="9:15" ht="13" thickBot="1" x14ac:dyDescent="0.3">
      <c r="I49" s="75" t="s">
        <v>298</v>
      </c>
      <c r="J49" s="74"/>
      <c r="K49" s="74"/>
      <c r="L49" s="74"/>
      <c r="M49" s="74"/>
      <c r="N49" s="74"/>
      <c r="O49" s="77">
        <v>9</v>
      </c>
    </row>
    <row r="50" spans="9:15" ht="13" thickBot="1" x14ac:dyDescent="0.3">
      <c r="I50" s="80" t="e">
        <f>VLOOKUP(I40,I41:O49,7,FALSE)</f>
        <v>#N/A</v>
      </c>
      <c r="J50" s="74"/>
      <c r="K50" s="74"/>
      <c r="L50" s="74"/>
      <c r="M50" s="74"/>
      <c r="N50" s="74"/>
      <c r="O50" s="7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AC3D-04AE-4749-9A20-C974CB1DE33F}">
  <sheetPr>
    <tabColor rgb="FF00B050"/>
  </sheetPr>
  <dimension ref="A1:O61"/>
  <sheetViews>
    <sheetView zoomScaleNormal="100" zoomScaleSheetLayoutView="90" workbookViewId="0">
      <selection activeCell="H9" sqref="H9"/>
    </sheetView>
  </sheetViews>
  <sheetFormatPr defaultColWidth="9.26953125" defaultRowHeight="12.5" x14ac:dyDescent="0.25"/>
  <cols>
    <col min="1" max="1" width="18.26953125" style="204" customWidth="1"/>
    <col min="2" max="2" width="26.26953125" style="204" customWidth="1"/>
    <col min="3" max="3" width="3.26953125" style="204" customWidth="1"/>
    <col min="4" max="4" width="11.54296875" style="204" customWidth="1"/>
    <col min="5" max="5" width="9.453125" style="204" customWidth="1"/>
    <col min="6" max="6" width="22.54296875" style="204" customWidth="1"/>
    <col min="7" max="7" width="9.26953125" style="204"/>
    <col min="8" max="8" width="18.7265625" style="204" customWidth="1"/>
    <col min="9" max="9" width="12.26953125" style="204" customWidth="1"/>
    <col min="10" max="16384" width="9.26953125" style="204"/>
  </cols>
  <sheetData>
    <row r="1" spans="1:15" x14ac:dyDescent="0.25">
      <c r="H1" s="615" t="str">
        <f>IF(LP!I57&gt;=70,KESIMPULAN!I11,KESIMPULAN!I12)</f>
        <v>LAIK</v>
      </c>
      <c r="I1" s="205"/>
      <c r="J1" s="205"/>
    </row>
    <row r="2" spans="1:15" ht="30" x14ac:dyDescent="0.25">
      <c r="A2" s="964" t="str">
        <f>B46</f>
        <v>SERTIFIKAT KALIBRASI</v>
      </c>
      <c r="B2" s="964"/>
      <c r="C2" s="964"/>
      <c r="D2" s="964"/>
      <c r="E2" s="964"/>
      <c r="F2" s="964"/>
      <c r="H2" s="206"/>
      <c r="I2" s="965"/>
      <c r="J2" s="966"/>
    </row>
    <row r="3" spans="1:15" ht="14" x14ac:dyDescent="0.3">
      <c r="A3" s="967" t="str">
        <f>LH!A2</f>
        <v>Nomor Sertifikat : 33 / 2 / VII - 23 / E - 074.111 DL</v>
      </c>
      <c r="B3" s="967"/>
      <c r="C3" s="967"/>
      <c r="D3" s="967"/>
      <c r="E3" s="967"/>
      <c r="F3" s="967"/>
    </row>
    <row r="4" spans="1:15" ht="13" x14ac:dyDescent="0.3">
      <c r="C4" s="204" t="s">
        <v>405</v>
      </c>
      <c r="D4" s="968" t="str">
        <f>LH!E11</f>
        <v>MK.029 - 18</v>
      </c>
      <c r="E4" s="968"/>
      <c r="F4" s="968"/>
      <c r="H4" s="597"/>
      <c r="I4" s="597"/>
      <c r="J4" s="597"/>
    </row>
    <row r="5" spans="1:15" ht="14.5" x14ac:dyDescent="0.35">
      <c r="H5" s="969"/>
      <c r="I5" s="969"/>
      <c r="J5" s="969"/>
    </row>
    <row r="6" spans="1:15" ht="14" x14ac:dyDescent="0.25">
      <c r="A6" s="271" t="s">
        <v>407</v>
      </c>
      <c r="B6" s="207" t="s">
        <v>659</v>
      </c>
      <c r="C6" s="208"/>
      <c r="D6" s="962" t="s">
        <v>409</v>
      </c>
      <c r="E6" s="963"/>
      <c r="F6" s="209" t="str">
        <f>MID(A3,SEARCH("E - ",A3),LEN(A3))</f>
        <v>E - 074.111 DL</v>
      </c>
    </row>
    <row r="7" spans="1:15" ht="14" x14ac:dyDescent="0.25">
      <c r="A7" s="210"/>
      <c r="B7" s="210"/>
      <c r="C7" s="210"/>
    </row>
    <row r="8" spans="1:15" ht="14" x14ac:dyDescent="0.25">
      <c r="A8" s="971" t="s">
        <v>19</v>
      </c>
      <c r="B8" s="971"/>
      <c r="C8" s="211" t="s">
        <v>20</v>
      </c>
      <c r="D8" s="971" t="str">
        <f>LH!E4</f>
        <v>Brandon</v>
      </c>
      <c r="E8" s="971"/>
      <c r="F8" s="971"/>
      <c r="I8" s="972"/>
      <c r="J8" s="972"/>
    </row>
    <row r="9" spans="1:15" ht="14" customHeight="1" x14ac:dyDescent="0.25">
      <c r="A9" s="971" t="s">
        <v>410</v>
      </c>
      <c r="B9" s="971"/>
      <c r="C9" s="211" t="s">
        <v>20</v>
      </c>
      <c r="D9" s="971" t="str">
        <f>LH!E5</f>
        <v>Quasar elite</v>
      </c>
      <c r="E9" s="971"/>
      <c r="F9" s="971"/>
      <c r="I9" s="972"/>
      <c r="J9" s="972"/>
    </row>
    <row r="10" spans="1:15" ht="14.5" customHeight="1" x14ac:dyDescent="0.35">
      <c r="A10" s="971" t="s">
        <v>411</v>
      </c>
      <c r="B10" s="971"/>
      <c r="C10" s="211" t="s">
        <v>20</v>
      </c>
      <c r="D10" s="971" t="str">
        <f>LH!E6</f>
        <v>1557214</v>
      </c>
      <c r="E10" s="971"/>
      <c r="F10" s="971"/>
      <c r="I10" s="973"/>
      <c r="J10" s="974"/>
      <c r="O10" s="212"/>
    </row>
    <row r="11" spans="1:15" s="205" customFormat="1" ht="14.5" hidden="1" x14ac:dyDescent="0.35">
      <c r="A11" s="975" t="s">
        <v>412</v>
      </c>
      <c r="B11" s="975"/>
      <c r="C11" s="213" t="s">
        <v>20</v>
      </c>
      <c r="D11" s="214" t="str">
        <f>I11&amp;"    "&amp;J11&amp;""</f>
        <v xml:space="preserve">    </v>
      </c>
      <c r="E11" s="214"/>
      <c r="F11" s="215">
        <f>J11</f>
        <v>0</v>
      </c>
      <c r="I11" s="216"/>
      <c r="J11" s="217"/>
      <c r="O11" s="217"/>
    </row>
    <row r="12" spans="1:15" s="205" customFormat="1" ht="14.5" hidden="1" x14ac:dyDescent="0.35">
      <c r="A12" s="975" t="s">
        <v>413</v>
      </c>
      <c r="B12" s="975"/>
      <c r="C12" s="213" t="s">
        <v>20</v>
      </c>
      <c r="D12" s="218">
        <f>[1]LH!E8</f>
        <v>1</v>
      </c>
      <c r="E12" s="218"/>
      <c r="F12" s="215"/>
      <c r="I12" s="219"/>
      <c r="J12" s="217"/>
      <c r="O12" s="217"/>
    </row>
    <row r="13" spans="1:15" ht="14.5" x14ac:dyDescent="0.35">
      <c r="A13" s="220"/>
      <c r="B13" s="220"/>
      <c r="C13" s="210"/>
      <c r="I13" s="970"/>
      <c r="J13" s="970"/>
      <c r="O13" s="212"/>
    </row>
    <row r="14" spans="1:15" ht="28.5" customHeight="1" x14ac:dyDescent="0.35">
      <c r="A14" s="221" t="s">
        <v>414</v>
      </c>
      <c r="B14" s="222"/>
      <c r="C14" s="210"/>
      <c r="D14" s="962" t="s">
        <v>415</v>
      </c>
      <c r="E14" s="963"/>
      <c r="F14" s="223"/>
      <c r="I14" s="974"/>
      <c r="J14" s="974"/>
      <c r="O14" s="212"/>
    </row>
    <row r="15" spans="1:15" ht="14.5" x14ac:dyDescent="0.25">
      <c r="A15" s="224"/>
      <c r="B15" s="210"/>
      <c r="C15" s="210"/>
      <c r="D15" s="210"/>
      <c r="E15" s="210"/>
      <c r="I15" s="977"/>
      <c r="J15" s="977"/>
    </row>
    <row r="16" spans="1:15" s="205" customFormat="1" ht="42.75" customHeight="1" x14ac:dyDescent="0.3">
      <c r="A16" s="978" t="s">
        <v>416</v>
      </c>
      <c r="B16" s="978"/>
      <c r="C16" s="225" t="s">
        <v>20</v>
      </c>
      <c r="D16" s="979" t="s">
        <v>645</v>
      </c>
      <c r="E16" s="979"/>
      <c r="F16" s="979"/>
      <c r="H16" s="226"/>
      <c r="I16" s="980"/>
      <c r="J16" s="981"/>
    </row>
    <row r="17" spans="1:10" ht="14.5" x14ac:dyDescent="0.35">
      <c r="A17" s="971" t="str">
        <f>"Nama Ruang "</f>
        <v xml:space="preserve">Nama Ruang </v>
      </c>
      <c r="B17" s="971"/>
      <c r="C17" s="211" t="s">
        <v>20</v>
      </c>
      <c r="D17" s="982" t="str">
        <f>LH!E10</f>
        <v>OK 4</v>
      </c>
      <c r="E17" s="982"/>
      <c r="F17" s="982"/>
      <c r="H17" s="983"/>
      <c r="I17" s="983"/>
      <c r="J17" s="983"/>
    </row>
    <row r="18" spans="1:10" ht="14.5" x14ac:dyDescent="0.35">
      <c r="A18" s="971" t="s">
        <v>23</v>
      </c>
      <c r="B18" s="971"/>
      <c r="C18" s="211" t="s">
        <v>20</v>
      </c>
      <c r="D18" s="976" t="str">
        <f>LH!E7</f>
        <v>2 Juli 2023</v>
      </c>
      <c r="E18" s="976"/>
      <c r="F18" s="976"/>
      <c r="H18" s="272"/>
      <c r="I18" s="272"/>
      <c r="J18" s="272"/>
    </row>
    <row r="19" spans="1:10" ht="14.25" customHeight="1" x14ac:dyDescent="0.25">
      <c r="A19" s="971" t="str">
        <f>"Tanggal "&amp;B50</f>
        <v>Tanggal Kalibrasi</v>
      </c>
      <c r="B19" s="971"/>
      <c r="C19" s="211" t="s">
        <v>20</v>
      </c>
      <c r="D19" s="976" t="str">
        <f>LH!E8</f>
        <v>2 Juli 2023</v>
      </c>
      <c r="E19" s="976"/>
      <c r="F19" s="976"/>
    </row>
    <row r="20" spans="1:10" ht="14" x14ac:dyDescent="0.25">
      <c r="A20" s="971" t="str">
        <f>"Penanggungjawab "&amp;B50</f>
        <v>Penanggungjawab Kalibrasi</v>
      </c>
      <c r="B20" s="971"/>
      <c r="C20" s="211" t="s">
        <v>20</v>
      </c>
      <c r="D20" s="971" t="str">
        <f>LH!B52</f>
        <v>Donny Martha</v>
      </c>
      <c r="E20" s="971"/>
      <c r="F20" s="971"/>
    </row>
    <row r="21" spans="1:10" ht="14.5" x14ac:dyDescent="0.35">
      <c r="A21" s="971" t="str">
        <f>"Lokasi "&amp;B50</f>
        <v>Lokasi Kalibrasi</v>
      </c>
      <c r="B21" s="971"/>
      <c r="C21" s="211" t="s">
        <v>20</v>
      </c>
      <c r="D21" s="982" t="str">
        <f>LH!E9</f>
        <v>OK 4</v>
      </c>
      <c r="E21" s="982"/>
      <c r="F21" s="982"/>
      <c r="H21" s="227"/>
    </row>
    <row r="22" spans="1:10" ht="31.5" customHeight="1" x14ac:dyDescent="0.25">
      <c r="A22" s="982" t="str">
        <f>"Hasil "&amp;B50</f>
        <v>Hasil Kalibrasi</v>
      </c>
      <c r="B22" s="982"/>
      <c r="C22" s="228" t="s">
        <v>20</v>
      </c>
      <c r="D22" s="984" t="str">
        <f>LH!B48</f>
        <v>Alat yang diuji dalam batas toleransi dan dinyatakan LAIK PAKAI, dimana hasil atau skor akhir sama dengan atau melampaui 70 % berdasarkan Keputusan Direktur Jenderal Pelayanan Kesehatan No : HK.02.02/V/0412/2020</v>
      </c>
      <c r="E22" s="984"/>
      <c r="F22" s="984"/>
    </row>
    <row r="23" spans="1:10" ht="14" x14ac:dyDescent="0.25">
      <c r="A23" s="971" t="s">
        <v>418</v>
      </c>
      <c r="B23" s="971"/>
      <c r="C23" s="211" t="s">
        <v>20</v>
      </c>
      <c r="D23" s="971" t="str">
        <f>D4</f>
        <v>MK.029 - 18</v>
      </c>
      <c r="E23" s="971"/>
      <c r="F23" s="971"/>
    </row>
    <row r="26" spans="1:10" ht="26.25" customHeight="1" x14ac:dyDescent="0.25">
      <c r="D26" s="229" t="s">
        <v>419</v>
      </c>
      <c r="E26" s="986">
        <f ca="1">TODAY()</f>
        <v>45190</v>
      </c>
      <c r="F26" s="986"/>
    </row>
    <row r="27" spans="1:10" ht="14" x14ac:dyDescent="0.25">
      <c r="D27" s="971" t="s">
        <v>420</v>
      </c>
      <c r="E27" s="971"/>
      <c r="F27" s="971"/>
    </row>
    <row r="28" spans="1:10" ht="14" x14ac:dyDescent="0.25">
      <c r="D28" s="971" t="s">
        <v>421</v>
      </c>
      <c r="E28" s="971"/>
      <c r="F28" s="971"/>
    </row>
    <row r="29" spans="1:10" ht="14" x14ac:dyDescent="0.25">
      <c r="D29" s="273"/>
      <c r="E29" s="273"/>
    </row>
    <row r="30" spans="1:10" ht="14" x14ac:dyDescent="0.25">
      <c r="D30" s="273"/>
      <c r="E30" s="273"/>
    </row>
    <row r="31" spans="1:10" ht="14" x14ac:dyDescent="0.25">
      <c r="D31" s="273"/>
      <c r="E31" s="273"/>
    </row>
    <row r="32" spans="1:10" ht="14" x14ac:dyDescent="0.25">
      <c r="D32" s="971" t="s">
        <v>422</v>
      </c>
      <c r="E32" s="971"/>
      <c r="F32" s="971"/>
    </row>
    <row r="33" spans="1:6" ht="14" x14ac:dyDescent="0.25">
      <c r="D33" s="985" t="s">
        <v>423</v>
      </c>
      <c r="E33" s="985"/>
      <c r="F33" s="985"/>
    </row>
    <row r="36" spans="1:6" ht="13" x14ac:dyDescent="0.25">
      <c r="A36" s="230"/>
      <c r="B36" s="230"/>
      <c r="C36" s="230"/>
      <c r="D36" s="230"/>
      <c r="E36" s="230"/>
      <c r="F36" s="230"/>
    </row>
    <row r="42" spans="1:6" ht="13" thickBot="1" x14ac:dyDescent="0.3"/>
    <row r="43" spans="1:6" ht="31.5" customHeight="1" x14ac:dyDescent="0.25">
      <c r="A43" s="598" t="s">
        <v>646</v>
      </c>
      <c r="B43" s="599" t="str">
        <f>MID([2]ID!I2,SEARCH("E - ",[2]ID!I2),LEN([2]ID!I2))</f>
        <v>E - 003.30 DL</v>
      </c>
    </row>
    <row r="44" spans="1:6" x14ac:dyDescent="0.25">
      <c r="A44" s="600"/>
      <c r="B44" s="601"/>
    </row>
    <row r="45" spans="1:6" ht="24" customHeight="1" x14ac:dyDescent="0.25">
      <c r="A45" s="602" t="s">
        <v>647</v>
      </c>
      <c r="B45" s="603" t="str">
        <f>[2]ID!A1</f>
        <v>INPUT DATA KALIBRASI ELECTROCARDIOGRAPH</v>
      </c>
    </row>
    <row r="46" spans="1:6" ht="39" customHeight="1" x14ac:dyDescent="0.25">
      <c r="A46" s="602" t="s">
        <v>648</v>
      </c>
      <c r="B46" s="604" t="str">
        <f>IF(B45="INPUT DATA KALIBRASI ELECTROCARDIOGRAPH",B47,B48)</f>
        <v>SERTIFIKAT KALIBRASI</v>
      </c>
    </row>
    <row r="47" spans="1:6" ht="22.5" customHeight="1" x14ac:dyDescent="0.25">
      <c r="A47" s="602" t="s">
        <v>649</v>
      </c>
      <c r="B47" s="601" t="s">
        <v>650</v>
      </c>
    </row>
    <row r="48" spans="1:6" x14ac:dyDescent="0.25">
      <c r="A48" s="600"/>
      <c r="B48" s="601" t="s">
        <v>403</v>
      </c>
    </row>
    <row r="49" spans="1:2" x14ac:dyDescent="0.25">
      <c r="A49" s="600"/>
      <c r="B49" s="601"/>
    </row>
    <row r="50" spans="1:2" ht="48" customHeight="1" x14ac:dyDescent="0.25">
      <c r="A50" s="602" t="s">
        <v>651</v>
      </c>
      <c r="B50" s="601" t="str">
        <f>IF(RIGHT(A2,10)=" KALIBRASI","Kalibrasi","Pengujian")</f>
        <v>Kalibrasi</v>
      </c>
    </row>
    <row r="51" spans="1:2" x14ac:dyDescent="0.25">
      <c r="A51" s="600"/>
      <c r="B51" s="601"/>
    </row>
    <row r="52" spans="1:2" s="606" customFormat="1" ht="34.5" customHeight="1" x14ac:dyDescent="0.3">
      <c r="A52" s="602" t="s">
        <v>652</v>
      </c>
      <c r="B52" s="605" t="s">
        <v>417</v>
      </c>
    </row>
    <row r="53" spans="1:2" x14ac:dyDescent="0.25">
      <c r="A53" s="600"/>
      <c r="B53" s="601"/>
    </row>
    <row r="54" spans="1:2" ht="50.25" customHeight="1" x14ac:dyDescent="0.3">
      <c r="A54" s="607" t="s">
        <v>653</v>
      </c>
      <c r="B54" s="608" t="e">
        <f>DATE(YEAR(D19)+1,MONTH(D19),DAY(D19))</f>
        <v>#VALUE!</v>
      </c>
    </row>
    <row r="55" spans="1:2" ht="27" customHeight="1" x14ac:dyDescent="0.25">
      <c r="A55" s="602" t="s">
        <v>654</v>
      </c>
      <c r="B55" s="609" t="e">
        <f>TEXT(B54,"d mmmm yyyy")</f>
        <v>#VALUE!</v>
      </c>
    </row>
    <row r="56" spans="1:2" x14ac:dyDescent="0.25">
      <c r="A56" s="600"/>
      <c r="B56" s="601"/>
    </row>
    <row r="57" spans="1:2" ht="30" customHeight="1" x14ac:dyDescent="0.3">
      <c r="A57" s="607" t="s">
        <v>655</v>
      </c>
      <c r="B57" s="610" t="e">
        <f>IF(B46=B47,B58,B59)</f>
        <v>#VALUE!</v>
      </c>
    </row>
    <row r="58" spans="1:2" ht="14" x14ac:dyDescent="0.3">
      <c r="A58" s="600" t="s">
        <v>656</v>
      </c>
      <c r="B58" s="611" t="e">
        <f>CONCATENATE(B60,B55)</f>
        <v>#VALUE!</v>
      </c>
    </row>
    <row r="59" spans="1:2" ht="14" x14ac:dyDescent="0.3">
      <c r="A59" s="600"/>
      <c r="B59" s="611" t="e">
        <f>CONCATENATE(B61,B55)</f>
        <v>#VALUE!</v>
      </c>
    </row>
    <row r="60" spans="1:2" ht="42" customHeight="1" x14ac:dyDescent="0.3">
      <c r="A60" s="612" t="s">
        <v>649</v>
      </c>
      <c r="B60" s="611" t="s">
        <v>657</v>
      </c>
    </row>
    <row r="61" spans="1:2" ht="39.75" customHeight="1" thickBot="1" x14ac:dyDescent="0.35">
      <c r="A61" s="613"/>
      <c r="B61" s="614" t="s">
        <v>658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A2:F2" xr:uid="{849C8E22-DBBB-4D79-A2B7-8070E438CB62}">
      <formula1>"SERTIFIKAT KALIBRASI,SERTIFIKAT PENGUJIAN"</formula1>
    </dataValidation>
    <dataValidation type="list" allowBlank="1" showInputMessage="1" showErrorMessage="1" sqref="J11" xr:uid="{DD75FD2A-FB54-4BD9-98BB-0FA2A637CBC9}">
      <formula1>$M$2:$M$22</formula1>
    </dataValidation>
    <dataValidation type="list" allowBlank="1" showInputMessage="1" showErrorMessage="1" sqref="J12" xr:uid="{11180978-D4E4-47B7-B234-FEB58832EC94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00"/>
  <sheetViews>
    <sheetView topLeftCell="A70" zoomScale="90" zoomScaleNormal="90" workbookViewId="0">
      <selection activeCell="B14" sqref="B14"/>
    </sheetView>
  </sheetViews>
  <sheetFormatPr defaultRowHeight="12.5" x14ac:dyDescent="0.25"/>
  <cols>
    <col min="2" max="2" width="24.453125" customWidth="1"/>
    <col min="3" max="3" width="42.1796875" bestFit="1" customWidth="1"/>
    <col min="4" max="4" width="59" customWidth="1"/>
  </cols>
  <sheetData>
    <row r="2" spans="1:5" x14ac:dyDescent="0.25">
      <c r="A2" s="987" t="s">
        <v>0</v>
      </c>
      <c r="B2" s="987" t="s">
        <v>1</v>
      </c>
      <c r="C2" s="987" t="s">
        <v>2</v>
      </c>
      <c r="D2" s="987"/>
      <c r="E2" s="988" t="s">
        <v>3</v>
      </c>
    </row>
    <row r="3" spans="1:5" x14ac:dyDescent="0.25">
      <c r="A3" s="987"/>
      <c r="B3" s="987"/>
      <c r="C3" s="193" t="s">
        <v>4</v>
      </c>
      <c r="D3" s="193" t="s">
        <v>5</v>
      </c>
      <c r="E3" s="988"/>
    </row>
    <row r="4" spans="1:5" ht="42" x14ac:dyDescent="0.25">
      <c r="A4" s="193">
        <v>1</v>
      </c>
      <c r="B4" s="194" t="s">
        <v>6</v>
      </c>
      <c r="C4" s="197" t="s">
        <v>7</v>
      </c>
      <c r="D4" s="588" t="s">
        <v>8</v>
      </c>
      <c r="E4" s="589" t="s">
        <v>9</v>
      </c>
    </row>
    <row r="5" spans="1:5" ht="15.5" x14ac:dyDescent="0.25">
      <c r="A5" s="193"/>
      <c r="B5" s="195"/>
      <c r="C5" s="199" t="s">
        <v>10</v>
      </c>
      <c r="D5" s="196" t="s">
        <v>11</v>
      </c>
      <c r="E5" s="589" t="s">
        <v>9</v>
      </c>
    </row>
    <row r="6" spans="1:5" ht="15.5" x14ac:dyDescent="0.25">
      <c r="A6" s="193"/>
      <c r="B6" s="195"/>
      <c r="C6" s="199" t="s">
        <v>12</v>
      </c>
      <c r="D6" s="196" t="s">
        <v>11</v>
      </c>
      <c r="E6" s="589" t="s">
        <v>9</v>
      </c>
    </row>
    <row r="7" spans="1:5" ht="15.5" x14ac:dyDescent="0.25">
      <c r="A7" s="193">
        <v>2</v>
      </c>
      <c r="B7" s="195" t="s">
        <v>13</v>
      </c>
      <c r="C7" s="199" t="s">
        <v>14</v>
      </c>
      <c r="D7" s="196" t="s">
        <v>15</v>
      </c>
      <c r="E7" s="590" t="s">
        <v>9</v>
      </c>
    </row>
    <row r="8" spans="1:5" ht="15.5" x14ac:dyDescent="0.25">
      <c r="A8" s="193"/>
      <c r="B8" s="195"/>
      <c r="C8" s="591"/>
      <c r="D8" s="196"/>
      <c r="E8" s="31"/>
    </row>
    <row r="9" spans="1:5" ht="15.5" x14ac:dyDescent="0.25">
      <c r="A9" s="193"/>
      <c r="B9" s="195"/>
      <c r="C9" s="591"/>
      <c r="D9" s="196"/>
      <c r="E9" s="31"/>
    </row>
    <row r="10" spans="1:5" ht="15.5" x14ac:dyDescent="0.25">
      <c r="A10" s="193"/>
      <c r="B10" s="195"/>
      <c r="C10" s="591"/>
      <c r="D10" s="196"/>
      <c r="E10" s="31"/>
    </row>
    <row r="11" spans="1:5" ht="15.5" x14ac:dyDescent="0.25">
      <c r="A11" s="193"/>
      <c r="B11" s="195"/>
      <c r="C11" s="591"/>
      <c r="D11" s="196"/>
      <c r="E11" s="31"/>
    </row>
    <row r="12" spans="1:5" ht="15.5" x14ac:dyDescent="0.25">
      <c r="A12" s="193"/>
      <c r="B12" s="195"/>
      <c r="C12" s="591"/>
      <c r="D12" s="196"/>
      <c r="E12" s="31"/>
    </row>
    <row r="13" spans="1:5" x14ac:dyDescent="0.25">
      <c r="A13" s="193"/>
      <c r="B13" s="195"/>
      <c r="C13" s="591"/>
      <c r="D13" s="193"/>
      <c r="E13" s="31"/>
    </row>
    <row r="14" spans="1:5" x14ac:dyDescent="0.25">
      <c r="A14" s="193"/>
      <c r="B14" s="195"/>
      <c r="C14" s="198"/>
      <c r="D14" s="199"/>
      <c r="E14" s="31"/>
    </row>
    <row r="15" spans="1:5" x14ac:dyDescent="0.25">
      <c r="A15" s="193"/>
      <c r="B15" s="200"/>
      <c r="C15" s="199"/>
      <c r="D15" s="193"/>
      <c r="E15" s="31"/>
    </row>
    <row r="16" spans="1:5" x14ac:dyDescent="0.25">
      <c r="A16" s="193"/>
      <c r="B16" s="201"/>
      <c r="C16" s="199"/>
      <c r="D16" s="193"/>
      <c r="E16" s="31"/>
    </row>
    <row r="17" spans="1:5" x14ac:dyDescent="0.25">
      <c r="A17" s="193"/>
      <c r="B17" s="195"/>
      <c r="C17" s="193"/>
      <c r="D17" s="193"/>
      <c r="E17" s="31"/>
    </row>
    <row r="18" spans="1:5" x14ac:dyDescent="0.25">
      <c r="A18" s="193"/>
      <c r="B18" s="195"/>
      <c r="C18" s="193"/>
      <c r="D18" s="193"/>
      <c r="E18" s="31"/>
    </row>
    <row r="19" spans="1:5" x14ac:dyDescent="0.25">
      <c r="A19" s="193"/>
      <c r="B19" s="195"/>
      <c r="C19" s="193"/>
      <c r="D19" s="193"/>
      <c r="E19" s="24"/>
    </row>
    <row r="20" spans="1:5" x14ac:dyDescent="0.25">
      <c r="A20" s="193"/>
      <c r="B20" s="195"/>
      <c r="C20" s="193"/>
      <c r="D20" s="193"/>
      <c r="E20" s="31"/>
    </row>
    <row r="21" spans="1:5" x14ac:dyDescent="0.25">
      <c r="A21" s="193"/>
      <c r="B21" s="195"/>
      <c r="C21" s="193"/>
      <c r="D21" s="193"/>
      <c r="E21" s="31"/>
    </row>
    <row r="22" spans="1:5" x14ac:dyDescent="0.25">
      <c r="A22" s="193"/>
      <c r="B22" s="195"/>
      <c r="C22" s="199"/>
      <c r="D22" s="199"/>
      <c r="E22" s="31"/>
    </row>
    <row r="23" spans="1:5" x14ac:dyDescent="0.25">
      <c r="A23" s="193"/>
      <c r="B23" s="195"/>
      <c r="C23" s="193"/>
      <c r="D23" s="193"/>
      <c r="E23" s="31"/>
    </row>
    <row r="24" spans="1:5" x14ac:dyDescent="0.25">
      <c r="A24" s="193"/>
      <c r="B24" s="195"/>
      <c r="C24" s="193"/>
      <c r="D24" s="193"/>
      <c r="E24" s="31"/>
    </row>
    <row r="25" spans="1:5" x14ac:dyDescent="0.25">
      <c r="A25" s="193"/>
      <c r="B25" s="195"/>
      <c r="C25" s="193"/>
      <c r="D25" s="193"/>
      <c r="E25" s="31"/>
    </row>
    <row r="26" spans="1:5" x14ac:dyDescent="0.25">
      <c r="A26" s="193"/>
      <c r="B26" s="195"/>
      <c r="C26" s="193"/>
      <c r="D26" s="193"/>
      <c r="E26" s="31"/>
    </row>
    <row r="27" spans="1:5" x14ac:dyDescent="0.25">
      <c r="A27" s="193"/>
      <c r="B27" s="195"/>
      <c r="C27" s="193"/>
      <c r="D27" s="193"/>
      <c r="E27" s="31"/>
    </row>
    <row r="28" spans="1:5" x14ac:dyDescent="0.25">
      <c r="A28" s="193"/>
      <c r="B28" s="195"/>
      <c r="C28" s="193"/>
      <c r="D28" s="193"/>
      <c r="E28" s="31"/>
    </row>
    <row r="29" spans="1:5" x14ac:dyDescent="0.25">
      <c r="A29" s="193"/>
      <c r="B29" s="195"/>
      <c r="C29" s="193"/>
      <c r="D29" s="193"/>
      <c r="E29" s="31"/>
    </row>
    <row r="30" spans="1:5" x14ac:dyDescent="0.25">
      <c r="A30" s="193"/>
      <c r="B30" s="195"/>
      <c r="C30" s="193"/>
      <c r="D30" s="193"/>
      <c r="E30" s="31"/>
    </row>
    <row r="100" spans="1:1" x14ac:dyDescent="0.25">
      <c r="A100" s="203" t="s">
        <v>16</v>
      </c>
    </row>
  </sheetData>
  <sheetProtection algorithmName="SHA-512" hashValue="n5oWxvtIbNuvwiUZE0SqLlvmCJnWxSbiQoPKo/KCCn9WQGdxXTtpQrmOZhWOqbEdUultkByYMiu2DWGWOS8CsQ==" saltValue="G1LGN5+sjFDiMhJSdXLgC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ID</vt:lpstr>
      <vt:lpstr>LH</vt:lpstr>
      <vt:lpstr>UB</vt:lpstr>
      <vt:lpstr>Data LUX Meter</vt:lpstr>
      <vt:lpstr>DB ESA 2023</vt:lpstr>
      <vt:lpstr>DB Thermohygro</vt:lpstr>
      <vt:lpstr>Cetik - Cetik</vt:lpstr>
      <vt:lpstr>SERTIFIKAT</vt:lpstr>
      <vt:lpstr>Riwayat Revisi</vt:lpstr>
      <vt:lpstr>Lembar Kerja</vt:lpstr>
      <vt:lpstr>LP</vt:lpstr>
      <vt:lpstr>SURAT KETERANGAN</vt:lpstr>
      <vt:lpstr>DB SERTIFIKAT</vt:lpstr>
      <vt:lpstr>KESIMPULAN</vt:lpstr>
      <vt:lpstr>ID!Print_Area</vt:lpstr>
      <vt:lpstr>'Lembar Kerja'!Print_Area</vt:lpstr>
      <vt:lpstr>LH!Print_Area</vt:lpstr>
      <vt:lpstr>LP!Print_Area</vt:lpstr>
      <vt:lpstr>SERTIFIKAT!Print_Area</vt:lpstr>
      <vt:lpstr>'SURAT KETERANGAN'!Print_Area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OVEN</dc:title>
  <dc:subject/>
  <dc:creator>LPFK BJB</dc:creator>
  <cp:keywords/>
  <dc:description/>
  <cp:lastModifiedBy>isra mahensa</cp:lastModifiedBy>
  <cp:revision/>
  <dcterms:created xsi:type="dcterms:W3CDTF">2002-06-28T22:09:13Z</dcterms:created>
  <dcterms:modified xsi:type="dcterms:W3CDTF">2023-09-21T01:21:09Z</dcterms:modified>
  <cp:category/>
  <cp:contentStatus/>
</cp:coreProperties>
</file>