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Lenovo\Desktop\traxel 100\"/>
    </mc:Choice>
  </mc:AlternateContent>
  <xr:revisionPtr revIDLastSave="0" documentId="13_ncr:1_{3246E6A0-2943-4B36-825C-A3F8F0BEC8E5}" xr6:coauthVersionLast="47" xr6:coauthVersionMax="47" xr10:uidLastSave="{00000000-0000-0000-0000-000000000000}"/>
  <bookViews>
    <workbookView xWindow="-110" yWindow="-110" windowWidth="19420" windowHeight="11020" tabRatio="778" firstSheet="2" activeTab="5" xr2:uid="{00000000-000D-0000-FFFF-FFFF00000000}"/>
  </bookViews>
  <sheets>
    <sheet name="Lembar Kerja" sheetId="1" r:id="rId1"/>
    <sheet name="Riwayat Revisi" sheetId="28" r:id="rId2"/>
    <sheet name="ID" sheetId="2" r:id="rId3"/>
    <sheet name="Uncertainty Budget" sheetId="3" r:id="rId4"/>
    <sheet name="Lembar Penyelia" sheetId="4" r:id="rId5"/>
    <sheet name="Laporan" sheetId="5" r:id="rId6"/>
    <sheet name="LH" sheetId="36" r:id="rId7"/>
    <sheet name="Sheet2" sheetId="35" state="hidden" r:id="rId8"/>
    <sheet name="LH2" sheetId="27" state="hidden" r:id="rId9"/>
    <sheet name="Data Standar" sheetId="23" r:id="rId10"/>
    <sheet name="SERTIFIKAT" sheetId="37" r:id="rId11"/>
    <sheet name="Data Alat" sheetId="22" r:id="rId12"/>
    <sheet name="DB Thermohygro" sheetId="32" r:id="rId13"/>
    <sheet name="DB Kelistrikan" sheetId="33" r:id="rId14"/>
    <sheet name="Sheet1" sheetId="34" state="hidden" r:id="rId15"/>
  </sheets>
  <externalReferences>
    <externalReference r:id="rId16"/>
    <externalReference r:id="rId17"/>
  </externalReferences>
  <definedNames>
    <definedName name="gambar">INDEX(ID!$BB$172:$BB$173,MATCH(ID!$C$43,ID!$BA$172:$BA$173))</definedName>
    <definedName name="gambar1">INDEX(ID!$BB$172:$BB$173,MATCH(ID!$C$43,ID!$BA$172:$BA$173))</definedName>
    <definedName name="_xlnm.Print_Area" localSheetId="2">ID!$A$1:$O$125</definedName>
    <definedName name="_xlnm.Print_Area" localSheetId="5">Laporan!$A$1:$N$103</definedName>
    <definedName name="_xlnm.Print_Area" localSheetId="0">'Lembar Kerja'!$A$1:$M$108</definedName>
    <definedName name="_xlnm.Print_Area" localSheetId="4">'Lembar Penyelia'!$A$1:$L$83</definedName>
    <definedName name="_xlnm.Print_Area" localSheetId="6">LH!$A$1:$N$103</definedName>
    <definedName name="_xlnm.Print_Area" localSheetId="8">'LH2'!$A$1:$N$84</definedName>
    <definedName name="_xlnm.Print_Area" localSheetId="10">SERTIFIKAT!$A$1:$F$31</definedName>
    <definedName name="_xlnm.Print_Area" localSheetId="3">'Uncertainty Budget'!$A$1:$N$20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2" l="1"/>
  <c r="CR27" i="23"/>
  <c r="CR39" i="23" s="1"/>
  <c r="CR51" i="23" s="1"/>
  <c r="CR63" i="23" s="1"/>
  <c r="CR75" i="23" s="1"/>
  <c r="CR87" i="23" s="1"/>
  <c r="CR99" i="23" s="1"/>
  <c r="CR111" i="23" s="1"/>
  <c r="CR15" i="23"/>
  <c r="CL27" i="23"/>
  <c r="CL39" i="23" s="1"/>
  <c r="CL51" i="23" s="1"/>
  <c r="CL63" i="23" s="1"/>
  <c r="CL75" i="23" s="1"/>
  <c r="CL87" i="23" s="1"/>
  <c r="CL99" i="23" s="1"/>
  <c r="CL111" i="23" s="1"/>
  <c r="CL15" i="23"/>
  <c r="CF15" i="23"/>
  <c r="CF27" i="23" s="1"/>
  <c r="CF39" i="23" s="1"/>
  <c r="CF51" i="23" s="1"/>
  <c r="CF63" i="23" s="1"/>
  <c r="CF75" i="23" s="1"/>
  <c r="CF87" i="23" s="1"/>
  <c r="CF99" i="23" s="1"/>
  <c r="CF111" i="23" s="1"/>
  <c r="BZ27" i="23"/>
  <c r="BZ39" i="23" s="1"/>
  <c r="BZ51" i="23" s="1"/>
  <c r="BZ63" i="23" s="1"/>
  <c r="BZ75" i="23" s="1"/>
  <c r="BZ87" i="23" s="1"/>
  <c r="BZ99" i="23" s="1"/>
  <c r="BZ111" i="23" s="1"/>
  <c r="BZ15" i="23"/>
  <c r="BT15" i="23"/>
  <c r="BT27" i="23" s="1"/>
  <c r="BT39" i="23" s="1"/>
  <c r="BT51" i="23" s="1"/>
  <c r="BT63" i="23" s="1"/>
  <c r="BT75" i="23" s="1"/>
  <c r="BT87" i="23" s="1"/>
  <c r="BT99" i="23" s="1"/>
  <c r="BT111" i="23" s="1"/>
  <c r="BN15" i="23"/>
  <c r="BN27" i="23" s="1"/>
  <c r="BN39" i="23" s="1"/>
  <c r="BN51" i="23" s="1"/>
  <c r="BN63" i="23" s="1"/>
  <c r="BN75" i="23" s="1"/>
  <c r="BN87" i="23" s="1"/>
  <c r="BN99" i="23" s="1"/>
  <c r="BN111" i="23" s="1"/>
  <c r="BH27" i="23"/>
  <c r="BH39" i="23" s="1"/>
  <c r="BH51" i="23" s="1"/>
  <c r="BH63" i="23" s="1"/>
  <c r="BH75" i="23" s="1"/>
  <c r="BH87" i="23" s="1"/>
  <c r="BH99" i="23" s="1"/>
  <c r="BH111" i="23" s="1"/>
  <c r="BH15" i="23"/>
  <c r="BB15" i="23"/>
  <c r="BB27" i="23" s="1"/>
  <c r="BB39" i="23" s="1"/>
  <c r="BB51" i="23" s="1"/>
  <c r="BB63" i="23" s="1"/>
  <c r="BB75" i="23" s="1"/>
  <c r="BB87" i="23" s="1"/>
  <c r="BB99" i="23" s="1"/>
  <c r="BB111" i="23" s="1"/>
  <c r="AV27" i="23"/>
  <c r="AV39" i="23" s="1"/>
  <c r="AV51" i="23" s="1"/>
  <c r="AV63" i="23" s="1"/>
  <c r="AV75" i="23" s="1"/>
  <c r="AV87" i="23" s="1"/>
  <c r="AV99" i="23" s="1"/>
  <c r="AV111" i="23" s="1"/>
  <c r="AV15" i="23"/>
  <c r="AP15" i="23"/>
  <c r="AP27" i="23" s="1"/>
  <c r="AP39" i="23" s="1"/>
  <c r="AP51" i="23" s="1"/>
  <c r="AP63" i="23" s="1"/>
  <c r="AP75" i="23" s="1"/>
  <c r="AP87" i="23" s="1"/>
  <c r="AP99" i="23" s="1"/>
  <c r="AP111" i="23" s="1"/>
  <c r="AJ15" i="23"/>
  <c r="AJ27" i="23" s="1"/>
  <c r="AJ39" i="23" s="1"/>
  <c r="AJ51" i="23" s="1"/>
  <c r="AJ63" i="23" s="1"/>
  <c r="AJ75" i="23" s="1"/>
  <c r="AJ87" i="23" s="1"/>
  <c r="AJ99" i="23" s="1"/>
  <c r="AJ111" i="23" s="1"/>
  <c r="AD15" i="23"/>
  <c r="AD27" i="23" s="1"/>
  <c r="AD39" i="23" s="1"/>
  <c r="AD51" i="23" s="1"/>
  <c r="AD63" i="23" s="1"/>
  <c r="AD75" i="23" s="1"/>
  <c r="AD87" i="23" s="1"/>
  <c r="AD99" i="23" s="1"/>
  <c r="AD111" i="23" s="1"/>
  <c r="X39" i="23"/>
  <c r="X51" i="23" s="1"/>
  <c r="X63" i="23" s="1"/>
  <c r="X75" i="23" s="1"/>
  <c r="X87" i="23" s="1"/>
  <c r="X99" i="23" s="1"/>
  <c r="X111" i="23" s="1"/>
  <c r="X27" i="23"/>
  <c r="X15" i="23"/>
  <c r="R51" i="23"/>
  <c r="R63" i="23" s="1"/>
  <c r="R75" i="23" s="1"/>
  <c r="R87" i="23" s="1"/>
  <c r="R99" i="23" s="1"/>
  <c r="R111" i="23" s="1"/>
  <c r="R39" i="23"/>
  <c r="R27" i="23"/>
  <c r="R15" i="23"/>
  <c r="L27" i="23"/>
  <c r="L39" i="23" s="1"/>
  <c r="L51" i="23" s="1"/>
  <c r="L63" i="23" s="1"/>
  <c r="L75" i="23" s="1"/>
  <c r="L87" i="23" s="1"/>
  <c r="L99" i="23" s="1"/>
  <c r="L111" i="23" s="1"/>
  <c r="L15" i="23"/>
  <c r="F15" i="23"/>
  <c r="O62" i="4"/>
  <c r="N271" i="33"/>
  <c r="N270" i="33"/>
  <c r="N269" i="33"/>
  <c r="I266" i="33"/>
  <c r="J266" i="33"/>
  <c r="K266" i="33"/>
  <c r="B54" i="4" l="1"/>
  <c r="A54" i="4"/>
  <c r="A1" i="4"/>
  <c r="B43" i="37" s="1"/>
  <c r="B44" i="37" s="1"/>
  <c r="S24" i="4" l="1"/>
  <c r="U26" i="4" s="1"/>
  <c r="B76" i="4" s="1"/>
  <c r="U25" i="4" l="1"/>
  <c r="A10" i="4" s="1"/>
  <c r="U24" i="4"/>
  <c r="A9" i="4" s="1"/>
  <c r="B76" i="36"/>
  <c r="A121" i="2"/>
  <c r="A10" i="2" l="1"/>
  <c r="A9" i="36"/>
  <c r="A11" i="2"/>
  <c r="A10" i="36"/>
  <c r="B60" i="36" l="1"/>
  <c r="A85" i="2"/>
  <c r="A87" i="2"/>
  <c r="J95" i="36"/>
  <c r="J96" i="36" s="1"/>
  <c r="G16" i="36"/>
  <c r="G15" i="36"/>
  <c r="E16" i="36"/>
  <c r="E15" i="36"/>
  <c r="D4" i="37" l="1"/>
  <c r="D19" i="37"/>
  <c r="D18" i="37"/>
  <c r="D17" i="37"/>
  <c r="D16" i="37"/>
  <c r="D15" i="37"/>
  <c r="D10" i="37"/>
  <c r="D9" i="37"/>
  <c r="D8" i="37"/>
  <c r="A2" i="37" l="1"/>
  <c r="E24" i="37"/>
  <c r="A20" i="37"/>
  <c r="A19" i="37"/>
  <c r="A18" i="37"/>
  <c r="A17" i="37"/>
  <c r="A15" i="37"/>
  <c r="D21" i="37"/>
  <c r="A3" i="37"/>
  <c r="F6" i="37" s="1"/>
  <c r="I86" i="36" l="1"/>
  <c r="I40" i="36"/>
  <c r="I39" i="36"/>
  <c r="I37" i="36"/>
  <c r="I36" i="36"/>
  <c r="I35" i="36"/>
  <c r="I34" i="36"/>
  <c r="B32" i="36"/>
  <c r="B23" i="36"/>
  <c r="A1" i="36"/>
  <c r="A47" i="1"/>
  <c r="A30" i="1"/>
  <c r="B50" i="4"/>
  <c r="B56" i="5" s="1"/>
  <c r="C31" i="4"/>
  <c r="D37" i="2"/>
  <c r="F37" i="2"/>
  <c r="C40" i="2"/>
  <c r="E40" i="2" s="1"/>
  <c r="G40" i="2" s="1"/>
  <c r="D30" i="4"/>
  <c r="E41" i="5" s="1"/>
  <c r="B30" i="4"/>
  <c r="B41" i="5" s="1"/>
  <c r="E4" i="4"/>
  <c r="E4" i="36" s="1"/>
  <c r="E5" i="4"/>
  <c r="E5" i="36" s="1"/>
  <c r="E6" i="4"/>
  <c r="E6" i="36" s="1"/>
  <c r="E8" i="4"/>
  <c r="E8" i="36" s="1"/>
  <c r="E9" i="4"/>
  <c r="E9" i="36" s="1"/>
  <c r="E10" i="4"/>
  <c r="E10" i="36" s="1"/>
  <c r="E11" i="4"/>
  <c r="E11" i="36" s="1"/>
  <c r="E12" i="4"/>
  <c r="E12" i="36" s="1"/>
  <c r="E20" i="4"/>
  <c r="E20" i="36" s="1"/>
  <c r="E21" i="4"/>
  <c r="E21" i="36" s="1"/>
  <c r="C25" i="4"/>
  <c r="C25" i="36" s="1"/>
  <c r="J25" i="4"/>
  <c r="C26" i="4"/>
  <c r="C26" i="36" s="1"/>
  <c r="L26" i="36" s="1"/>
  <c r="C27" i="4"/>
  <c r="C27" i="36" s="1"/>
  <c r="L27" i="36" s="1"/>
  <c r="B57" i="4"/>
  <c r="B63" i="36" s="1"/>
  <c r="B66" i="4"/>
  <c r="B70" i="36" s="1"/>
  <c r="B68" i="4"/>
  <c r="B69" i="4"/>
  <c r="B77" i="4"/>
  <c r="B77" i="36" s="1"/>
  <c r="C82" i="4"/>
  <c r="B41" i="2"/>
  <c r="C41" i="2"/>
  <c r="E41" i="2"/>
  <c r="H41" i="2"/>
  <c r="B56" i="36" l="1"/>
  <c r="B41" i="36"/>
  <c r="E41" i="36"/>
  <c r="H40" i="2"/>
  <c r="H72" i="2" l="1"/>
  <c r="C72" i="2"/>
  <c r="E82" i="4"/>
  <c r="M272" i="33" l="1"/>
  <c r="M271" i="33"/>
  <c r="M270" i="33"/>
  <c r="M269" i="33"/>
  <c r="M268" i="33"/>
  <c r="A298" i="33"/>
  <c r="B265" i="33" s="1"/>
  <c r="K310" i="33"/>
  <c r="J310" i="33"/>
  <c r="I310" i="33"/>
  <c r="K309" i="33"/>
  <c r="J309" i="33"/>
  <c r="I309" i="33"/>
  <c r="K308" i="33"/>
  <c r="J308" i="33"/>
  <c r="I308" i="33"/>
  <c r="K307" i="33"/>
  <c r="J307" i="33"/>
  <c r="I307" i="33"/>
  <c r="K306" i="33"/>
  <c r="J306" i="33"/>
  <c r="I306" i="33"/>
  <c r="K305" i="33"/>
  <c r="J305" i="33"/>
  <c r="I305" i="33"/>
  <c r="K304" i="33"/>
  <c r="J304" i="33"/>
  <c r="I304" i="33"/>
  <c r="K303" i="33"/>
  <c r="J303" i="33"/>
  <c r="I303" i="33"/>
  <c r="K302" i="33"/>
  <c r="J302" i="33"/>
  <c r="I302" i="33"/>
  <c r="K301" i="33"/>
  <c r="J301" i="33"/>
  <c r="I301" i="33"/>
  <c r="K300" i="33"/>
  <c r="J300" i="33"/>
  <c r="I300" i="33"/>
  <c r="K299" i="33"/>
  <c r="J299" i="33"/>
  <c r="I299" i="33"/>
  <c r="A289" i="33"/>
  <c r="A283" i="33"/>
  <c r="A275" i="33"/>
  <c r="A267" i="33"/>
  <c r="Q262" i="33"/>
  <c r="O262" i="33"/>
  <c r="N262" i="33"/>
  <c r="M262" i="33"/>
  <c r="L262" i="33"/>
  <c r="H262" i="33"/>
  <c r="F262" i="33"/>
  <c r="E262" i="33"/>
  <c r="D262" i="33"/>
  <c r="C262" i="33"/>
  <c r="Q261" i="33"/>
  <c r="O261" i="33"/>
  <c r="N261" i="33"/>
  <c r="M261" i="33"/>
  <c r="L261" i="33"/>
  <c r="H261" i="33"/>
  <c r="F261" i="33"/>
  <c r="E261" i="33"/>
  <c r="D261" i="33"/>
  <c r="C261" i="33"/>
  <c r="Q260" i="33"/>
  <c r="O260" i="33"/>
  <c r="N260" i="33"/>
  <c r="M260" i="33"/>
  <c r="L260" i="33"/>
  <c r="H260" i="33"/>
  <c r="F260" i="33"/>
  <c r="E260" i="33"/>
  <c r="D260" i="33"/>
  <c r="C260" i="33"/>
  <c r="O259" i="33"/>
  <c r="N259" i="33"/>
  <c r="M259" i="33"/>
  <c r="L259" i="33"/>
  <c r="F259" i="33"/>
  <c r="E259" i="33"/>
  <c r="D259" i="33"/>
  <c r="C259" i="33"/>
  <c r="O258" i="33"/>
  <c r="N258" i="33"/>
  <c r="M258" i="33"/>
  <c r="L258" i="33"/>
  <c r="F258" i="33"/>
  <c r="E258" i="33"/>
  <c r="D258" i="33"/>
  <c r="C258" i="33"/>
  <c r="O257" i="33"/>
  <c r="N257" i="33"/>
  <c r="M257" i="33"/>
  <c r="L257" i="33"/>
  <c r="F257" i="33"/>
  <c r="E257" i="33"/>
  <c r="D257" i="33"/>
  <c r="C257" i="33"/>
  <c r="O256" i="33"/>
  <c r="N256" i="33"/>
  <c r="M256" i="33"/>
  <c r="L256" i="33"/>
  <c r="F256" i="33"/>
  <c r="E256" i="33"/>
  <c r="D256" i="33"/>
  <c r="C256" i="33"/>
  <c r="O255" i="33"/>
  <c r="N255" i="33"/>
  <c r="M255" i="33"/>
  <c r="L255" i="33"/>
  <c r="F255" i="33"/>
  <c r="E255" i="33"/>
  <c r="D255" i="33"/>
  <c r="C255" i="33"/>
  <c r="O254" i="33"/>
  <c r="N254" i="33"/>
  <c r="M254" i="33"/>
  <c r="L254" i="33"/>
  <c r="F254" i="33"/>
  <c r="E254" i="33"/>
  <c r="D254" i="33"/>
  <c r="C254" i="33"/>
  <c r="O253" i="33"/>
  <c r="N253" i="33"/>
  <c r="M253" i="33"/>
  <c r="L253" i="33"/>
  <c r="F253" i="33"/>
  <c r="E253" i="33"/>
  <c r="D253" i="33"/>
  <c r="C253" i="33"/>
  <c r="O252" i="33"/>
  <c r="N252" i="33"/>
  <c r="M252" i="33"/>
  <c r="L252" i="33"/>
  <c r="F252" i="33"/>
  <c r="E252" i="33"/>
  <c r="D252" i="33"/>
  <c r="C252" i="33"/>
  <c r="O251" i="33"/>
  <c r="N251" i="33"/>
  <c r="M251" i="33"/>
  <c r="L251" i="33"/>
  <c r="H251" i="33"/>
  <c r="F251" i="33"/>
  <c r="E251" i="33"/>
  <c r="D251" i="33"/>
  <c r="C251" i="33"/>
  <c r="Q249" i="33"/>
  <c r="O249" i="33"/>
  <c r="N249" i="33"/>
  <c r="M249" i="33"/>
  <c r="L249" i="33"/>
  <c r="H249" i="33"/>
  <c r="F249" i="33"/>
  <c r="E249" i="33"/>
  <c r="D249" i="33"/>
  <c r="C249" i="33"/>
  <c r="Q248" i="33"/>
  <c r="O248" i="33"/>
  <c r="N248" i="33"/>
  <c r="M248" i="33"/>
  <c r="L248" i="33"/>
  <c r="H248" i="33"/>
  <c r="F248" i="33"/>
  <c r="E248" i="33"/>
  <c r="D248" i="33"/>
  <c r="C248" i="33"/>
  <c r="Q247" i="33"/>
  <c r="O247" i="33"/>
  <c r="N247" i="33"/>
  <c r="M247" i="33"/>
  <c r="L247" i="33"/>
  <c r="H247" i="33"/>
  <c r="F247" i="33"/>
  <c r="E247" i="33"/>
  <c r="D247" i="33"/>
  <c r="C247" i="33"/>
  <c r="O246" i="33"/>
  <c r="N246" i="33"/>
  <c r="M246" i="33"/>
  <c r="L246" i="33"/>
  <c r="F246" i="33"/>
  <c r="E246" i="33"/>
  <c r="D246" i="33"/>
  <c r="C246" i="33"/>
  <c r="O245" i="33"/>
  <c r="N245" i="33"/>
  <c r="M245" i="33"/>
  <c r="L245" i="33"/>
  <c r="F245" i="33"/>
  <c r="E245" i="33"/>
  <c r="D245" i="33"/>
  <c r="C245" i="33"/>
  <c r="O244" i="33"/>
  <c r="N244" i="33"/>
  <c r="M244" i="33"/>
  <c r="L244" i="33"/>
  <c r="F244" i="33"/>
  <c r="E244" i="33"/>
  <c r="D244" i="33"/>
  <c r="C244" i="33"/>
  <c r="O243" i="33"/>
  <c r="N243" i="33"/>
  <c r="M243" i="33"/>
  <c r="L243" i="33"/>
  <c r="F243" i="33"/>
  <c r="E243" i="33"/>
  <c r="D243" i="33"/>
  <c r="C243" i="33"/>
  <c r="O242" i="33"/>
  <c r="N242" i="33"/>
  <c r="M242" i="33"/>
  <c r="L242" i="33"/>
  <c r="F242" i="33"/>
  <c r="E242" i="33"/>
  <c r="D242" i="33"/>
  <c r="C242" i="33"/>
  <c r="O241" i="33"/>
  <c r="N241" i="33"/>
  <c r="M241" i="33"/>
  <c r="L241" i="33"/>
  <c r="F241" i="33"/>
  <c r="E241" i="33"/>
  <c r="D241" i="33"/>
  <c r="C241" i="33"/>
  <c r="O240" i="33"/>
  <c r="N240" i="33"/>
  <c r="M240" i="33"/>
  <c r="L240" i="33"/>
  <c r="F240" i="33"/>
  <c r="E240" i="33"/>
  <c r="D240" i="33"/>
  <c r="C240" i="33"/>
  <c r="O239" i="33"/>
  <c r="N239" i="33"/>
  <c r="M239" i="33"/>
  <c r="L239" i="33"/>
  <c r="F239" i="33"/>
  <c r="E239" i="33"/>
  <c r="D239" i="33"/>
  <c r="C239" i="33"/>
  <c r="O238" i="33"/>
  <c r="N238" i="33"/>
  <c r="M238" i="33"/>
  <c r="L238" i="33"/>
  <c r="H238" i="33"/>
  <c r="F238" i="33"/>
  <c r="E238" i="33"/>
  <c r="D238" i="33"/>
  <c r="C238" i="33"/>
  <c r="Q236" i="33"/>
  <c r="O236" i="33"/>
  <c r="N236" i="33"/>
  <c r="M236" i="33"/>
  <c r="L236" i="33"/>
  <c r="H236" i="33"/>
  <c r="F236" i="33"/>
  <c r="E236" i="33"/>
  <c r="D236" i="33"/>
  <c r="C236" i="33"/>
  <c r="Q235" i="33"/>
  <c r="O235" i="33"/>
  <c r="N235" i="33"/>
  <c r="M235" i="33"/>
  <c r="L235" i="33"/>
  <c r="H235" i="33"/>
  <c r="F235" i="33"/>
  <c r="E235" i="33"/>
  <c r="D235" i="33"/>
  <c r="C235" i="33"/>
  <c r="Q234" i="33"/>
  <c r="O234" i="33"/>
  <c r="N234" i="33"/>
  <c r="M234" i="33"/>
  <c r="L234" i="33"/>
  <c r="H234" i="33"/>
  <c r="F234" i="33"/>
  <c r="E234" i="33"/>
  <c r="D234" i="33"/>
  <c r="C234" i="33"/>
  <c r="O233" i="33"/>
  <c r="N233" i="33"/>
  <c r="M233" i="33"/>
  <c r="L233" i="33"/>
  <c r="F233" i="33"/>
  <c r="E233" i="33"/>
  <c r="D233" i="33"/>
  <c r="C233" i="33"/>
  <c r="O232" i="33"/>
  <c r="N232" i="33"/>
  <c r="M232" i="33"/>
  <c r="L232" i="33"/>
  <c r="F232" i="33"/>
  <c r="E232" i="33"/>
  <c r="D232" i="33"/>
  <c r="C232" i="33"/>
  <c r="O231" i="33"/>
  <c r="N231" i="33"/>
  <c r="M231" i="33"/>
  <c r="L231" i="33"/>
  <c r="F231" i="33"/>
  <c r="E231" i="33"/>
  <c r="D231" i="33"/>
  <c r="C231" i="33"/>
  <c r="O230" i="33"/>
  <c r="N230" i="33"/>
  <c r="M230" i="33"/>
  <c r="L230" i="33"/>
  <c r="F230" i="33"/>
  <c r="E230" i="33"/>
  <c r="D230" i="33"/>
  <c r="C230" i="33"/>
  <c r="O229" i="33"/>
  <c r="N229" i="33"/>
  <c r="M229" i="33"/>
  <c r="L229" i="33"/>
  <c r="F229" i="33"/>
  <c r="E229" i="33"/>
  <c r="D229" i="33"/>
  <c r="C229" i="33"/>
  <c r="O228" i="33"/>
  <c r="N228" i="33"/>
  <c r="M228" i="33"/>
  <c r="L228" i="33"/>
  <c r="F228" i="33"/>
  <c r="E228" i="33"/>
  <c r="D228" i="33"/>
  <c r="C228" i="33"/>
  <c r="O227" i="33"/>
  <c r="N227" i="33"/>
  <c r="M227" i="33"/>
  <c r="L227" i="33"/>
  <c r="F227" i="33"/>
  <c r="E227" i="33"/>
  <c r="D227" i="33"/>
  <c r="C227" i="33"/>
  <c r="O226" i="33"/>
  <c r="N226" i="33"/>
  <c r="M226" i="33"/>
  <c r="L226" i="33"/>
  <c r="F226" i="33"/>
  <c r="E226" i="33"/>
  <c r="D226" i="33"/>
  <c r="C226" i="33"/>
  <c r="O225" i="33"/>
  <c r="N225" i="33"/>
  <c r="M225" i="33"/>
  <c r="L225" i="33"/>
  <c r="H225" i="33"/>
  <c r="F225" i="33"/>
  <c r="E225" i="33"/>
  <c r="D225" i="33"/>
  <c r="C225" i="33"/>
  <c r="Q223" i="33"/>
  <c r="O223" i="33"/>
  <c r="N223" i="33"/>
  <c r="M223" i="33"/>
  <c r="L223" i="33"/>
  <c r="H223" i="33"/>
  <c r="F223" i="33"/>
  <c r="E223" i="33"/>
  <c r="D223" i="33"/>
  <c r="C223" i="33"/>
  <c r="Q222" i="33"/>
  <c r="O222" i="33"/>
  <c r="N222" i="33"/>
  <c r="M222" i="33"/>
  <c r="L222" i="33"/>
  <c r="H222" i="33"/>
  <c r="F222" i="33"/>
  <c r="E222" i="33"/>
  <c r="D222" i="33"/>
  <c r="C222" i="33"/>
  <c r="Q221" i="33"/>
  <c r="O221" i="33"/>
  <c r="N221" i="33"/>
  <c r="M221" i="33"/>
  <c r="L221" i="33"/>
  <c r="H221" i="33"/>
  <c r="F221" i="33"/>
  <c r="E221" i="33"/>
  <c r="D221" i="33"/>
  <c r="C221" i="33"/>
  <c r="O220" i="33"/>
  <c r="N220" i="33"/>
  <c r="M220" i="33"/>
  <c r="L220" i="33"/>
  <c r="F220" i="33"/>
  <c r="E220" i="33"/>
  <c r="D220" i="33"/>
  <c r="C220" i="33"/>
  <c r="O219" i="33"/>
  <c r="N219" i="33"/>
  <c r="M219" i="33"/>
  <c r="L219" i="33"/>
  <c r="F219" i="33"/>
  <c r="E219" i="33"/>
  <c r="D219" i="33"/>
  <c r="C219" i="33"/>
  <c r="O218" i="33"/>
  <c r="N218" i="33"/>
  <c r="M218" i="33"/>
  <c r="L218" i="33"/>
  <c r="F218" i="33"/>
  <c r="E218" i="33"/>
  <c r="D218" i="33"/>
  <c r="C218" i="33"/>
  <c r="O217" i="33"/>
  <c r="N217" i="33"/>
  <c r="M217" i="33"/>
  <c r="L217" i="33"/>
  <c r="F217" i="33"/>
  <c r="E217" i="33"/>
  <c r="D217" i="33"/>
  <c r="C217" i="33"/>
  <c r="O216" i="33"/>
  <c r="N216" i="33"/>
  <c r="M216" i="33"/>
  <c r="L216" i="33"/>
  <c r="F216" i="33"/>
  <c r="E216" i="33"/>
  <c r="D216" i="33"/>
  <c r="C216" i="33"/>
  <c r="O215" i="33"/>
  <c r="N215" i="33"/>
  <c r="M215" i="33"/>
  <c r="L215" i="33"/>
  <c r="F215" i="33"/>
  <c r="E215" i="33"/>
  <c r="D215" i="33"/>
  <c r="C215" i="33"/>
  <c r="O214" i="33"/>
  <c r="N214" i="33"/>
  <c r="M214" i="33"/>
  <c r="L214" i="33"/>
  <c r="F214" i="33"/>
  <c r="E214" i="33"/>
  <c r="D214" i="33"/>
  <c r="C214" i="33"/>
  <c r="O213" i="33"/>
  <c r="N213" i="33"/>
  <c r="M213" i="33"/>
  <c r="L213" i="33"/>
  <c r="F213" i="33"/>
  <c r="E213" i="33"/>
  <c r="D213" i="33"/>
  <c r="C213" i="33"/>
  <c r="O212" i="33"/>
  <c r="N212" i="33"/>
  <c r="M212" i="33"/>
  <c r="L212" i="33"/>
  <c r="H212" i="33"/>
  <c r="F212" i="33"/>
  <c r="E212" i="33"/>
  <c r="D212" i="33"/>
  <c r="C212" i="33"/>
  <c r="L210" i="33"/>
  <c r="C210" i="33"/>
  <c r="Q207" i="33"/>
  <c r="O207" i="33"/>
  <c r="N207" i="33"/>
  <c r="M207" i="33"/>
  <c r="L207" i="33"/>
  <c r="H207" i="33"/>
  <c r="F207" i="33"/>
  <c r="E207" i="33"/>
  <c r="D207" i="33"/>
  <c r="C207" i="33"/>
  <c r="Q206" i="33"/>
  <c r="O206" i="33"/>
  <c r="N206" i="33"/>
  <c r="M206" i="33"/>
  <c r="L206" i="33"/>
  <c r="H206" i="33"/>
  <c r="F206" i="33"/>
  <c r="E206" i="33"/>
  <c r="D206" i="33"/>
  <c r="C206" i="33"/>
  <c r="Q205" i="33"/>
  <c r="O205" i="33"/>
  <c r="N205" i="33"/>
  <c r="M205" i="33"/>
  <c r="L205" i="33"/>
  <c r="H205" i="33"/>
  <c r="F205" i="33"/>
  <c r="E205" i="33"/>
  <c r="D205" i="33"/>
  <c r="C205" i="33"/>
  <c r="O204" i="33"/>
  <c r="N204" i="33"/>
  <c r="M204" i="33"/>
  <c r="L204" i="33"/>
  <c r="F204" i="33"/>
  <c r="E204" i="33"/>
  <c r="D204" i="33"/>
  <c r="C204" i="33"/>
  <c r="O203" i="33"/>
  <c r="N203" i="33"/>
  <c r="M203" i="33"/>
  <c r="L203" i="33"/>
  <c r="F203" i="33"/>
  <c r="E203" i="33"/>
  <c r="D203" i="33"/>
  <c r="C203" i="33"/>
  <c r="O202" i="33"/>
  <c r="N202" i="33"/>
  <c r="M202" i="33"/>
  <c r="L202" i="33"/>
  <c r="F202" i="33"/>
  <c r="E202" i="33"/>
  <c r="D202" i="33"/>
  <c r="C202" i="33"/>
  <c r="O201" i="33"/>
  <c r="N201" i="33"/>
  <c r="M201" i="33"/>
  <c r="L201" i="33"/>
  <c r="F201" i="33"/>
  <c r="E201" i="33"/>
  <c r="D201" i="33"/>
  <c r="C201" i="33"/>
  <c r="O200" i="33"/>
  <c r="N200" i="33"/>
  <c r="M200" i="33"/>
  <c r="L200" i="33"/>
  <c r="F200" i="33"/>
  <c r="E200" i="33"/>
  <c r="D200" i="33"/>
  <c r="C200" i="33"/>
  <c r="O199" i="33"/>
  <c r="N199" i="33"/>
  <c r="M199" i="33"/>
  <c r="L199" i="33"/>
  <c r="F199" i="33"/>
  <c r="E199" i="33"/>
  <c r="D199" i="33"/>
  <c r="C199" i="33"/>
  <c r="O198" i="33"/>
  <c r="N198" i="33"/>
  <c r="M198" i="33"/>
  <c r="L198" i="33"/>
  <c r="F198" i="33"/>
  <c r="E198" i="33"/>
  <c r="D198" i="33"/>
  <c r="C198" i="33"/>
  <c r="Q197" i="33"/>
  <c r="O197" i="33"/>
  <c r="N197" i="33"/>
  <c r="M197" i="33"/>
  <c r="L197" i="33"/>
  <c r="H197" i="33"/>
  <c r="F197" i="33"/>
  <c r="E197" i="33"/>
  <c r="D197" i="33"/>
  <c r="C197" i="33"/>
  <c r="O196" i="33"/>
  <c r="N196" i="33"/>
  <c r="M196" i="33"/>
  <c r="L196" i="33"/>
  <c r="F196" i="33"/>
  <c r="E196" i="33"/>
  <c r="D196" i="33"/>
  <c r="C196" i="33"/>
  <c r="Q194" i="33"/>
  <c r="O194" i="33"/>
  <c r="N194" i="33"/>
  <c r="M194" i="33"/>
  <c r="L194" i="33"/>
  <c r="H194" i="33"/>
  <c r="F194" i="33"/>
  <c r="E194" i="33"/>
  <c r="D194" i="33"/>
  <c r="C194" i="33"/>
  <c r="Q193" i="33"/>
  <c r="O193" i="33"/>
  <c r="N193" i="33"/>
  <c r="M193" i="33"/>
  <c r="L193" i="33"/>
  <c r="H193" i="33"/>
  <c r="F193" i="33"/>
  <c r="E193" i="33"/>
  <c r="D193" i="33"/>
  <c r="C193" i="33"/>
  <c r="Q192" i="33"/>
  <c r="O192" i="33"/>
  <c r="N192" i="33"/>
  <c r="M192" i="33"/>
  <c r="L192" i="33"/>
  <c r="H192" i="33"/>
  <c r="F192" i="33"/>
  <c r="E192" i="33"/>
  <c r="D192" i="33"/>
  <c r="C192" i="33"/>
  <c r="O191" i="33"/>
  <c r="N191" i="33"/>
  <c r="M191" i="33"/>
  <c r="L191" i="33"/>
  <c r="F191" i="33"/>
  <c r="E191" i="33"/>
  <c r="D191" i="33"/>
  <c r="C191" i="33"/>
  <c r="O190" i="33"/>
  <c r="N190" i="33"/>
  <c r="M190" i="33"/>
  <c r="L190" i="33"/>
  <c r="F190" i="33"/>
  <c r="E190" i="33"/>
  <c r="D190" i="33"/>
  <c r="C190" i="33"/>
  <c r="O189" i="33"/>
  <c r="N189" i="33"/>
  <c r="M189" i="33"/>
  <c r="L189" i="33"/>
  <c r="F189" i="33"/>
  <c r="E189" i="33"/>
  <c r="D189" i="33"/>
  <c r="C189" i="33"/>
  <c r="O188" i="33"/>
  <c r="N188" i="33"/>
  <c r="M188" i="33"/>
  <c r="L188" i="33"/>
  <c r="F188" i="33"/>
  <c r="E188" i="33"/>
  <c r="D188" i="33"/>
  <c r="C188" i="33"/>
  <c r="O187" i="33"/>
  <c r="N187" i="33"/>
  <c r="M187" i="33"/>
  <c r="L187" i="33"/>
  <c r="F187" i="33"/>
  <c r="E187" i="33"/>
  <c r="D187" i="33"/>
  <c r="C187" i="33"/>
  <c r="O186" i="33"/>
  <c r="N186" i="33"/>
  <c r="M186" i="33"/>
  <c r="L186" i="33"/>
  <c r="F186" i="33"/>
  <c r="E186" i="33"/>
  <c r="D186" i="33"/>
  <c r="C186" i="33"/>
  <c r="O185" i="33"/>
  <c r="N185" i="33"/>
  <c r="M185" i="33"/>
  <c r="L185" i="33"/>
  <c r="F185" i="33"/>
  <c r="E185" i="33"/>
  <c r="D185" i="33"/>
  <c r="C185" i="33"/>
  <c r="O184" i="33"/>
  <c r="N184" i="33"/>
  <c r="M184" i="33"/>
  <c r="L184" i="33"/>
  <c r="F184" i="33"/>
  <c r="E184" i="33"/>
  <c r="D184" i="33"/>
  <c r="C184" i="33"/>
  <c r="O183" i="33"/>
  <c r="N183" i="33"/>
  <c r="M183" i="33"/>
  <c r="L183" i="33"/>
  <c r="F183" i="33"/>
  <c r="E183" i="33"/>
  <c r="D183" i="33"/>
  <c r="C183" i="33"/>
  <c r="Q181" i="33"/>
  <c r="O181" i="33"/>
  <c r="N181" i="33"/>
  <c r="M181" i="33"/>
  <c r="L181" i="33"/>
  <c r="H181" i="33"/>
  <c r="F181" i="33"/>
  <c r="E181" i="33"/>
  <c r="D181" i="33"/>
  <c r="C181" i="33"/>
  <c r="Q180" i="33"/>
  <c r="O180" i="33"/>
  <c r="N180" i="33"/>
  <c r="M180" i="33"/>
  <c r="L180" i="33"/>
  <c r="H180" i="33"/>
  <c r="F180" i="33"/>
  <c r="E180" i="33"/>
  <c r="D180" i="33"/>
  <c r="C180" i="33"/>
  <c r="Q179" i="33"/>
  <c r="O179" i="33"/>
  <c r="N179" i="33"/>
  <c r="M179" i="33"/>
  <c r="L179" i="33"/>
  <c r="H179" i="33"/>
  <c r="F179" i="33"/>
  <c r="E179" i="33"/>
  <c r="D179" i="33"/>
  <c r="C179" i="33"/>
  <c r="O178" i="33"/>
  <c r="N178" i="33"/>
  <c r="M178" i="33"/>
  <c r="L178" i="33"/>
  <c r="F178" i="33"/>
  <c r="E178" i="33"/>
  <c r="D178" i="33"/>
  <c r="C178" i="33"/>
  <c r="O177" i="33"/>
  <c r="N177" i="33"/>
  <c r="M177" i="33"/>
  <c r="L177" i="33"/>
  <c r="F177" i="33"/>
  <c r="E177" i="33"/>
  <c r="D177" i="33"/>
  <c r="C177" i="33"/>
  <c r="O176" i="33"/>
  <c r="N176" i="33"/>
  <c r="M176" i="33"/>
  <c r="L176" i="33"/>
  <c r="F176" i="33"/>
  <c r="E176" i="33"/>
  <c r="D176" i="33"/>
  <c r="C176" i="33"/>
  <c r="O175" i="33"/>
  <c r="N175" i="33"/>
  <c r="M175" i="33"/>
  <c r="L175" i="33"/>
  <c r="F175" i="33"/>
  <c r="E175" i="33"/>
  <c r="D175" i="33"/>
  <c r="C175" i="33"/>
  <c r="O174" i="33"/>
  <c r="N174" i="33"/>
  <c r="M174" i="33"/>
  <c r="L174" i="33"/>
  <c r="F174" i="33"/>
  <c r="E174" i="33"/>
  <c r="D174" i="33"/>
  <c r="C174" i="33"/>
  <c r="O173" i="33"/>
  <c r="N173" i="33"/>
  <c r="M173" i="33"/>
  <c r="L173" i="33"/>
  <c r="F173" i="33"/>
  <c r="E173" i="33"/>
  <c r="D173" i="33"/>
  <c r="C173" i="33"/>
  <c r="O172" i="33"/>
  <c r="N172" i="33"/>
  <c r="M172" i="33"/>
  <c r="L172" i="33"/>
  <c r="F172" i="33"/>
  <c r="E172" i="33"/>
  <c r="D172" i="33"/>
  <c r="C172" i="33"/>
  <c r="O171" i="33"/>
  <c r="N171" i="33"/>
  <c r="M171" i="33"/>
  <c r="L171" i="33"/>
  <c r="F171" i="33"/>
  <c r="E171" i="33"/>
  <c r="D171" i="33"/>
  <c r="C171" i="33"/>
  <c r="O170" i="33"/>
  <c r="N170" i="33"/>
  <c r="M170" i="33"/>
  <c r="L170" i="33"/>
  <c r="F170" i="33"/>
  <c r="E170" i="33"/>
  <c r="D170" i="33"/>
  <c r="C170" i="33"/>
  <c r="Q168" i="33"/>
  <c r="O168" i="33"/>
  <c r="N168" i="33"/>
  <c r="M168" i="33"/>
  <c r="L168" i="33"/>
  <c r="H168" i="33"/>
  <c r="F168" i="33"/>
  <c r="E168" i="33"/>
  <c r="D168" i="33"/>
  <c r="C168" i="33"/>
  <c r="Q167" i="33"/>
  <c r="O167" i="33"/>
  <c r="N167" i="33"/>
  <c r="M167" i="33"/>
  <c r="L167" i="33"/>
  <c r="H167" i="33"/>
  <c r="F167" i="33"/>
  <c r="E167" i="33"/>
  <c r="D167" i="33"/>
  <c r="C167" i="33"/>
  <c r="Q166" i="33"/>
  <c r="O166" i="33"/>
  <c r="N166" i="33"/>
  <c r="M166" i="33"/>
  <c r="L166" i="33"/>
  <c r="H166" i="33"/>
  <c r="F166" i="33"/>
  <c r="E166" i="33"/>
  <c r="D166" i="33"/>
  <c r="C166" i="33"/>
  <c r="O165" i="33"/>
  <c r="N165" i="33"/>
  <c r="M165" i="33"/>
  <c r="L165" i="33"/>
  <c r="F165" i="33"/>
  <c r="E165" i="33"/>
  <c r="D165" i="33"/>
  <c r="C165" i="33"/>
  <c r="O164" i="33"/>
  <c r="N164" i="33"/>
  <c r="M164" i="33"/>
  <c r="L164" i="33"/>
  <c r="F164" i="33"/>
  <c r="E164" i="33"/>
  <c r="D164" i="33"/>
  <c r="C164" i="33"/>
  <c r="O163" i="33"/>
  <c r="N163" i="33"/>
  <c r="M163" i="33"/>
  <c r="L163" i="33"/>
  <c r="F163" i="33"/>
  <c r="E163" i="33"/>
  <c r="D163" i="33"/>
  <c r="C163" i="33"/>
  <c r="O162" i="33"/>
  <c r="N162" i="33"/>
  <c r="M162" i="33"/>
  <c r="L162" i="33"/>
  <c r="F162" i="33"/>
  <c r="E162" i="33"/>
  <c r="D162" i="33"/>
  <c r="C162" i="33"/>
  <c r="O161" i="33"/>
  <c r="N161" i="33"/>
  <c r="M161" i="33"/>
  <c r="L161" i="33"/>
  <c r="F161" i="33"/>
  <c r="E161" i="33"/>
  <c r="D161" i="33"/>
  <c r="C161" i="33"/>
  <c r="O160" i="33"/>
  <c r="N160" i="33"/>
  <c r="M160" i="33"/>
  <c r="L160" i="33"/>
  <c r="F160" i="33"/>
  <c r="E160" i="33"/>
  <c r="D160" i="33"/>
  <c r="C160" i="33"/>
  <c r="O159" i="33"/>
  <c r="N159" i="33"/>
  <c r="M159" i="33"/>
  <c r="L159" i="33"/>
  <c r="F159" i="33"/>
  <c r="E159" i="33"/>
  <c r="D159" i="33"/>
  <c r="C159" i="33"/>
  <c r="O158" i="33"/>
  <c r="N158" i="33"/>
  <c r="M158" i="33"/>
  <c r="L158" i="33"/>
  <c r="F158" i="33"/>
  <c r="E158" i="33"/>
  <c r="D158" i="33"/>
  <c r="C158" i="33"/>
  <c r="O157" i="33"/>
  <c r="N157" i="33"/>
  <c r="M157" i="33"/>
  <c r="L157" i="33"/>
  <c r="F157" i="33"/>
  <c r="E157" i="33"/>
  <c r="D157" i="33"/>
  <c r="C157" i="33"/>
  <c r="Q155" i="33"/>
  <c r="O155" i="33"/>
  <c r="N155" i="33"/>
  <c r="M155" i="33"/>
  <c r="L155" i="33"/>
  <c r="H155" i="33"/>
  <c r="F155" i="33"/>
  <c r="E155" i="33"/>
  <c r="D155" i="33"/>
  <c r="C155" i="33"/>
  <c r="Q154" i="33"/>
  <c r="O154" i="33"/>
  <c r="N154" i="33"/>
  <c r="M154" i="33"/>
  <c r="L154" i="33"/>
  <c r="H154" i="33"/>
  <c r="F154" i="33"/>
  <c r="E154" i="33"/>
  <c r="D154" i="33"/>
  <c r="C154" i="33"/>
  <c r="Q153" i="33"/>
  <c r="O153" i="33"/>
  <c r="N153" i="33"/>
  <c r="M153" i="33"/>
  <c r="L153" i="33"/>
  <c r="H153" i="33"/>
  <c r="F153" i="33"/>
  <c r="E153" i="33"/>
  <c r="D153" i="33"/>
  <c r="C153" i="33"/>
  <c r="O152" i="33"/>
  <c r="N152" i="33"/>
  <c r="M152" i="33"/>
  <c r="L152" i="33"/>
  <c r="F152" i="33"/>
  <c r="E152" i="33"/>
  <c r="D152" i="33"/>
  <c r="C152" i="33"/>
  <c r="O151" i="33"/>
  <c r="N151" i="33"/>
  <c r="M151" i="33"/>
  <c r="L151" i="33"/>
  <c r="F151" i="33"/>
  <c r="E151" i="33"/>
  <c r="D151" i="33"/>
  <c r="C151" i="33"/>
  <c r="O150" i="33"/>
  <c r="N150" i="33"/>
  <c r="M150" i="33"/>
  <c r="L150" i="33"/>
  <c r="F150" i="33"/>
  <c r="E150" i="33"/>
  <c r="D150" i="33"/>
  <c r="C150" i="33"/>
  <c r="O149" i="33"/>
  <c r="N149" i="33"/>
  <c r="M149" i="33"/>
  <c r="L149" i="33"/>
  <c r="F149" i="33"/>
  <c r="E149" i="33"/>
  <c r="D149" i="33"/>
  <c r="C149" i="33"/>
  <c r="O148" i="33"/>
  <c r="N148" i="33"/>
  <c r="M148" i="33"/>
  <c r="L148" i="33"/>
  <c r="F148" i="33"/>
  <c r="E148" i="33"/>
  <c r="D148" i="33"/>
  <c r="C148" i="33"/>
  <c r="O147" i="33"/>
  <c r="N147" i="33"/>
  <c r="M147" i="33"/>
  <c r="L147" i="33"/>
  <c r="F147" i="33"/>
  <c r="E147" i="33"/>
  <c r="D147" i="33"/>
  <c r="C147" i="33"/>
  <c r="O146" i="33"/>
  <c r="N146" i="33"/>
  <c r="M146" i="33"/>
  <c r="L146" i="33"/>
  <c r="F146" i="33"/>
  <c r="E146" i="33"/>
  <c r="D146" i="33"/>
  <c r="C146" i="33"/>
  <c r="O145" i="33"/>
  <c r="N145" i="33"/>
  <c r="M145" i="33"/>
  <c r="L145" i="33"/>
  <c r="F145" i="33"/>
  <c r="E145" i="33"/>
  <c r="D145" i="33"/>
  <c r="C145" i="33"/>
  <c r="O144" i="33"/>
  <c r="N144" i="33"/>
  <c r="M144" i="33"/>
  <c r="L144" i="33"/>
  <c r="F144" i="33"/>
  <c r="E144" i="33"/>
  <c r="D144" i="33"/>
  <c r="C144" i="33"/>
  <c r="Q142" i="33"/>
  <c r="O142" i="33"/>
  <c r="N142" i="33"/>
  <c r="M142" i="33"/>
  <c r="L142" i="33"/>
  <c r="H142" i="33"/>
  <c r="F142" i="33"/>
  <c r="E142" i="33"/>
  <c r="D142" i="33"/>
  <c r="C142" i="33"/>
  <c r="Q141" i="33"/>
  <c r="O141" i="33"/>
  <c r="N141" i="33"/>
  <c r="M141" i="33"/>
  <c r="L141" i="33"/>
  <c r="H141" i="33"/>
  <c r="F141" i="33"/>
  <c r="E141" i="33"/>
  <c r="D141" i="33"/>
  <c r="C141" i="33"/>
  <c r="Q140" i="33"/>
  <c r="O140" i="33"/>
  <c r="N140" i="33"/>
  <c r="M140" i="33"/>
  <c r="L140" i="33"/>
  <c r="H140" i="33"/>
  <c r="F140" i="33"/>
  <c r="E140" i="33"/>
  <c r="D140" i="33"/>
  <c r="C140" i="33"/>
  <c r="O139" i="33"/>
  <c r="N139" i="33"/>
  <c r="M139" i="33"/>
  <c r="L139" i="33"/>
  <c r="F139" i="33"/>
  <c r="E139" i="33"/>
  <c r="D139" i="33"/>
  <c r="C139" i="33"/>
  <c r="O138" i="33"/>
  <c r="N138" i="33"/>
  <c r="M138" i="33"/>
  <c r="L138" i="33"/>
  <c r="F138" i="33"/>
  <c r="E138" i="33"/>
  <c r="D138" i="33"/>
  <c r="C138" i="33"/>
  <c r="O137" i="33"/>
  <c r="N137" i="33"/>
  <c r="M137" i="33"/>
  <c r="L137" i="33"/>
  <c r="F137" i="33"/>
  <c r="E137" i="33"/>
  <c r="D137" i="33"/>
  <c r="C137" i="33"/>
  <c r="O136" i="33"/>
  <c r="N136" i="33"/>
  <c r="M136" i="33"/>
  <c r="L136" i="33"/>
  <c r="F136" i="33"/>
  <c r="E136" i="33"/>
  <c r="D136" i="33"/>
  <c r="C136" i="33"/>
  <c r="O135" i="33"/>
  <c r="N135" i="33"/>
  <c r="M135" i="33"/>
  <c r="L135" i="33"/>
  <c r="F135" i="33"/>
  <c r="E135" i="33"/>
  <c r="D135" i="33"/>
  <c r="C135" i="33"/>
  <c r="O134" i="33"/>
  <c r="N134" i="33"/>
  <c r="M134" i="33"/>
  <c r="L134" i="33"/>
  <c r="F134" i="33"/>
  <c r="E134" i="33"/>
  <c r="D134" i="33"/>
  <c r="C134" i="33"/>
  <c r="O133" i="33"/>
  <c r="N133" i="33"/>
  <c r="M133" i="33"/>
  <c r="L133" i="33"/>
  <c r="F133" i="33"/>
  <c r="E133" i="33"/>
  <c r="D133" i="33"/>
  <c r="C133" i="33"/>
  <c r="Q132" i="33"/>
  <c r="O132" i="33"/>
  <c r="N132" i="33"/>
  <c r="M132" i="33"/>
  <c r="L132" i="33"/>
  <c r="F132" i="33"/>
  <c r="E132" i="33"/>
  <c r="D132" i="33"/>
  <c r="C132" i="33"/>
  <c r="O131" i="33"/>
  <c r="N131" i="33"/>
  <c r="M131" i="33"/>
  <c r="L131" i="33"/>
  <c r="F131" i="33"/>
  <c r="E131" i="33"/>
  <c r="D131" i="33"/>
  <c r="C131" i="33"/>
  <c r="L129" i="33"/>
  <c r="C129" i="33"/>
  <c r="J128" i="33"/>
  <c r="T124" i="33"/>
  <c r="P262" i="33" s="1"/>
  <c r="M124" i="33"/>
  <c r="P261" i="33" s="1"/>
  <c r="F124" i="33"/>
  <c r="P260" i="33" s="1"/>
  <c r="T123" i="33"/>
  <c r="P249" i="33" s="1"/>
  <c r="M123" i="33"/>
  <c r="P248" i="33" s="1"/>
  <c r="F123" i="33"/>
  <c r="P247" i="33" s="1"/>
  <c r="T122" i="33"/>
  <c r="P236" i="33" s="1"/>
  <c r="M122" i="33"/>
  <c r="P235" i="33" s="1"/>
  <c r="F122" i="33"/>
  <c r="P234" i="33" s="1"/>
  <c r="T121" i="33"/>
  <c r="P223" i="33" s="1"/>
  <c r="M121" i="33"/>
  <c r="P222" i="33" s="1"/>
  <c r="F121" i="33"/>
  <c r="P221" i="33" s="1"/>
  <c r="S120" i="33"/>
  <c r="R120" i="33"/>
  <c r="Q120" i="33"/>
  <c r="L120" i="33"/>
  <c r="K120" i="33"/>
  <c r="J120" i="33"/>
  <c r="E120" i="33"/>
  <c r="D120" i="33"/>
  <c r="C120" i="33"/>
  <c r="P119" i="33"/>
  <c r="T118" i="33"/>
  <c r="G262" i="33" s="1"/>
  <c r="M118" i="33"/>
  <c r="G261" i="33" s="1"/>
  <c r="F118" i="33"/>
  <c r="G260" i="33" s="1"/>
  <c r="T117" i="33"/>
  <c r="G249" i="33" s="1"/>
  <c r="M117" i="33"/>
  <c r="G248" i="33" s="1"/>
  <c r="F117" i="33"/>
  <c r="G247" i="33" s="1"/>
  <c r="T116" i="33"/>
  <c r="G236" i="33" s="1"/>
  <c r="M116" i="33"/>
  <c r="G235" i="33" s="1"/>
  <c r="F116" i="33"/>
  <c r="G234" i="33" s="1"/>
  <c r="T115" i="33"/>
  <c r="G223" i="33" s="1"/>
  <c r="M115" i="33"/>
  <c r="G222" i="33" s="1"/>
  <c r="F115" i="33"/>
  <c r="G221" i="33" s="1"/>
  <c r="S114" i="33"/>
  <c r="R114" i="33"/>
  <c r="Q114" i="33"/>
  <c r="L114" i="33"/>
  <c r="K114" i="33"/>
  <c r="J114" i="33"/>
  <c r="E114" i="33"/>
  <c r="D114" i="33"/>
  <c r="C114" i="33"/>
  <c r="P113" i="33"/>
  <c r="T112" i="33"/>
  <c r="P207" i="33" s="1"/>
  <c r="M112" i="33"/>
  <c r="P206" i="33" s="1"/>
  <c r="F112" i="33"/>
  <c r="P205" i="33" s="1"/>
  <c r="T111" i="33"/>
  <c r="P194" i="33" s="1"/>
  <c r="M111" i="33"/>
  <c r="P193" i="33" s="1"/>
  <c r="F111" i="33"/>
  <c r="P192" i="33" s="1"/>
  <c r="T110" i="33"/>
  <c r="P181" i="33" s="1"/>
  <c r="M110" i="33"/>
  <c r="P180" i="33" s="1"/>
  <c r="F110" i="33"/>
  <c r="P179" i="33" s="1"/>
  <c r="T109" i="33"/>
  <c r="P168" i="33" s="1"/>
  <c r="M109" i="33"/>
  <c r="P167" i="33" s="1"/>
  <c r="F109" i="33"/>
  <c r="P166" i="33" s="1"/>
  <c r="T108" i="33"/>
  <c r="P155" i="33" s="1"/>
  <c r="M108" i="33"/>
  <c r="P154" i="33" s="1"/>
  <c r="F108" i="33"/>
  <c r="P153" i="33" s="1"/>
  <c r="T107" i="33"/>
  <c r="P142" i="33" s="1"/>
  <c r="M107" i="33"/>
  <c r="P141" i="33" s="1"/>
  <c r="F107" i="33"/>
  <c r="P140" i="33" s="1"/>
  <c r="S106" i="33"/>
  <c r="R106" i="33"/>
  <c r="Q106" i="33"/>
  <c r="L106" i="33"/>
  <c r="K106" i="33"/>
  <c r="J106" i="33"/>
  <c r="E106" i="33"/>
  <c r="D106" i="33"/>
  <c r="C106" i="33"/>
  <c r="P105" i="33"/>
  <c r="I105" i="33"/>
  <c r="T104" i="33"/>
  <c r="G207" i="33" s="1"/>
  <c r="M104" i="33"/>
  <c r="G206" i="33" s="1"/>
  <c r="F104" i="33"/>
  <c r="G205" i="33" s="1"/>
  <c r="T103" i="33"/>
  <c r="G194" i="33" s="1"/>
  <c r="M103" i="33"/>
  <c r="G193" i="33" s="1"/>
  <c r="F103" i="33"/>
  <c r="G192" i="33" s="1"/>
  <c r="T102" i="33"/>
  <c r="G181" i="33" s="1"/>
  <c r="M102" i="33"/>
  <c r="G180" i="33" s="1"/>
  <c r="F102" i="33"/>
  <c r="G179" i="33" s="1"/>
  <c r="T101" i="33"/>
  <c r="G168" i="33" s="1"/>
  <c r="M101" i="33"/>
  <c r="G167" i="33" s="1"/>
  <c r="F101" i="33"/>
  <c r="G166" i="33" s="1"/>
  <c r="T100" i="33"/>
  <c r="G155" i="33" s="1"/>
  <c r="M100" i="33"/>
  <c r="G154" i="33" s="1"/>
  <c r="F100" i="33"/>
  <c r="G153" i="33" s="1"/>
  <c r="T99" i="33"/>
  <c r="G142" i="33" s="1"/>
  <c r="M99" i="33"/>
  <c r="G141" i="33" s="1"/>
  <c r="F99" i="33"/>
  <c r="G140" i="33" s="1"/>
  <c r="P97" i="33"/>
  <c r="I97" i="33"/>
  <c r="U93" i="33"/>
  <c r="Q259" i="33" s="1"/>
  <c r="T93" i="33"/>
  <c r="P259" i="33" s="1"/>
  <c r="N93" i="33"/>
  <c r="Q258" i="33" s="1"/>
  <c r="M93" i="33"/>
  <c r="P258" i="33" s="1"/>
  <c r="G93" i="33"/>
  <c r="Q257" i="33" s="1"/>
  <c r="F93" i="33"/>
  <c r="P257" i="33" s="1"/>
  <c r="U92" i="33"/>
  <c r="Q246" i="33" s="1"/>
  <c r="T92" i="33"/>
  <c r="P246" i="33" s="1"/>
  <c r="N92" i="33"/>
  <c r="Q245" i="33" s="1"/>
  <c r="M92" i="33"/>
  <c r="P245" i="33" s="1"/>
  <c r="G92" i="33"/>
  <c r="Q244" i="33" s="1"/>
  <c r="F92" i="33"/>
  <c r="P244" i="33" s="1"/>
  <c r="U91" i="33"/>
  <c r="Q233" i="33" s="1"/>
  <c r="T91" i="33"/>
  <c r="P233" i="33" s="1"/>
  <c r="N91" i="33"/>
  <c r="Q232" i="33" s="1"/>
  <c r="M91" i="33"/>
  <c r="P232" i="33" s="1"/>
  <c r="G91" i="33"/>
  <c r="Q231" i="33" s="1"/>
  <c r="F91" i="33"/>
  <c r="P231" i="33" s="1"/>
  <c r="U90" i="33"/>
  <c r="Q220" i="33" s="1"/>
  <c r="T90" i="33"/>
  <c r="P220" i="33" s="1"/>
  <c r="N90" i="33"/>
  <c r="Q219" i="33" s="1"/>
  <c r="M90" i="33"/>
  <c r="P219" i="33" s="1"/>
  <c r="G90" i="33"/>
  <c r="Q218" i="33" s="1"/>
  <c r="F90" i="33"/>
  <c r="P218" i="33" s="1"/>
  <c r="S89" i="33"/>
  <c r="R89" i="33"/>
  <c r="Q89" i="33"/>
  <c r="L89" i="33"/>
  <c r="K89" i="33"/>
  <c r="J89" i="33"/>
  <c r="E89" i="33"/>
  <c r="D89" i="33"/>
  <c r="C89" i="33"/>
  <c r="P88" i="33"/>
  <c r="U87" i="33"/>
  <c r="H259" i="33" s="1"/>
  <c r="T87" i="33"/>
  <c r="G259" i="33" s="1"/>
  <c r="N87" i="33"/>
  <c r="H258" i="33" s="1"/>
  <c r="M87" i="33"/>
  <c r="G258" i="33" s="1"/>
  <c r="G87" i="33"/>
  <c r="H257" i="33" s="1"/>
  <c r="F87" i="33"/>
  <c r="G257" i="33" s="1"/>
  <c r="U86" i="33"/>
  <c r="H246" i="33" s="1"/>
  <c r="T86" i="33"/>
  <c r="G246" i="33" s="1"/>
  <c r="N86" i="33"/>
  <c r="H245" i="33" s="1"/>
  <c r="M86" i="33"/>
  <c r="G245" i="33" s="1"/>
  <c r="G86" i="33"/>
  <c r="H244" i="33" s="1"/>
  <c r="F86" i="33"/>
  <c r="G244" i="33" s="1"/>
  <c r="U85" i="33"/>
  <c r="H233" i="33" s="1"/>
  <c r="T85" i="33"/>
  <c r="G233" i="33" s="1"/>
  <c r="N85" i="33"/>
  <c r="H232" i="33" s="1"/>
  <c r="M85" i="33"/>
  <c r="G232" i="33" s="1"/>
  <c r="G85" i="33"/>
  <c r="H231" i="33" s="1"/>
  <c r="F85" i="33"/>
  <c r="G231" i="33" s="1"/>
  <c r="U84" i="33"/>
  <c r="H220" i="33" s="1"/>
  <c r="T84" i="33"/>
  <c r="G220" i="33" s="1"/>
  <c r="N84" i="33"/>
  <c r="H219" i="33" s="1"/>
  <c r="M84" i="33"/>
  <c r="G219" i="33" s="1"/>
  <c r="G84" i="33"/>
  <c r="H218" i="33" s="1"/>
  <c r="F84" i="33"/>
  <c r="G218" i="33" s="1"/>
  <c r="S83" i="33"/>
  <c r="R83" i="33"/>
  <c r="Q83" i="33"/>
  <c r="L83" i="33"/>
  <c r="K83" i="33"/>
  <c r="J83" i="33"/>
  <c r="E83" i="33"/>
  <c r="D83" i="33"/>
  <c r="C83" i="33"/>
  <c r="P82" i="33"/>
  <c r="U81" i="33"/>
  <c r="Q204" i="33" s="1"/>
  <c r="T81" i="33"/>
  <c r="P204" i="33" s="1"/>
  <c r="N81" i="33"/>
  <c r="Q203" i="33" s="1"/>
  <c r="M81" i="33"/>
  <c r="P203" i="33" s="1"/>
  <c r="G81" i="33"/>
  <c r="Q202" i="33" s="1"/>
  <c r="F81" i="33"/>
  <c r="P202" i="33" s="1"/>
  <c r="U80" i="33"/>
  <c r="Q191" i="33" s="1"/>
  <c r="T80" i="33"/>
  <c r="P191" i="33" s="1"/>
  <c r="N80" i="33"/>
  <c r="Q190" i="33" s="1"/>
  <c r="M80" i="33"/>
  <c r="P190" i="33" s="1"/>
  <c r="G80" i="33"/>
  <c r="Q189" i="33" s="1"/>
  <c r="F80" i="33"/>
  <c r="P189" i="33" s="1"/>
  <c r="U79" i="33"/>
  <c r="Q178" i="33" s="1"/>
  <c r="T79" i="33"/>
  <c r="P178" i="33" s="1"/>
  <c r="N79" i="33"/>
  <c r="Q177" i="33" s="1"/>
  <c r="M79" i="33"/>
  <c r="P177" i="33" s="1"/>
  <c r="G79" i="33"/>
  <c r="Q176" i="33" s="1"/>
  <c r="F79" i="33"/>
  <c r="P176" i="33" s="1"/>
  <c r="U78" i="33"/>
  <c r="Q165" i="33" s="1"/>
  <c r="T78" i="33"/>
  <c r="P165" i="33" s="1"/>
  <c r="N78" i="33"/>
  <c r="Q164" i="33" s="1"/>
  <c r="M78" i="33"/>
  <c r="P164" i="33" s="1"/>
  <c r="G78" i="33"/>
  <c r="Q163" i="33" s="1"/>
  <c r="F78" i="33"/>
  <c r="P163" i="33" s="1"/>
  <c r="U77" i="33"/>
  <c r="Q152" i="33" s="1"/>
  <c r="T77" i="33"/>
  <c r="P152" i="33" s="1"/>
  <c r="N77" i="33"/>
  <c r="Q151" i="33" s="1"/>
  <c r="M77" i="33"/>
  <c r="P151" i="33" s="1"/>
  <c r="G77" i="33"/>
  <c r="Q150" i="33" s="1"/>
  <c r="F77" i="33"/>
  <c r="P150" i="33" s="1"/>
  <c r="U76" i="33"/>
  <c r="Q139" i="33" s="1"/>
  <c r="T76" i="33"/>
  <c r="P139" i="33" s="1"/>
  <c r="N76" i="33"/>
  <c r="Q138" i="33" s="1"/>
  <c r="M76" i="33"/>
  <c r="P138" i="33" s="1"/>
  <c r="G76" i="33"/>
  <c r="Q137" i="33" s="1"/>
  <c r="F76" i="33"/>
  <c r="P137" i="33" s="1"/>
  <c r="S75" i="33"/>
  <c r="R75" i="33"/>
  <c r="Q75" i="33"/>
  <c r="L75" i="33"/>
  <c r="K75" i="33"/>
  <c r="J75" i="33"/>
  <c r="E75" i="33"/>
  <c r="D75" i="33"/>
  <c r="C75" i="33"/>
  <c r="P74" i="33"/>
  <c r="I74" i="33"/>
  <c r="U73" i="33"/>
  <c r="H204" i="33" s="1"/>
  <c r="T73" i="33"/>
  <c r="G204" i="33" s="1"/>
  <c r="N73" i="33"/>
  <c r="H203" i="33" s="1"/>
  <c r="M73" i="33"/>
  <c r="G203" i="33" s="1"/>
  <c r="G73" i="33"/>
  <c r="H202" i="33" s="1"/>
  <c r="F73" i="33"/>
  <c r="G202" i="33" s="1"/>
  <c r="U72" i="33"/>
  <c r="H191" i="33" s="1"/>
  <c r="T72" i="33"/>
  <c r="G191" i="33" s="1"/>
  <c r="N72" i="33"/>
  <c r="H190" i="33" s="1"/>
  <c r="M72" i="33"/>
  <c r="G190" i="33" s="1"/>
  <c r="G72" i="33"/>
  <c r="H189" i="33" s="1"/>
  <c r="F72" i="33"/>
  <c r="G189" i="33" s="1"/>
  <c r="U71" i="33"/>
  <c r="H178" i="33" s="1"/>
  <c r="T71" i="33"/>
  <c r="G178" i="33" s="1"/>
  <c r="N71" i="33"/>
  <c r="H177" i="33" s="1"/>
  <c r="M71" i="33"/>
  <c r="G177" i="33" s="1"/>
  <c r="G71" i="33"/>
  <c r="H176" i="33" s="1"/>
  <c r="F71" i="33"/>
  <c r="G176" i="33" s="1"/>
  <c r="U70" i="33"/>
  <c r="H165" i="33" s="1"/>
  <c r="T70" i="33"/>
  <c r="G165" i="33" s="1"/>
  <c r="N70" i="33"/>
  <c r="H164" i="33" s="1"/>
  <c r="M70" i="33"/>
  <c r="G164" i="33" s="1"/>
  <c r="G70" i="33"/>
  <c r="H163" i="33" s="1"/>
  <c r="F70" i="33"/>
  <c r="G163" i="33" s="1"/>
  <c r="U69" i="33"/>
  <c r="H152" i="33" s="1"/>
  <c r="T69" i="33"/>
  <c r="G152" i="33" s="1"/>
  <c r="N69" i="33"/>
  <c r="H151" i="33" s="1"/>
  <c r="M69" i="33"/>
  <c r="G151" i="33" s="1"/>
  <c r="G69" i="33"/>
  <c r="H150" i="33" s="1"/>
  <c r="F69" i="33"/>
  <c r="G150" i="33" s="1"/>
  <c r="U68" i="33"/>
  <c r="H139" i="33" s="1"/>
  <c r="T68" i="33"/>
  <c r="G139" i="33" s="1"/>
  <c r="N68" i="33"/>
  <c r="H138" i="33" s="1"/>
  <c r="M68" i="33"/>
  <c r="G138" i="33" s="1"/>
  <c r="G68" i="33"/>
  <c r="H137" i="33" s="1"/>
  <c r="F68" i="33"/>
  <c r="G137" i="33" s="1"/>
  <c r="P66" i="33"/>
  <c r="I66" i="33"/>
  <c r="U62" i="33"/>
  <c r="Q256" i="33" s="1"/>
  <c r="T62" i="33"/>
  <c r="P256" i="33" s="1"/>
  <c r="N62" i="33"/>
  <c r="Q255" i="33" s="1"/>
  <c r="M62" i="33"/>
  <c r="P255" i="33" s="1"/>
  <c r="G62" i="33"/>
  <c r="Q254" i="33" s="1"/>
  <c r="F62" i="33"/>
  <c r="P254" i="33" s="1"/>
  <c r="U61" i="33"/>
  <c r="Q243" i="33" s="1"/>
  <c r="T61" i="33"/>
  <c r="P243" i="33" s="1"/>
  <c r="N61" i="33"/>
  <c r="Q242" i="33" s="1"/>
  <c r="M61" i="33"/>
  <c r="P242" i="33" s="1"/>
  <c r="G61" i="33"/>
  <c r="Q241" i="33" s="1"/>
  <c r="F61" i="33"/>
  <c r="P241" i="33" s="1"/>
  <c r="U60" i="33"/>
  <c r="Q230" i="33" s="1"/>
  <c r="T60" i="33"/>
  <c r="P230" i="33" s="1"/>
  <c r="N60" i="33"/>
  <c r="Q229" i="33" s="1"/>
  <c r="M60" i="33"/>
  <c r="P229" i="33" s="1"/>
  <c r="G60" i="33"/>
  <c r="Q228" i="33" s="1"/>
  <c r="F60" i="33"/>
  <c r="P228" i="33" s="1"/>
  <c r="U59" i="33"/>
  <c r="Q217" i="33" s="1"/>
  <c r="T59" i="33"/>
  <c r="P217" i="33" s="1"/>
  <c r="N59" i="33"/>
  <c r="Q216" i="33" s="1"/>
  <c r="M59" i="33"/>
  <c r="P216" i="33" s="1"/>
  <c r="G59" i="33"/>
  <c r="Q215" i="33" s="1"/>
  <c r="F59" i="33"/>
  <c r="P215" i="33" s="1"/>
  <c r="S58" i="33"/>
  <c r="R58" i="33"/>
  <c r="Q58" i="33"/>
  <c r="L58" i="33"/>
  <c r="K58" i="33"/>
  <c r="J58" i="33"/>
  <c r="E58" i="33"/>
  <c r="D58" i="33"/>
  <c r="C58" i="33"/>
  <c r="B57" i="33"/>
  <c r="I57" i="33" s="1"/>
  <c r="P57" i="33" s="1"/>
  <c r="U56" i="33"/>
  <c r="H256" i="33" s="1"/>
  <c r="T56" i="33"/>
  <c r="G256" i="33" s="1"/>
  <c r="N56" i="33"/>
  <c r="H255" i="33" s="1"/>
  <c r="M56" i="33"/>
  <c r="G255" i="33" s="1"/>
  <c r="G56" i="33"/>
  <c r="H254" i="33" s="1"/>
  <c r="F56" i="33"/>
  <c r="G254" i="33" s="1"/>
  <c r="U55" i="33"/>
  <c r="H243" i="33" s="1"/>
  <c r="T55" i="33"/>
  <c r="G243" i="33" s="1"/>
  <c r="N55" i="33"/>
  <c r="H242" i="33" s="1"/>
  <c r="M55" i="33"/>
  <c r="G242" i="33" s="1"/>
  <c r="G55" i="33"/>
  <c r="H241" i="33" s="1"/>
  <c r="F55" i="33"/>
  <c r="G241" i="33" s="1"/>
  <c r="U54" i="33"/>
  <c r="H230" i="33" s="1"/>
  <c r="T54" i="33"/>
  <c r="G230" i="33" s="1"/>
  <c r="N54" i="33"/>
  <c r="H229" i="33" s="1"/>
  <c r="M54" i="33"/>
  <c r="G229" i="33" s="1"/>
  <c r="G54" i="33"/>
  <c r="H228" i="33" s="1"/>
  <c r="F54" i="33"/>
  <c r="G228" i="33" s="1"/>
  <c r="U53" i="33"/>
  <c r="H217" i="33" s="1"/>
  <c r="T53" i="33"/>
  <c r="G217" i="33" s="1"/>
  <c r="N53" i="33"/>
  <c r="H216" i="33" s="1"/>
  <c r="M53" i="33"/>
  <c r="G216" i="33" s="1"/>
  <c r="G53" i="33"/>
  <c r="H215" i="33" s="1"/>
  <c r="F53" i="33"/>
  <c r="G215" i="33" s="1"/>
  <c r="S52" i="33"/>
  <c r="R52" i="33"/>
  <c r="Q52" i="33"/>
  <c r="L52" i="33"/>
  <c r="K52" i="33"/>
  <c r="J52" i="33"/>
  <c r="E52" i="33"/>
  <c r="D52" i="33"/>
  <c r="C52" i="33"/>
  <c r="B51" i="33"/>
  <c r="I51" i="33" s="1"/>
  <c r="P51" i="33" s="1"/>
  <c r="U50" i="33"/>
  <c r="Q201" i="33" s="1"/>
  <c r="T50" i="33"/>
  <c r="P201" i="33" s="1"/>
  <c r="N50" i="33"/>
  <c r="Q200" i="33" s="1"/>
  <c r="M50" i="33"/>
  <c r="P200" i="33" s="1"/>
  <c r="G50" i="33"/>
  <c r="Q199" i="33" s="1"/>
  <c r="F50" i="33"/>
  <c r="P199" i="33" s="1"/>
  <c r="U49" i="33"/>
  <c r="Q188" i="33" s="1"/>
  <c r="T49" i="33"/>
  <c r="P188" i="33" s="1"/>
  <c r="N49" i="33"/>
  <c r="Q187" i="33" s="1"/>
  <c r="M49" i="33"/>
  <c r="P187" i="33" s="1"/>
  <c r="G49" i="33"/>
  <c r="Q186" i="33" s="1"/>
  <c r="F49" i="33"/>
  <c r="P186" i="33" s="1"/>
  <c r="U48" i="33"/>
  <c r="Q175" i="33" s="1"/>
  <c r="T48" i="33"/>
  <c r="P175" i="33" s="1"/>
  <c r="N48" i="33"/>
  <c r="Q174" i="33" s="1"/>
  <c r="M48" i="33"/>
  <c r="P174" i="33" s="1"/>
  <c r="G48" i="33"/>
  <c r="Q173" i="33" s="1"/>
  <c r="F48" i="33"/>
  <c r="P173" i="33" s="1"/>
  <c r="U47" i="33"/>
  <c r="Q162" i="33" s="1"/>
  <c r="T47" i="33"/>
  <c r="P162" i="33" s="1"/>
  <c r="N47" i="33"/>
  <c r="Q161" i="33" s="1"/>
  <c r="M47" i="33"/>
  <c r="P161" i="33" s="1"/>
  <c r="G47" i="33"/>
  <c r="Q160" i="33" s="1"/>
  <c r="F47" i="33"/>
  <c r="P160" i="33" s="1"/>
  <c r="U46" i="33"/>
  <c r="Q149" i="33" s="1"/>
  <c r="T46" i="33"/>
  <c r="P149" i="33" s="1"/>
  <c r="N46" i="33"/>
  <c r="Q148" i="33" s="1"/>
  <c r="M46" i="33"/>
  <c r="P148" i="33" s="1"/>
  <c r="G46" i="33"/>
  <c r="Q147" i="33" s="1"/>
  <c r="F46" i="33"/>
  <c r="P147" i="33" s="1"/>
  <c r="U45" i="33"/>
  <c r="Q136" i="33" s="1"/>
  <c r="T45" i="33"/>
  <c r="P136" i="33" s="1"/>
  <c r="N45" i="33"/>
  <c r="Q135" i="33" s="1"/>
  <c r="M45" i="33"/>
  <c r="P135" i="33" s="1"/>
  <c r="G45" i="33"/>
  <c r="Q134" i="33" s="1"/>
  <c r="F45" i="33"/>
  <c r="P134" i="33" s="1"/>
  <c r="S44" i="33"/>
  <c r="R44" i="33"/>
  <c r="Q44" i="33"/>
  <c r="L44" i="33"/>
  <c r="K44" i="33"/>
  <c r="J44" i="33"/>
  <c r="E44" i="33"/>
  <c r="D44" i="33"/>
  <c r="C44" i="33"/>
  <c r="B43" i="33"/>
  <c r="I43" i="33" s="1"/>
  <c r="P43" i="33" s="1"/>
  <c r="U42" i="33"/>
  <c r="H201" i="33" s="1"/>
  <c r="T42" i="33"/>
  <c r="G201" i="33" s="1"/>
  <c r="N42" i="33"/>
  <c r="H200" i="33" s="1"/>
  <c r="M42" i="33"/>
  <c r="G200" i="33" s="1"/>
  <c r="G42" i="33"/>
  <c r="H199" i="33" s="1"/>
  <c r="F42" i="33"/>
  <c r="G199" i="33" s="1"/>
  <c r="U41" i="33"/>
  <c r="H188" i="33" s="1"/>
  <c r="T41" i="33"/>
  <c r="G188" i="33" s="1"/>
  <c r="N41" i="33"/>
  <c r="H187" i="33" s="1"/>
  <c r="M41" i="33"/>
  <c r="G187" i="33" s="1"/>
  <c r="G41" i="33"/>
  <c r="H186" i="33" s="1"/>
  <c r="F41" i="33"/>
  <c r="G186" i="33" s="1"/>
  <c r="U40" i="33"/>
  <c r="H175" i="33" s="1"/>
  <c r="T40" i="33"/>
  <c r="G175" i="33" s="1"/>
  <c r="N40" i="33"/>
  <c r="H174" i="33" s="1"/>
  <c r="M40" i="33"/>
  <c r="G174" i="33" s="1"/>
  <c r="G40" i="33"/>
  <c r="H173" i="33" s="1"/>
  <c r="F40" i="33"/>
  <c r="G173" i="33" s="1"/>
  <c r="U39" i="33"/>
  <c r="H162" i="33" s="1"/>
  <c r="T39" i="33"/>
  <c r="G162" i="33" s="1"/>
  <c r="N39" i="33"/>
  <c r="H161" i="33" s="1"/>
  <c r="M39" i="33"/>
  <c r="G161" i="33" s="1"/>
  <c r="G39" i="33"/>
  <c r="H160" i="33" s="1"/>
  <c r="F39" i="33"/>
  <c r="G160" i="33" s="1"/>
  <c r="U38" i="33"/>
  <c r="H149" i="33" s="1"/>
  <c r="T38" i="33"/>
  <c r="G149" i="33" s="1"/>
  <c r="N38" i="33"/>
  <c r="H148" i="33" s="1"/>
  <c r="M38" i="33"/>
  <c r="G148" i="33" s="1"/>
  <c r="G38" i="33"/>
  <c r="H147" i="33" s="1"/>
  <c r="F38" i="33"/>
  <c r="G147" i="33" s="1"/>
  <c r="U37" i="33"/>
  <c r="H136" i="33" s="1"/>
  <c r="T37" i="33"/>
  <c r="G136" i="33" s="1"/>
  <c r="N37" i="33"/>
  <c r="H135" i="33" s="1"/>
  <c r="M37" i="33"/>
  <c r="G135" i="33" s="1"/>
  <c r="G37" i="33"/>
  <c r="H134" i="33" s="1"/>
  <c r="F37" i="33"/>
  <c r="G134" i="33" s="1"/>
  <c r="B35" i="33"/>
  <c r="I35" i="33" s="1"/>
  <c r="P35" i="33" s="1"/>
  <c r="U31" i="33"/>
  <c r="Q253" i="33" s="1"/>
  <c r="T31" i="33"/>
  <c r="P253" i="33" s="1"/>
  <c r="N31" i="33"/>
  <c r="Q252" i="33" s="1"/>
  <c r="M31" i="33"/>
  <c r="P252" i="33" s="1"/>
  <c r="G31" i="33"/>
  <c r="Q251" i="33" s="1"/>
  <c r="F31" i="33"/>
  <c r="P251" i="33" s="1"/>
  <c r="U30" i="33"/>
  <c r="Q240" i="33" s="1"/>
  <c r="T30" i="33"/>
  <c r="P240" i="33" s="1"/>
  <c r="N30" i="33"/>
  <c r="Q239" i="33" s="1"/>
  <c r="M30" i="33"/>
  <c r="P239" i="33" s="1"/>
  <c r="G30" i="33"/>
  <c r="Q238" i="33" s="1"/>
  <c r="F30" i="33"/>
  <c r="P238" i="33" s="1"/>
  <c r="U29" i="33"/>
  <c r="Q227" i="33" s="1"/>
  <c r="T29" i="33"/>
  <c r="P227" i="33" s="1"/>
  <c r="N29" i="33"/>
  <c r="Q226" i="33" s="1"/>
  <c r="M29" i="33"/>
  <c r="P226" i="33" s="1"/>
  <c r="G29" i="33"/>
  <c r="Q225" i="33" s="1"/>
  <c r="F29" i="33"/>
  <c r="P225" i="33" s="1"/>
  <c r="U28" i="33"/>
  <c r="Q214" i="33" s="1"/>
  <c r="T28" i="33"/>
  <c r="P214" i="33" s="1"/>
  <c r="N28" i="33"/>
  <c r="Q213" i="33" s="1"/>
  <c r="M28" i="33"/>
  <c r="P213" i="33" s="1"/>
  <c r="G28" i="33"/>
  <c r="Q212" i="33" s="1"/>
  <c r="F28" i="33"/>
  <c r="P212" i="33" s="1"/>
  <c r="S27" i="33"/>
  <c r="R27" i="33"/>
  <c r="Q27" i="33"/>
  <c r="L27" i="33"/>
  <c r="K27" i="33"/>
  <c r="J27" i="33"/>
  <c r="E27" i="33"/>
  <c r="D27" i="33"/>
  <c r="C27" i="33"/>
  <c r="P26" i="33"/>
  <c r="I26" i="33"/>
  <c r="U25" i="33"/>
  <c r="H253" i="33" s="1"/>
  <c r="T25" i="33"/>
  <c r="G253" i="33" s="1"/>
  <c r="N25" i="33"/>
  <c r="H252" i="33" s="1"/>
  <c r="M25" i="33"/>
  <c r="G252" i="33" s="1"/>
  <c r="F25" i="33"/>
  <c r="G251" i="33" s="1"/>
  <c r="U24" i="33"/>
  <c r="H240" i="33" s="1"/>
  <c r="T24" i="33"/>
  <c r="G240" i="33" s="1"/>
  <c r="N24" i="33"/>
  <c r="H239" i="33" s="1"/>
  <c r="M24" i="33"/>
  <c r="G239" i="33" s="1"/>
  <c r="F24" i="33"/>
  <c r="G238" i="33" s="1"/>
  <c r="U23" i="33"/>
  <c r="H227" i="33" s="1"/>
  <c r="T23" i="33"/>
  <c r="G227" i="33" s="1"/>
  <c r="N23" i="33"/>
  <c r="H226" i="33" s="1"/>
  <c r="M23" i="33"/>
  <c r="G226" i="33" s="1"/>
  <c r="F23" i="33"/>
  <c r="G225" i="33" s="1"/>
  <c r="U22" i="33"/>
  <c r="H214" i="33" s="1"/>
  <c r="T22" i="33"/>
  <c r="G214" i="33" s="1"/>
  <c r="N22" i="33"/>
  <c r="H213" i="33" s="1"/>
  <c r="M22" i="33"/>
  <c r="G213" i="33" s="1"/>
  <c r="F22" i="33"/>
  <c r="G212" i="33" s="1"/>
  <c r="S21" i="33"/>
  <c r="R21" i="33"/>
  <c r="Q21" i="33"/>
  <c r="L21" i="33"/>
  <c r="K21" i="33"/>
  <c r="J21" i="33"/>
  <c r="E21" i="33"/>
  <c r="D21" i="33"/>
  <c r="C21" i="33"/>
  <c r="P20" i="33"/>
  <c r="I20" i="33"/>
  <c r="U19" i="33"/>
  <c r="Q198" i="33" s="1"/>
  <c r="T19" i="33"/>
  <c r="P198" i="33" s="1"/>
  <c r="M19" i="33"/>
  <c r="P197" i="33" s="1"/>
  <c r="G19" i="33"/>
  <c r="Q196" i="33" s="1"/>
  <c r="F19" i="33"/>
  <c r="P196" i="33" s="1"/>
  <c r="U18" i="33"/>
  <c r="Q185" i="33" s="1"/>
  <c r="T18" i="33"/>
  <c r="P185" i="33" s="1"/>
  <c r="N18" i="33"/>
  <c r="Q184" i="33" s="1"/>
  <c r="M18" i="33"/>
  <c r="P184" i="33" s="1"/>
  <c r="G18" i="33"/>
  <c r="Q183" i="33" s="1"/>
  <c r="F18" i="33"/>
  <c r="P183" i="33" s="1"/>
  <c r="U17" i="33"/>
  <c r="Q172" i="33" s="1"/>
  <c r="T17" i="33"/>
  <c r="P172" i="33" s="1"/>
  <c r="N17" i="33"/>
  <c r="Q171" i="33" s="1"/>
  <c r="M17" i="33"/>
  <c r="P171" i="33" s="1"/>
  <c r="G17" i="33"/>
  <c r="Q170" i="33" s="1"/>
  <c r="F17" i="33"/>
  <c r="P170" i="33" s="1"/>
  <c r="U16" i="33"/>
  <c r="Q159" i="33" s="1"/>
  <c r="T16" i="33"/>
  <c r="P159" i="33" s="1"/>
  <c r="N16" i="33"/>
  <c r="Q158" i="33" s="1"/>
  <c r="M16" i="33"/>
  <c r="P158" i="33" s="1"/>
  <c r="G16" i="33"/>
  <c r="Q157" i="33" s="1"/>
  <c r="F16" i="33"/>
  <c r="P157" i="33" s="1"/>
  <c r="U15" i="33"/>
  <c r="Q146" i="33" s="1"/>
  <c r="T15" i="33"/>
  <c r="P146" i="33" s="1"/>
  <c r="N15" i="33"/>
  <c r="Q145" i="33" s="1"/>
  <c r="M15" i="33"/>
  <c r="P145" i="33" s="1"/>
  <c r="G15" i="33"/>
  <c r="Q144" i="33" s="1"/>
  <c r="F15" i="33"/>
  <c r="P144" i="33" s="1"/>
  <c r="U14" i="33"/>
  <c r="Q133" i="33" s="1"/>
  <c r="T14" i="33"/>
  <c r="P133" i="33" s="1"/>
  <c r="M14" i="33"/>
  <c r="P132" i="33" s="1"/>
  <c r="G14" i="33"/>
  <c r="Q131" i="33" s="1"/>
  <c r="F14" i="33"/>
  <c r="P131" i="33" s="1"/>
  <c r="S13" i="33"/>
  <c r="R13" i="33"/>
  <c r="Q13" i="33"/>
  <c r="L13" i="33"/>
  <c r="K13" i="33"/>
  <c r="J13" i="33"/>
  <c r="E13" i="33"/>
  <c r="D13" i="33"/>
  <c r="C13" i="33"/>
  <c r="P12" i="33"/>
  <c r="I12" i="33"/>
  <c r="U11" i="33"/>
  <c r="H198" i="33" s="1"/>
  <c r="T11" i="33"/>
  <c r="G198" i="33" s="1"/>
  <c r="M11" i="33"/>
  <c r="G197" i="33" s="1"/>
  <c r="G11" i="33"/>
  <c r="H196" i="33" s="1"/>
  <c r="F11" i="33"/>
  <c r="G196" i="33" s="1"/>
  <c r="U10" i="33"/>
  <c r="H185" i="33" s="1"/>
  <c r="T10" i="33"/>
  <c r="G185" i="33" s="1"/>
  <c r="N10" i="33"/>
  <c r="H184" i="33" s="1"/>
  <c r="M10" i="33"/>
  <c r="G184" i="33" s="1"/>
  <c r="G10" i="33"/>
  <c r="H183" i="33" s="1"/>
  <c r="F10" i="33"/>
  <c r="G183" i="33" s="1"/>
  <c r="U9" i="33"/>
  <c r="H172" i="33" s="1"/>
  <c r="T9" i="33"/>
  <c r="G172" i="33" s="1"/>
  <c r="N9" i="33"/>
  <c r="H171" i="33" s="1"/>
  <c r="M9" i="33"/>
  <c r="G171" i="33" s="1"/>
  <c r="G9" i="33"/>
  <c r="H170" i="33" s="1"/>
  <c r="F9" i="33"/>
  <c r="G170" i="33" s="1"/>
  <c r="U8" i="33"/>
  <c r="H159" i="33" s="1"/>
  <c r="T8" i="33"/>
  <c r="G159" i="33" s="1"/>
  <c r="N8" i="33"/>
  <c r="H158" i="33" s="1"/>
  <c r="M8" i="33"/>
  <c r="G158" i="33" s="1"/>
  <c r="G8" i="33"/>
  <c r="H157" i="33" s="1"/>
  <c r="F8" i="33"/>
  <c r="G157" i="33" s="1"/>
  <c r="U7" i="33"/>
  <c r="H146" i="33" s="1"/>
  <c r="T7" i="33"/>
  <c r="G146" i="33" s="1"/>
  <c r="N7" i="33"/>
  <c r="H145" i="33" s="1"/>
  <c r="M7" i="33"/>
  <c r="G145" i="33" s="1"/>
  <c r="G7" i="33"/>
  <c r="H144" i="33" s="1"/>
  <c r="F7" i="33"/>
  <c r="G144" i="33" s="1"/>
  <c r="U6" i="33"/>
  <c r="H133" i="33" s="1"/>
  <c r="T6" i="33"/>
  <c r="G133" i="33" s="1"/>
  <c r="N6" i="33"/>
  <c r="H132" i="33" s="1"/>
  <c r="M6" i="33"/>
  <c r="G132" i="33" s="1"/>
  <c r="G6" i="33"/>
  <c r="H131" i="33" s="1"/>
  <c r="F6" i="33"/>
  <c r="G131" i="33" s="1"/>
  <c r="P4" i="33"/>
  <c r="I4" i="33"/>
  <c r="V378" i="32"/>
  <c r="V377" i="32"/>
  <c r="A389" i="32"/>
  <c r="A410" i="32" s="1"/>
  <c r="A373" i="32" s="1"/>
  <c r="K409" i="32"/>
  <c r="J409" i="32"/>
  <c r="I409" i="32"/>
  <c r="K408" i="32"/>
  <c r="J408" i="32"/>
  <c r="K407" i="32"/>
  <c r="J407" i="32"/>
  <c r="I407" i="32"/>
  <c r="K406" i="32"/>
  <c r="J406" i="32"/>
  <c r="I406" i="32"/>
  <c r="K405" i="32"/>
  <c r="J405" i="32"/>
  <c r="I405" i="32"/>
  <c r="K404" i="32"/>
  <c r="J404" i="32"/>
  <c r="I404" i="32"/>
  <c r="K403" i="32"/>
  <c r="J403" i="32"/>
  <c r="I403" i="32"/>
  <c r="K402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V366" i="32"/>
  <c r="U366" i="32"/>
  <c r="T366" i="32"/>
  <c r="S366" i="32"/>
  <c r="N366" i="32"/>
  <c r="M366" i="32"/>
  <c r="L366" i="32"/>
  <c r="K366" i="32"/>
  <c r="F366" i="32"/>
  <c r="E366" i="32"/>
  <c r="D366" i="32"/>
  <c r="C366" i="32"/>
  <c r="V365" i="32"/>
  <c r="U365" i="32"/>
  <c r="T365" i="32"/>
  <c r="S365" i="32"/>
  <c r="N365" i="32"/>
  <c r="M365" i="32"/>
  <c r="L365" i="32"/>
  <c r="K365" i="32"/>
  <c r="F365" i="32"/>
  <c r="E365" i="32"/>
  <c r="D365" i="32"/>
  <c r="C365" i="32"/>
  <c r="V364" i="32"/>
  <c r="U364" i="32"/>
  <c r="T364" i="32"/>
  <c r="S364" i="32"/>
  <c r="N364" i="32"/>
  <c r="M364" i="32"/>
  <c r="L364" i="32"/>
  <c r="K364" i="32"/>
  <c r="F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V345" i="32"/>
  <c r="U345" i="32"/>
  <c r="T345" i="32"/>
  <c r="S345" i="32"/>
  <c r="N345" i="32"/>
  <c r="M345" i="32"/>
  <c r="L345" i="32"/>
  <c r="K345" i="32"/>
  <c r="F345" i="32"/>
  <c r="E345" i="32"/>
  <c r="D345" i="32"/>
  <c r="C345" i="32"/>
  <c r="V344" i="32"/>
  <c r="U344" i="32"/>
  <c r="T344" i="32"/>
  <c r="S344" i="32"/>
  <c r="N344" i="32"/>
  <c r="M344" i="32"/>
  <c r="L344" i="32"/>
  <c r="K344" i="32"/>
  <c r="F344" i="32"/>
  <c r="E344" i="32"/>
  <c r="D344" i="32"/>
  <c r="C344" i="32"/>
  <c r="V343" i="32"/>
  <c r="U343" i="32"/>
  <c r="T343" i="32"/>
  <c r="S343" i="32"/>
  <c r="N343" i="32"/>
  <c r="M343" i="32"/>
  <c r="L343" i="32"/>
  <c r="K343" i="32"/>
  <c r="F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V324" i="32"/>
  <c r="U324" i="32"/>
  <c r="T324" i="32"/>
  <c r="S324" i="32"/>
  <c r="N324" i="32"/>
  <c r="M324" i="32"/>
  <c r="L324" i="32"/>
  <c r="K324" i="32"/>
  <c r="F324" i="32"/>
  <c r="E324" i="32"/>
  <c r="D324" i="32"/>
  <c r="C324" i="32"/>
  <c r="V323" i="32"/>
  <c r="U323" i="32"/>
  <c r="T323" i="32"/>
  <c r="S323" i="32"/>
  <c r="N323" i="32"/>
  <c r="M323" i="32"/>
  <c r="L323" i="32"/>
  <c r="K323" i="32"/>
  <c r="F323" i="32"/>
  <c r="E323" i="32"/>
  <c r="D323" i="32"/>
  <c r="C323" i="32"/>
  <c r="V322" i="32"/>
  <c r="U322" i="32"/>
  <c r="T322" i="32"/>
  <c r="S322" i="32"/>
  <c r="N322" i="32"/>
  <c r="M322" i="32"/>
  <c r="L322" i="32"/>
  <c r="K322" i="32"/>
  <c r="F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V303" i="32"/>
  <c r="U303" i="32"/>
  <c r="T303" i="32"/>
  <c r="S303" i="32"/>
  <c r="N303" i="32"/>
  <c r="M303" i="32"/>
  <c r="L303" i="32"/>
  <c r="K303" i="32"/>
  <c r="F303" i="32"/>
  <c r="E303" i="32"/>
  <c r="D303" i="32"/>
  <c r="C303" i="32"/>
  <c r="V302" i="32"/>
  <c r="U302" i="32"/>
  <c r="T302" i="32"/>
  <c r="S302" i="32"/>
  <c r="N302" i="32"/>
  <c r="M302" i="32"/>
  <c r="L302" i="32"/>
  <c r="K302" i="32"/>
  <c r="F302" i="32"/>
  <c r="E302" i="32"/>
  <c r="D302" i="32"/>
  <c r="C302" i="32"/>
  <c r="V301" i="32"/>
  <c r="U301" i="32"/>
  <c r="T301" i="32"/>
  <c r="S301" i="32"/>
  <c r="N301" i="32"/>
  <c r="M301" i="32"/>
  <c r="L301" i="32"/>
  <c r="K301" i="32"/>
  <c r="F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V282" i="32"/>
  <c r="U282" i="32"/>
  <c r="T282" i="32"/>
  <c r="S282" i="32"/>
  <c r="N282" i="32"/>
  <c r="M282" i="32"/>
  <c r="L282" i="32"/>
  <c r="K282" i="32"/>
  <c r="F282" i="32"/>
  <c r="E282" i="32"/>
  <c r="D282" i="32"/>
  <c r="C282" i="32"/>
  <c r="Z281" i="32"/>
  <c r="V281" i="32"/>
  <c r="U281" i="32"/>
  <c r="T281" i="32"/>
  <c r="S281" i="32"/>
  <c r="N281" i="32"/>
  <c r="M281" i="32"/>
  <c r="L281" i="32"/>
  <c r="K281" i="32"/>
  <c r="F281" i="32"/>
  <c r="E281" i="32"/>
  <c r="D281" i="32"/>
  <c r="C281" i="32"/>
  <c r="Z280" i="32"/>
  <c r="V280" i="32"/>
  <c r="U280" i="32"/>
  <c r="T280" i="32"/>
  <c r="S280" i="32"/>
  <c r="N280" i="32"/>
  <c r="M280" i="32"/>
  <c r="L280" i="32"/>
  <c r="K280" i="32"/>
  <c r="F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V261" i="32"/>
  <c r="U261" i="32"/>
  <c r="T261" i="32"/>
  <c r="S261" i="32"/>
  <c r="N261" i="32"/>
  <c r="M261" i="32"/>
  <c r="L261" i="32"/>
  <c r="K261" i="32"/>
  <c r="F261" i="32"/>
  <c r="E261" i="32"/>
  <c r="D261" i="32"/>
  <c r="C261" i="32"/>
  <c r="Z260" i="32"/>
  <c r="V260" i="32"/>
  <c r="U260" i="32"/>
  <c r="T260" i="32"/>
  <c r="S260" i="32"/>
  <c r="N260" i="32"/>
  <c r="M260" i="32"/>
  <c r="L260" i="32"/>
  <c r="K260" i="32"/>
  <c r="F260" i="32"/>
  <c r="E260" i="32"/>
  <c r="D260" i="32"/>
  <c r="C260" i="32"/>
  <c r="Z259" i="32"/>
  <c r="V259" i="32"/>
  <c r="U259" i="32"/>
  <c r="T259" i="32"/>
  <c r="S259" i="32"/>
  <c r="N259" i="32"/>
  <c r="M259" i="32"/>
  <c r="L259" i="32"/>
  <c r="K259" i="32"/>
  <c r="F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V240" i="32"/>
  <c r="U240" i="32"/>
  <c r="T240" i="32"/>
  <c r="S240" i="32"/>
  <c r="N240" i="32"/>
  <c r="M240" i="32"/>
  <c r="L240" i="32"/>
  <c r="K240" i="32"/>
  <c r="F240" i="32"/>
  <c r="E240" i="32"/>
  <c r="D240" i="32"/>
  <c r="C240" i="32"/>
  <c r="Z239" i="32"/>
  <c r="V239" i="32"/>
  <c r="U239" i="32"/>
  <c r="T239" i="32"/>
  <c r="S239" i="32"/>
  <c r="N239" i="32"/>
  <c r="M239" i="32"/>
  <c r="L239" i="32"/>
  <c r="K239" i="32"/>
  <c r="F239" i="32"/>
  <c r="E239" i="32"/>
  <c r="D239" i="32"/>
  <c r="C239" i="32"/>
  <c r="Z238" i="32"/>
  <c r="V238" i="32"/>
  <c r="U238" i="32"/>
  <c r="T238" i="32"/>
  <c r="S238" i="32"/>
  <c r="N238" i="32"/>
  <c r="M238" i="32"/>
  <c r="L238" i="32"/>
  <c r="K238" i="32"/>
  <c r="F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U220" i="32"/>
  <c r="W371" i="32" s="1"/>
  <c r="N220" i="32"/>
  <c r="O371" i="32" s="1"/>
  <c r="G220" i="32"/>
  <c r="G371" i="32" s="1"/>
  <c r="U219" i="32"/>
  <c r="W350" i="32" s="1"/>
  <c r="N219" i="32"/>
  <c r="O350" i="32" s="1"/>
  <c r="G219" i="32"/>
  <c r="G350" i="32" s="1"/>
  <c r="U218" i="32"/>
  <c r="W329" i="32" s="1"/>
  <c r="N218" i="32"/>
  <c r="O329" i="32" s="1"/>
  <c r="G218" i="32"/>
  <c r="G329" i="32" s="1"/>
  <c r="U217" i="32"/>
  <c r="W308" i="32" s="1"/>
  <c r="N217" i="32"/>
  <c r="O308" i="32" s="1"/>
  <c r="G217" i="32"/>
  <c r="G308" i="32" s="1"/>
  <c r="U216" i="32"/>
  <c r="W287" i="32" s="1"/>
  <c r="N216" i="32"/>
  <c r="O287" i="32" s="1"/>
  <c r="G216" i="32"/>
  <c r="G287" i="32" s="1"/>
  <c r="U215" i="32"/>
  <c r="W266" i="32" s="1"/>
  <c r="N215" i="32"/>
  <c r="O266" i="32" s="1"/>
  <c r="G215" i="32"/>
  <c r="G266" i="32" s="1"/>
  <c r="U214" i="32"/>
  <c r="W245" i="32" s="1"/>
  <c r="N214" i="32"/>
  <c r="O245" i="32" s="1"/>
  <c r="G214" i="32"/>
  <c r="G245" i="32" s="1"/>
  <c r="L213" i="32"/>
  <c r="S213" i="32" s="1"/>
  <c r="K213" i="32"/>
  <c r="R213" i="32" s="1"/>
  <c r="I211" i="32"/>
  <c r="P211" i="32" s="1"/>
  <c r="U209" i="32"/>
  <c r="W370" i="32" s="1"/>
  <c r="N209" i="32"/>
  <c r="O370" i="32" s="1"/>
  <c r="G209" i="32"/>
  <c r="G370" i="32" s="1"/>
  <c r="U208" i="32"/>
  <c r="W349" i="32" s="1"/>
  <c r="N208" i="32"/>
  <c r="O349" i="32" s="1"/>
  <c r="G208" i="32"/>
  <c r="G349" i="32" s="1"/>
  <c r="U207" i="32"/>
  <c r="W328" i="32" s="1"/>
  <c r="N207" i="32"/>
  <c r="O328" i="32" s="1"/>
  <c r="G207" i="32"/>
  <c r="G328" i="32" s="1"/>
  <c r="U206" i="32"/>
  <c r="W307" i="32" s="1"/>
  <c r="N206" i="32"/>
  <c r="O307" i="32" s="1"/>
  <c r="G206" i="32"/>
  <c r="G307" i="32" s="1"/>
  <c r="U205" i="32"/>
  <c r="W286" i="32" s="1"/>
  <c r="N205" i="32"/>
  <c r="O286" i="32" s="1"/>
  <c r="G205" i="32"/>
  <c r="U204" i="32"/>
  <c r="W265" i="32" s="1"/>
  <c r="N204" i="32"/>
  <c r="O265" i="32" s="1"/>
  <c r="G204" i="32"/>
  <c r="G265" i="32" s="1"/>
  <c r="U203" i="32"/>
  <c r="W244" i="32" s="1"/>
  <c r="N203" i="32"/>
  <c r="O244" i="32" s="1"/>
  <c r="G203" i="32"/>
  <c r="G244" i="32" s="1"/>
  <c r="L202" i="32"/>
  <c r="S202" i="32" s="1"/>
  <c r="K202" i="32"/>
  <c r="R202" i="32" s="1"/>
  <c r="I200" i="32"/>
  <c r="P200" i="32" s="1"/>
  <c r="U198" i="32"/>
  <c r="W369" i="32" s="1"/>
  <c r="N198" i="32"/>
  <c r="O369" i="32" s="1"/>
  <c r="G198" i="32"/>
  <c r="G369" i="32" s="1"/>
  <c r="U197" i="32"/>
  <c r="W348" i="32" s="1"/>
  <c r="N197" i="32"/>
  <c r="O348" i="32" s="1"/>
  <c r="G197" i="32"/>
  <c r="G348" i="32" s="1"/>
  <c r="U196" i="32"/>
  <c r="W327" i="32" s="1"/>
  <c r="N196" i="32"/>
  <c r="O327" i="32" s="1"/>
  <c r="G196" i="32"/>
  <c r="G327" i="32" s="1"/>
  <c r="U195" i="32"/>
  <c r="W306" i="32" s="1"/>
  <c r="N195" i="32"/>
  <c r="O306" i="32" s="1"/>
  <c r="G195" i="32"/>
  <c r="G306" i="32" s="1"/>
  <c r="U194" i="32"/>
  <c r="W285" i="32" s="1"/>
  <c r="N194" i="32"/>
  <c r="O285" i="32" s="1"/>
  <c r="G194" i="32"/>
  <c r="U193" i="32"/>
  <c r="W264" i="32" s="1"/>
  <c r="N193" i="32"/>
  <c r="O264" i="32" s="1"/>
  <c r="G193" i="32"/>
  <c r="G264" i="32" s="1"/>
  <c r="U192" i="32"/>
  <c r="W243" i="32" s="1"/>
  <c r="N192" i="32"/>
  <c r="O243" i="32" s="1"/>
  <c r="G192" i="32"/>
  <c r="G243" i="32" s="1"/>
  <c r="L191" i="32"/>
  <c r="S191" i="32" s="1"/>
  <c r="K191" i="32"/>
  <c r="R191" i="32" s="1"/>
  <c r="I189" i="32"/>
  <c r="P189" i="32" s="1"/>
  <c r="U187" i="32"/>
  <c r="W368" i="32" s="1"/>
  <c r="N187" i="32"/>
  <c r="O368" i="32" s="1"/>
  <c r="G187" i="32"/>
  <c r="G368" i="32" s="1"/>
  <c r="U186" i="32"/>
  <c r="W347" i="32" s="1"/>
  <c r="N186" i="32"/>
  <c r="O347" i="32" s="1"/>
  <c r="G186" i="32"/>
  <c r="G347" i="32" s="1"/>
  <c r="U185" i="32"/>
  <c r="W326" i="32" s="1"/>
  <c r="N185" i="32"/>
  <c r="O326" i="32" s="1"/>
  <c r="G185" i="32"/>
  <c r="G326" i="32" s="1"/>
  <c r="U184" i="32"/>
  <c r="W305" i="32" s="1"/>
  <c r="N184" i="32"/>
  <c r="O305" i="32" s="1"/>
  <c r="G184" i="32"/>
  <c r="G305" i="32" s="1"/>
  <c r="U183" i="32"/>
  <c r="W284" i="32" s="1"/>
  <c r="N183" i="32"/>
  <c r="O284" i="32" s="1"/>
  <c r="G183" i="32"/>
  <c r="G284" i="32" s="1"/>
  <c r="U182" i="32"/>
  <c r="W263" i="32" s="1"/>
  <c r="N182" i="32"/>
  <c r="O263" i="32" s="1"/>
  <c r="G182" i="32"/>
  <c r="G263" i="32" s="1"/>
  <c r="U181" i="32"/>
  <c r="W242" i="32" s="1"/>
  <c r="N181" i="32"/>
  <c r="O242" i="32" s="1"/>
  <c r="G181" i="32"/>
  <c r="G242" i="32" s="1"/>
  <c r="L180" i="32"/>
  <c r="S180" i="32" s="1"/>
  <c r="K180" i="32"/>
  <c r="R180" i="32" s="1"/>
  <c r="I178" i="32"/>
  <c r="P178" i="32" s="1"/>
  <c r="U176" i="32"/>
  <c r="W367" i="32" s="1"/>
  <c r="N176" i="32"/>
  <c r="O367" i="32" s="1"/>
  <c r="G176" i="32"/>
  <c r="G367" i="32" s="1"/>
  <c r="U175" i="32"/>
  <c r="W346" i="32" s="1"/>
  <c r="N175" i="32"/>
  <c r="O346" i="32" s="1"/>
  <c r="G175" i="32"/>
  <c r="G346" i="32" s="1"/>
  <c r="U174" i="32"/>
  <c r="W325" i="32" s="1"/>
  <c r="N174" i="32"/>
  <c r="O325" i="32" s="1"/>
  <c r="G174" i="32"/>
  <c r="G325" i="32" s="1"/>
  <c r="U173" i="32"/>
  <c r="W304" i="32" s="1"/>
  <c r="N173" i="32"/>
  <c r="O304" i="32" s="1"/>
  <c r="G173" i="32"/>
  <c r="G304" i="32" s="1"/>
  <c r="U172" i="32"/>
  <c r="W283" i="32" s="1"/>
  <c r="N172" i="32"/>
  <c r="O283" i="32" s="1"/>
  <c r="G172" i="32"/>
  <c r="G283" i="32" s="1"/>
  <c r="U171" i="32"/>
  <c r="W262" i="32" s="1"/>
  <c r="N171" i="32"/>
  <c r="O262" i="32" s="1"/>
  <c r="G171" i="32"/>
  <c r="G262" i="32" s="1"/>
  <c r="U170" i="32"/>
  <c r="W241" i="32" s="1"/>
  <c r="N170" i="32"/>
  <c r="O241" i="32" s="1"/>
  <c r="G170" i="32"/>
  <c r="G241" i="32" s="1"/>
  <c r="L169" i="32"/>
  <c r="S169" i="32" s="1"/>
  <c r="K169" i="32"/>
  <c r="R169" i="32" s="1"/>
  <c r="I167" i="32"/>
  <c r="P167" i="32" s="1"/>
  <c r="U165" i="32"/>
  <c r="W366" i="32" s="1"/>
  <c r="N165" i="32"/>
  <c r="O366" i="32" s="1"/>
  <c r="G165" i="32"/>
  <c r="G366" i="32" s="1"/>
  <c r="U164" i="32"/>
  <c r="W345" i="32" s="1"/>
  <c r="N164" i="32"/>
  <c r="O345" i="32" s="1"/>
  <c r="G164" i="32"/>
  <c r="G345" i="32" s="1"/>
  <c r="U163" i="32"/>
  <c r="W324" i="32" s="1"/>
  <c r="N163" i="32"/>
  <c r="O324" i="32" s="1"/>
  <c r="G163" i="32"/>
  <c r="G324" i="32" s="1"/>
  <c r="U162" i="32"/>
  <c r="W303" i="32" s="1"/>
  <c r="N162" i="32"/>
  <c r="O303" i="32" s="1"/>
  <c r="G162" i="32"/>
  <c r="G303" i="32" s="1"/>
  <c r="U161" i="32"/>
  <c r="W282" i="32" s="1"/>
  <c r="N161" i="32"/>
  <c r="O282" i="32" s="1"/>
  <c r="G161" i="32"/>
  <c r="G282" i="32" s="1"/>
  <c r="U160" i="32"/>
  <c r="W261" i="32" s="1"/>
  <c r="N160" i="32"/>
  <c r="O261" i="32" s="1"/>
  <c r="G160" i="32"/>
  <c r="G261" i="32" s="1"/>
  <c r="U159" i="32"/>
  <c r="W240" i="32" s="1"/>
  <c r="N159" i="32"/>
  <c r="O240" i="32" s="1"/>
  <c r="G159" i="32"/>
  <c r="G240" i="32" s="1"/>
  <c r="L158" i="32"/>
  <c r="K158" i="32"/>
  <c r="R158" i="32" s="1"/>
  <c r="I156" i="32"/>
  <c r="P156" i="32" s="1"/>
  <c r="U154" i="32"/>
  <c r="W365" i="32" s="1"/>
  <c r="N154" i="32"/>
  <c r="O365" i="32" s="1"/>
  <c r="G154" i="32"/>
  <c r="G365" i="32" s="1"/>
  <c r="U153" i="32"/>
  <c r="W344" i="32" s="1"/>
  <c r="N153" i="32"/>
  <c r="O344" i="32" s="1"/>
  <c r="G153" i="32"/>
  <c r="G344" i="32" s="1"/>
  <c r="U152" i="32"/>
  <c r="W323" i="32" s="1"/>
  <c r="N152" i="32"/>
  <c r="O323" i="32" s="1"/>
  <c r="G152" i="32"/>
  <c r="G323" i="32" s="1"/>
  <c r="U151" i="32"/>
  <c r="W302" i="32" s="1"/>
  <c r="N151" i="32"/>
  <c r="G151" i="32"/>
  <c r="U150" i="32"/>
  <c r="W281" i="32" s="1"/>
  <c r="N150" i="32"/>
  <c r="G150" i="32"/>
  <c r="G281" i="32" s="1"/>
  <c r="U149" i="32"/>
  <c r="W260" i="32" s="1"/>
  <c r="N149" i="32"/>
  <c r="O260" i="32" s="1"/>
  <c r="G149" i="32"/>
  <c r="G260" i="32" s="1"/>
  <c r="U148" i="32"/>
  <c r="W239" i="32" s="1"/>
  <c r="N148" i="32"/>
  <c r="O239" i="32" s="1"/>
  <c r="G148" i="32"/>
  <c r="G239" i="32" s="1"/>
  <c r="L147" i="32"/>
  <c r="S147" i="32" s="1"/>
  <c r="K147" i="32"/>
  <c r="R147" i="32" s="1"/>
  <c r="I145" i="32"/>
  <c r="P145" i="32" s="1"/>
  <c r="U143" i="32"/>
  <c r="W364" i="32" s="1"/>
  <c r="N143" i="32"/>
  <c r="O364" i="32" s="1"/>
  <c r="G143" i="32"/>
  <c r="G364" i="32" s="1"/>
  <c r="U142" i="32"/>
  <c r="W343" i="32" s="1"/>
  <c r="N142" i="32"/>
  <c r="O343" i="32" s="1"/>
  <c r="G142" i="32"/>
  <c r="G343" i="32" s="1"/>
  <c r="U141" i="32"/>
  <c r="W322" i="32" s="1"/>
  <c r="N141" i="32"/>
  <c r="O322" i="32" s="1"/>
  <c r="G141" i="32"/>
  <c r="G322" i="32" s="1"/>
  <c r="U140" i="32"/>
  <c r="W301" i="32" s="1"/>
  <c r="N140" i="32"/>
  <c r="O301" i="32" s="1"/>
  <c r="G140" i="32"/>
  <c r="U139" i="32"/>
  <c r="W280" i="32" s="1"/>
  <c r="N139" i="32"/>
  <c r="O280" i="32" s="1"/>
  <c r="G139" i="32"/>
  <c r="G280" i="32" s="1"/>
  <c r="U138" i="32"/>
  <c r="W259" i="32" s="1"/>
  <c r="N138" i="32"/>
  <c r="O259" i="32" s="1"/>
  <c r="G138" i="32"/>
  <c r="G259" i="32" s="1"/>
  <c r="U137" i="32"/>
  <c r="W238" i="32" s="1"/>
  <c r="N137" i="32"/>
  <c r="O238" i="32" s="1"/>
  <c r="G137" i="32"/>
  <c r="G238" i="32" s="1"/>
  <c r="L136" i="32"/>
  <c r="S136" i="32" s="1"/>
  <c r="K136" i="32"/>
  <c r="R136" i="32" s="1"/>
  <c r="I134" i="32"/>
  <c r="P134" i="32" s="1"/>
  <c r="U132" i="32"/>
  <c r="W363" i="32" s="1"/>
  <c r="N132" i="32"/>
  <c r="O363" i="32" s="1"/>
  <c r="G132" i="32"/>
  <c r="G363" i="32" s="1"/>
  <c r="U131" i="32"/>
  <c r="W342" i="32" s="1"/>
  <c r="N131" i="32"/>
  <c r="O342" i="32" s="1"/>
  <c r="G131" i="32"/>
  <c r="G342" i="32" s="1"/>
  <c r="U130" i="32"/>
  <c r="W321" i="32" s="1"/>
  <c r="N130" i="32"/>
  <c r="O321" i="32" s="1"/>
  <c r="G130" i="32"/>
  <c r="G321" i="32" s="1"/>
  <c r="U129" i="32"/>
  <c r="W300" i="32" s="1"/>
  <c r="N129" i="32"/>
  <c r="O300" i="32" s="1"/>
  <c r="G129" i="32"/>
  <c r="G300" i="32" s="1"/>
  <c r="U128" i="32"/>
  <c r="W279" i="32" s="1"/>
  <c r="N128" i="32"/>
  <c r="O279" i="32" s="1"/>
  <c r="G128" i="32"/>
  <c r="G279" i="32" s="1"/>
  <c r="U127" i="32"/>
  <c r="W258" i="32" s="1"/>
  <c r="N127" i="32"/>
  <c r="O258" i="32" s="1"/>
  <c r="G127" i="32"/>
  <c r="G258" i="32" s="1"/>
  <c r="U126" i="32"/>
  <c r="W237" i="32" s="1"/>
  <c r="N126" i="32"/>
  <c r="O237" i="32" s="1"/>
  <c r="G126" i="32"/>
  <c r="G237" i="32" s="1"/>
  <c r="L125" i="32"/>
  <c r="S125" i="32" s="1"/>
  <c r="I123" i="32"/>
  <c r="P123" i="32" s="1"/>
  <c r="U121" i="32"/>
  <c r="W362" i="32" s="1"/>
  <c r="N121" i="32"/>
  <c r="O362" i="32" s="1"/>
  <c r="G121" i="32"/>
  <c r="G362" i="32" s="1"/>
  <c r="U120" i="32"/>
  <c r="W341" i="32" s="1"/>
  <c r="N120" i="32"/>
  <c r="O341" i="32" s="1"/>
  <c r="G120" i="32"/>
  <c r="G341" i="32" s="1"/>
  <c r="U119" i="32"/>
  <c r="W320" i="32" s="1"/>
  <c r="N119" i="32"/>
  <c r="O320" i="32" s="1"/>
  <c r="G119" i="32"/>
  <c r="G320" i="32" s="1"/>
  <c r="U118" i="32"/>
  <c r="W299" i="32" s="1"/>
  <c r="N118" i="32"/>
  <c r="O299" i="32" s="1"/>
  <c r="G118" i="32"/>
  <c r="G299" i="32" s="1"/>
  <c r="U117" i="32"/>
  <c r="W278" i="32" s="1"/>
  <c r="N117" i="32"/>
  <c r="O278" i="32" s="1"/>
  <c r="G117" i="32"/>
  <c r="G278" i="32" s="1"/>
  <c r="U116" i="32"/>
  <c r="W257" i="32" s="1"/>
  <c r="N116" i="32"/>
  <c r="O257" i="32" s="1"/>
  <c r="G116" i="32"/>
  <c r="G257" i="32" s="1"/>
  <c r="U115" i="32"/>
  <c r="W236" i="32" s="1"/>
  <c r="N115" i="32"/>
  <c r="O236" i="32" s="1"/>
  <c r="G115" i="32"/>
  <c r="G236" i="32" s="1"/>
  <c r="L114" i="32"/>
  <c r="S114" i="32" s="1"/>
  <c r="K114" i="32"/>
  <c r="R114" i="32" s="1"/>
  <c r="I112" i="32"/>
  <c r="P112" i="32" s="1"/>
  <c r="U110" i="32"/>
  <c r="W361" i="32" s="1"/>
  <c r="N110" i="32"/>
  <c r="O361" i="32" s="1"/>
  <c r="G110" i="32"/>
  <c r="G361" i="32" s="1"/>
  <c r="U109" i="32"/>
  <c r="W340" i="32" s="1"/>
  <c r="N109" i="32"/>
  <c r="O340" i="32" s="1"/>
  <c r="G109" i="32"/>
  <c r="G340" i="32" s="1"/>
  <c r="U108" i="32"/>
  <c r="W319" i="32" s="1"/>
  <c r="N108" i="32"/>
  <c r="O319" i="32" s="1"/>
  <c r="G108" i="32"/>
  <c r="G319" i="32" s="1"/>
  <c r="U107" i="32"/>
  <c r="W298" i="32" s="1"/>
  <c r="N107" i="32"/>
  <c r="O298" i="32" s="1"/>
  <c r="G107" i="32"/>
  <c r="G298" i="32" s="1"/>
  <c r="U106" i="32"/>
  <c r="W277" i="32" s="1"/>
  <c r="N106" i="32"/>
  <c r="O277" i="32" s="1"/>
  <c r="G106" i="32"/>
  <c r="G277" i="32" s="1"/>
  <c r="U105" i="32"/>
  <c r="W256" i="32" s="1"/>
  <c r="N105" i="32"/>
  <c r="O256" i="32" s="1"/>
  <c r="G105" i="32"/>
  <c r="G256" i="32" s="1"/>
  <c r="U104" i="32"/>
  <c r="W235" i="32" s="1"/>
  <c r="N104" i="32"/>
  <c r="O235" i="32" s="1"/>
  <c r="G104" i="32"/>
  <c r="G235" i="32" s="1"/>
  <c r="L103" i="32"/>
  <c r="S103" i="32" s="1"/>
  <c r="K103" i="32"/>
  <c r="R103" i="32" s="1"/>
  <c r="I101" i="32"/>
  <c r="P101" i="32" s="1"/>
  <c r="U99" i="32"/>
  <c r="W360" i="32" s="1"/>
  <c r="N99" i="32"/>
  <c r="O360" i="32" s="1"/>
  <c r="G99" i="32"/>
  <c r="G360" i="32" s="1"/>
  <c r="U98" i="32"/>
  <c r="W339" i="32" s="1"/>
  <c r="N98" i="32"/>
  <c r="O339" i="32" s="1"/>
  <c r="G98" i="32"/>
  <c r="G339" i="32" s="1"/>
  <c r="U97" i="32"/>
  <c r="W318" i="32" s="1"/>
  <c r="N97" i="32"/>
  <c r="O318" i="32" s="1"/>
  <c r="G97" i="32"/>
  <c r="G318" i="32" s="1"/>
  <c r="U96" i="32"/>
  <c r="W297" i="32" s="1"/>
  <c r="N96" i="32"/>
  <c r="O297" i="32" s="1"/>
  <c r="G96" i="32"/>
  <c r="G297" i="32" s="1"/>
  <c r="U95" i="32"/>
  <c r="W276" i="32" s="1"/>
  <c r="N95" i="32"/>
  <c r="O276" i="32" s="1"/>
  <c r="G95" i="32"/>
  <c r="G276" i="32" s="1"/>
  <c r="U94" i="32"/>
  <c r="W255" i="32" s="1"/>
  <c r="N94" i="32"/>
  <c r="O255" i="32" s="1"/>
  <c r="G94" i="32"/>
  <c r="G255" i="32" s="1"/>
  <c r="U93" i="32"/>
  <c r="W234" i="32" s="1"/>
  <c r="N93" i="32"/>
  <c r="O234" i="32" s="1"/>
  <c r="G93" i="32"/>
  <c r="G234" i="32" s="1"/>
  <c r="L92" i="32"/>
  <c r="S92" i="32" s="1"/>
  <c r="K92" i="32"/>
  <c r="R92" i="32" s="1"/>
  <c r="I90" i="32"/>
  <c r="P90" i="32" s="1"/>
  <c r="U88" i="32"/>
  <c r="W359" i="32" s="1"/>
  <c r="N88" i="32"/>
  <c r="O359" i="32" s="1"/>
  <c r="G88" i="32"/>
  <c r="G359" i="32" s="1"/>
  <c r="U87" i="32"/>
  <c r="W338" i="32" s="1"/>
  <c r="N87" i="32"/>
  <c r="O338" i="32" s="1"/>
  <c r="G87" i="32"/>
  <c r="G338" i="32" s="1"/>
  <c r="U86" i="32"/>
  <c r="W317" i="32" s="1"/>
  <c r="N86" i="32"/>
  <c r="O317" i="32" s="1"/>
  <c r="G86" i="32"/>
  <c r="G317" i="32" s="1"/>
  <c r="U85" i="32"/>
  <c r="W296" i="32" s="1"/>
  <c r="N85" i="32"/>
  <c r="O296" i="32" s="1"/>
  <c r="G85" i="32"/>
  <c r="G296" i="32" s="1"/>
  <c r="U84" i="32"/>
  <c r="W275" i="32" s="1"/>
  <c r="N84" i="32"/>
  <c r="O275" i="32" s="1"/>
  <c r="G84" i="32"/>
  <c r="G275" i="32" s="1"/>
  <c r="U83" i="32"/>
  <c r="W254" i="32" s="1"/>
  <c r="N83" i="32"/>
  <c r="O254" i="32" s="1"/>
  <c r="G83" i="32"/>
  <c r="G254" i="32" s="1"/>
  <c r="U82" i="32"/>
  <c r="W233" i="32" s="1"/>
  <c r="N82" i="32"/>
  <c r="O233" i="32" s="1"/>
  <c r="G82" i="32"/>
  <c r="G233" i="32" s="1"/>
  <c r="L81" i="32"/>
  <c r="S81" i="32" s="1"/>
  <c r="K81" i="32"/>
  <c r="R81" i="32" s="1"/>
  <c r="I79" i="32"/>
  <c r="P79" i="32" s="1"/>
  <c r="U77" i="32"/>
  <c r="W358" i="32" s="1"/>
  <c r="N77" i="32"/>
  <c r="O358" i="32" s="1"/>
  <c r="G77" i="32"/>
  <c r="G358" i="32" s="1"/>
  <c r="U76" i="32"/>
  <c r="W337" i="32" s="1"/>
  <c r="N76" i="32"/>
  <c r="O337" i="32" s="1"/>
  <c r="G76" i="32"/>
  <c r="G337" i="32" s="1"/>
  <c r="U75" i="32"/>
  <c r="W316" i="32" s="1"/>
  <c r="N75" i="32"/>
  <c r="O316" i="32" s="1"/>
  <c r="G75" i="32"/>
  <c r="G316" i="32" s="1"/>
  <c r="U74" i="32"/>
  <c r="W295" i="32" s="1"/>
  <c r="N74" i="32"/>
  <c r="O295" i="32" s="1"/>
  <c r="G74" i="32"/>
  <c r="G295" i="32" s="1"/>
  <c r="U73" i="32"/>
  <c r="W274" i="32" s="1"/>
  <c r="N73" i="32"/>
  <c r="O274" i="32" s="1"/>
  <c r="G73" i="32"/>
  <c r="G274" i="32" s="1"/>
  <c r="U72" i="32"/>
  <c r="W253" i="32" s="1"/>
  <c r="N72" i="32"/>
  <c r="O253" i="32" s="1"/>
  <c r="G72" i="32"/>
  <c r="G253" i="32" s="1"/>
  <c r="U71" i="32"/>
  <c r="W232" i="32" s="1"/>
  <c r="N71" i="32"/>
  <c r="O232" i="32" s="1"/>
  <c r="G71" i="32"/>
  <c r="G232" i="32" s="1"/>
  <c r="L70" i="32"/>
  <c r="S70" i="32" s="1"/>
  <c r="K70" i="32"/>
  <c r="R70" i="32" s="1"/>
  <c r="I68" i="32"/>
  <c r="P68" i="32" s="1"/>
  <c r="U66" i="32"/>
  <c r="W357" i="32" s="1"/>
  <c r="N66" i="32"/>
  <c r="O357" i="32" s="1"/>
  <c r="G66" i="32"/>
  <c r="G357" i="32" s="1"/>
  <c r="U65" i="32"/>
  <c r="W336" i="32" s="1"/>
  <c r="N65" i="32"/>
  <c r="O336" i="32" s="1"/>
  <c r="G65" i="32"/>
  <c r="G336" i="32" s="1"/>
  <c r="U64" i="32"/>
  <c r="W315" i="32" s="1"/>
  <c r="N64" i="32"/>
  <c r="O315" i="32" s="1"/>
  <c r="G64" i="32"/>
  <c r="G315" i="32" s="1"/>
  <c r="U63" i="32"/>
  <c r="W294" i="32" s="1"/>
  <c r="N63" i="32"/>
  <c r="O294" i="32" s="1"/>
  <c r="G63" i="32"/>
  <c r="G294" i="32" s="1"/>
  <c r="U62" i="32"/>
  <c r="W273" i="32" s="1"/>
  <c r="N62" i="32"/>
  <c r="O273" i="32" s="1"/>
  <c r="G62" i="32"/>
  <c r="G273" i="32" s="1"/>
  <c r="U61" i="32"/>
  <c r="W252" i="32" s="1"/>
  <c r="N61" i="32"/>
  <c r="O252" i="32" s="1"/>
  <c r="G61" i="32"/>
  <c r="G252" i="32" s="1"/>
  <c r="U60" i="32"/>
  <c r="W231" i="32" s="1"/>
  <c r="N60" i="32"/>
  <c r="O231" i="32" s="1"/>
  <c r="G60" i="32"/>
  <c r="G231" i="32" s="1"/>
  <c r="L59" i="32"/>
  <c r="S59" i="32" s="1"/>
  <c r="K59" i="32"/>
  <c r="R59" i="32" s="1"/>
  <c r="I57" i="32"/>
  <c r="P57" i="32" s="1"/>
  <c r="U55" i="32"/>
  <c r="W356" i="32" s="1"/>
  <c r="N55" i="32"/>
  <c r="O356" i="32" s="1"/>
  <c r="G55" i="32"/>
  <c r="G356" i="32" s="1"/>
  <c r="U54" i="32"/>
  <c r="W335" i="32" s="1"/>
  <c r="N54" i="32"/>
  <c r="O335" i="32" s="1"/>
  <c r="G54" i="32"/>
  <c r="G335" i="32" s="1"/>
  <c r="U53" i="32"/>
  <c r="W314" i="32" s="1"/>
  <c r="N53" i="32"/>
  <c r="O314" i="32" s="1"/>
  <c r="G53" i="32"/>
  <c r="G314" i="32" s="1"/>
  <c r="U52" i="32"/>
  <c r="W293" i="32" s="1"/>
  <c r="N52" i="32"/>
  <c r="O293" i="32" s="1"/>
  <c r="G52" i="32"/>
  <c r="G293" i="32" s="1"/>
  <c r="U51" i="32"/>
  <c r="W272" i="32" s="1"/>
  <c r="N51" i="32"/>
  <c r="O272" i="32" s="1"/>
  <c r="G51" i="32"/>
  <c r="G272" i="32" s="1"/>
  <c r="U50" i="32"/>
  <c r="W251" i="32" s="1"/>
  <c r="N50" i="32"/>
  <c r="O251" i="32" s="1"/>
  <c r="G50" i="32"/>
  <c r="G251" i="32" s="1"/>
  <c r="U49" i="32"/>
  <c r="W230" i="32" s="1"/>
  <c r="N49" i="32"/>
  <c r="O230" i="32" s="1"/>
  <c r="G49" i="32"/>
  <c r="G230" i="32" s="1"/>
  <c r="M48" i="32"/>
  <c r="T48" i="32" s="1"/>
  <c r="L48" i="32"/>
  <c r="S48" i="32" s="1"/>
  <c r="K48" i="32"/>
  <c r="R48" i="32" s="1"/>
  <c r="I46" i="32"/>
  <c r="P46" i="32" s="1"/>
  <c r="U44" i="32"/>
  <c r="W355" i="32" s="1"/>
  <c r="N44" i="32"/>
  <c r="O355" i="32" s="1"/>
  <c r="G44" i="32"/>
  <c r="G355" i="32" s="1"/>
  <c r="U43" i="32"/>
  <c r="W334" i="32" s="1"/>
  <c r="N43" i="32"/>
  <c r="O334" i="32" s="1"/>
  <c r="G43" i="32"/>
  <c r="G334" i="32" s="1"/>
  <c r="U42" i="32"/>
  <c r="W313" i="32" s="1"/>
  <c r="N42" i="32"/>
  <c r="O313" i="32" s="1"/>
  <c r="G42" i="32"/>
  <c r="G313" i="32" s="1"/>
  <c r="U41" i="32"/>
  <c r="W292" i="32" s="1"/>
  <c r="N41" i="32"/>
  <c r="O292" i="32" s="1"/>
  <c r="G41" i="32"/>
  <c r="G292" i="32" s="1"/>
  <c r="U40" i="32"/>
  <c r="W271" i="32" s="1"/>
  <c r="N40" i="32"/>
  <c r="O271" i="32" s="1"/>
  <c r="G40" i="32"/>
  <c r="G271" i="32" s="1"/>
  <c r="U39" i="32"/>
  <c r="W250" i="32" s="1"/>
  <c r="N39" i="32"/>
  <c r="O250" i="32" s="1"/>
  <c r="G39" i="32"/>
  <c r="G250" i="32" s="1"/>
  <c r="U38" i="32"/>
  <c r="W229" i="32" s="1"/>
  <c r="N38" i="32"/>
  <c r="O229" i="32" s="1"/>
  <c r="G38" i="32"/>
  <c r="G229" i="32" s="1"/>
  <c r="L37" i="32"/>
  <c r="S37" i="32" s="1"/>
  <c r="K37" i="32"/>
  <c r="R37" i="32" s="1"/>
  <c r="I35" i="32"/>
  <c r="P35" i="32" s="1"/>
  <c r="U33" i="32"/>
  <c r="W354" i="32" s="1"/>
  <c r="N33" i="32"/>
  <c r="O354" i="32" s="1"/>
  <c r="G33" i="32"/>
  <c r="G354" i="32" s="1"/>
  <c r="U32" i="32"/>
  <c r="W333" i="32" s="1"/>
  <c r="N32" i="32"/>
  <c r="O333" i="32" s="1"/>
  <c r="G32" i="32"/>
  <c r="G333" i="32" s="1"/>
  <c r="U31" i="32"/>
  <c r="W312" i="32" s="1"/>
  <c r="N31" i="32"/>
  <c r="O312" i="32" s="1"/>
  <c r="G31" i="32"/>
  <c r="G312" i="32" s="1"/>
  <c r="U30" i="32"/>
  <c r="W291" i="32" s="1"/>
  <c r="N30" i="32"/>
  <c r="O291" i="32" s="1"/>
  <c r="G30" i="32"/>
  <c r="G291" i="32" s="1"/>
  <c r="U29" i="32"/>
  <c r="W270" i="32" s="1"/>
  <c r="N29" i="32"/>
  <c r="O270" i="32" s="1"/>
  <c r="G29" i="32"/>
  <c r="G270" i="32" s="1"/>
  <c r="U28" i="32"/>
  <c r="W249" i="32" s="1"/>
  <c r="N28" i="32"/>
  <c r="O249" i="32" s="1"/>
  <c r="G28" i="32"/>
  <c r="G249" i="32" s="1"/>
  <c r="U27" i="32"/>
  <c r="W228" i="32" s="1"/>
  <c r="N27" i="32"/>
  <c r="O228" i="32" s="1"/>
  <c r="G27" i="32"/>
  <c r="G228" i="32" s="1"/>
  <c r="M26" i="32"/>
  <c r="T26" i="32" s="1"/>
  <c r="L26" i="32"/>
  <c r="S26" i="32" s="1"/>
  <c r="K26" i="32"/>
  <c r="R26" i="32" s="1"/>
  <c r="I24" i="32"/>
  <c r="P24" i="32" s="1"/>
  <c r="U22" i="32"/>
  <c r="W353" i="32" s="1"/>
  <c r="N22" i="32"/>
  <c r="O353" i="32" s="1"/>
  <c r="G22" i="32"/>
  <c r="G353" i="32" s="1"/>
  <c r="U21" i="32"/>
  <c r="W332" i="32" s="1"/>
  <c r="N21" i="32"/>
  <c r="O332" i="32" s="1"/>
  <c r="G21" i="32"/>
  <c r="G332" i="32" s="1"/>
  <c r="U20" i="32"/>
  <c r="W311" i="32" s="1"/>
  <c r="N20" i="32"/>
  <c r="O311" i="32" s="1"/>
  <c r="G20" i="32"/>
  <c r="G311" i="32" s="1"/>
  <c r="U19" i="32"/>
  <c r="W290" i="32" s="1"/>
  <c r="N19" i="32"/>
  <c r="O290" i="32" s="1"/>
  <c r="G19" i="32"/>
  <c r="G290" i="32" s="1"/>
  <c r="U18" i="32"/>
  <c r="W269" i="32" s="1"/>
  <c r="N18" i="32"/>
  <c r="O269" i="32" s="1"/>
  <c r="G18" i="32"/>
  <c r="G269" i="32" s="1"/>
  <c r="U17" i="32"/>
  <c r="W248" i="32" s="1"/>
  <c r="N17" i="32"/>
  <c r="O248" i="32" s="1"/>
  <c r="G17" i="32"/>
  <c r="G248" i="32" s="1"/>
  <c r="U16" i="32"/>
  <c r="W227" i="32" s="1"/>
  <c r="N16" i="32"/>
  <c r="O227" i="32" s="1"/>
  <c r="G16" i="32"/>
  <c r="G227" i="32" s="1"/>
  <c r="M15" i="32"/>
  <c r="T15" i="32" s="1"/>
  <c r="L15" i="32"/>
  <c r="S15" i="32" s="1"/>
  <c r="K15" i="32"/>
  <c r="R15" i="32" s="1"/>
  <c r="I13" i="32"/>
  <c r="P13" i="32" s="1"/>
  <c r="U11" i="32"/>
  <c r="W352" i="32" s="1"/>
  <c r="N11" i="32"/>
  <c r="O352" i="32" s="1"/>
  <c r="G11" i="32"/>
  <c r="G352" i="32" s="1"/>
  <c r="U10" i="32"/>
  <c r="W331" i="32" s="1"/>
  <c r="N10" i="32"/>
  <c r="O331" i="32" s="1"/>
  <c r="G10" i="32"/>
  <c r="G331" i="32" s="1"/>
  <c r="U9" i="32"/>
  <c r="W310" i="32" s="1"/>
  <c r="N9" i="32"/>
  <c r="G9" i="32"/>
  <c r="G310" i="32" s="1"/>
  <c r="U8" i="32"/>
  <c r="W289" i="32" s="1"/>
  <c r="N8" i="32"/>
  <c r="O289" i="32" s="1"/>
  <c r="G8" i="32"/>
  <c r="G289" i="32" s="1"/>
  <c r="U7" i="32"/>
  <c r="W268" i="32" s="1"/>
  <c r="N7" i="32"/>
  <c r="O268" i="32" s="1"/>
  <c r="G7" i="32"/>
  <c r="G268" i="32" s="1"/>
  <c r="U6" i="32"/>
  <c r="W247" i="32" s="1"/>
  <c r="N6" i="32"/>
  <c r="O247" i="32" s="1"/>
  <c r="G6" i="32"/>
  <c r="G247" i="32" s="1"/>
  <c r="U5" i="32"/>
  <c r="W226" i="32" s="1"/>
  <c r="N5" i="32"/>
  <c r="O226" i="32" s="1"/>
  <c r="G5" i="32"/>
  <c r="G226" i="32" s="1"/>
  <c r="M4" i="32"/>
  <c r="L4" i="32"/>
  <c r="S4" i="32" s="1"/>
  <c r="K4" i="32"/>
  <c r="R4" i="32" s="1"/>
  <c r="I2" i="32"/>
  <c r="P2" i="32" s="1"/>
  <c r="E72" i="23"/>
  <c r="E60" i="23"/>
  <c r="E48" i="23"/>
  <c r="E36" i="23"/>
  <c r="B373" i="32" l="1"/>
  <c r="H373" i="32" s="1"/>
  <c r="T373" i="32" s="1"/>
  <c r="E376" i="32"/>
  <c r="D268" i="33"/>
  <c r="D276" i="33" s="1"/>
  <c r="D284" i="33" s="1"/>
  <c r="D290" i="33" s="1"/>
  <c r="C268" i="33"/>
  <c r="C276" i="33" s="1"/>
  <c r="C284" i="33" s="1"/>
  <c r="C290" i="33" s="1"/>
  <c r="B268" i="33"/>
  <c r="B276" i="33" s="1"/>
  <c r="B284" i="33" s="1"/>
  <c r="B290" i="33" s="1"/>
  <c r="A311" i="33"/>
  <c r="G286" i="32"/>
  <c r="G285" i="32"/>
  <c r="E378" i="32" s="1"/>
  <c r="G301" i="32"/>
  <c r="G302" i="32"/>
  <c r="B378" i="32"/>
  <c r="E377" i="32"/>
  <c r="D376" i="32"/>
  <c r="E380" i="32"/>
  <c r="A378" i="32"/>
  <c r="D377" i="32"/>
  <c r="C376" i="32"/>
  <c r="E382" i="32"/>
  <c r="E381" i="32"/>
  <c r="D380" i="32"/>
  <c r="E379" i="32"/>
  <c r="C377" i="32"/>
  <c r="B376" i="32"/>
  <c r="G373" i="32"/>
  <c r="D382" i="32"/>
  <c r="D381" i="32"/>
  <c r="C380" i="32"/>
  <c r="D379" i="32"/>
  <c r="B377" i="32"/>
  <c r="A376" i="32"/>
  <c r="C382" i="32"/>
  <c r="C381" i="32"/>
  <c r="B380" i="32"/>
  <c r="C379" i="32"/>
  <c r="A377" i="32"/>
  <c r="B382" i="32"/>
  <c r="B381" i="32"/>
  <c r="A380" i="32"/>
  <c r="B379" i="32"/>
  <c r="A382" i="32"/>
  <c r="A381" i="32"/>
  <c r="A379" i="32"/>
  <c r="D378" i="32"/>
  <c r="S373" i="32"/>
  <c r="O302" i="32"/>
  <c r="O281" i="32"/>
  <c r="O310" i="32"/>
  <c r="C378" i="32"/>
  <c r="N373" i="32" l="1"/>
  <c r="D375" i="32"/>
  <c r="J375" i="32" s="1"/>
  <c r="P375" i="32" s="1"/>
  <c r="C375" i="32"/>
  <c r="I375" i="32" s="1"/>
  <c r="O375" i="32" s="1"/>
  <c r="B375" i="32"/>
  <c r="H375" i="32" s="1"/>
  <c r="N375" i="32" s="1"/>
  <c r="A265" i="33"/>
  <c r="A269" i="33" s="1"/>
  <c r="N298" i="33"/>
  <c r="N311" i="33" s="1"/>
  <c r="W377" i="32"/>
  <c r="O390" i="32" s="1"/>
  <c r="W379" i="32"/>
  <c r="O392" i="32" s="1"/>
  <c r="W378" i="32"/>
  <c r="O391" i="32" s="1"/>
  <c r="H382" i="32"/>
  <c r="H381" i="32"/>
  <c r="G380" i="32"/>
  <c r="H379" i="32"/>
  <c r="K378" i="32"/>
  <c r="M373" i="32"/>
  <c r="G382" i="32"/>
  <c r="G381" i="32"/>
  <c r="G379" i="32"/>
  <c r="J378" i="32"/>
  <c r="I378" i="32"/>
  <c r="K376" i="32"/>
  <c r="H378" i="32"/>
  <c r="K377" i="32"/>
  <c r="J376" i="32"/>
  <c r="K380" i="32"/>
  <c r="G378" i="32"/>
  <c r="J377" i="32"/>
  <c r="I376" i="32"/>
  <c r="K382" i="32"/>
  <c r="K381" i="32"/>
  <c r="J380" i="32"/>
  <c r="K379" i="32"/>
  <c r="I377" i="32"/>
  <c r="H376" i="32"/>
  <c r="J382" i="32"/>
  <c r="J381" i="32"/>
  <c r="I380" i="32"/>
  <c r="J379" i="32"/>
  <c r="H377" i="32"/>
  <c r="G376" i="32"/>
  <c r="H380" i="32"/>
  <c r="I379" i="32"/>
  <c r="G377" i="32"/>
  <c r="I382" i="32"/>
  <c r="I381" i="32"/>
  <c r="F294" i="33" l="1"/>
  <c r="D293" i="33"/>
  <c r="B292" i="33"/>
  <c r="B288" i="33"/>
  <c r="F286" i="33"/>
  <c r="D285" i="33"/>
  <c r="F282" i="33"/>
  <c r="D281" i="33"/>
  <c r="B280" i="33"/>
  <c r="F278" i="33"/>
  <c r="D277" i="33"/>
  <c r="E273" i="33"/>
  <c r="A271" i="33"/>
  <c r="B270" i="33"/>
  <c r="E269" i="33"/>
  <c r="E294" i="33"/>
  <c r="C293" i="33"/>
  <c r="A292" i="33"/>
  <c r="A288" i="33"/>
  <c r="E286" i="33"/>
  <c r="C285" i="33"/>
  <c r="E282" i="33"/>
  <c r="C281" i="33"/>
  <c r="A280" i="33"/>
  <c r="E278" i="33"/>
  <c r="C277" i="33"/>
  <c r="F274" i="33"/>
  <c r="D273" i="33"/>
  <c r="A270" i="33"/>
  <c r="D269" i="33"/>
  <c r="E293" i="33"/>
  <c r="E285" i="33"/>
  <c r="D294" i="33"/>
  <c r="B293" i="33"/>
  <c r="F291" i="33"/>
  <c r="F287" i="33"/>
  <c r="D286" i="33"/>
  <c r="B285" i="33"/>
  <c r="D282" i="33"/>
  <c r="B281" i="33"/>
  <c r="F279" i="33"/>
  <c r="D278" i="33"/>
  <c r="B277" i="33"/>
  <c r="E274" i="33"/>
  <c r="C273" i="33"/>
  <c r="F272" i="33"/>
  <c r="C269" i="33"/>
  <c r="A291" i="33"/>
  <c r="C294" i="33"/>
  <c r="A293" i="33"/>
  <c r="E291" i="33"/>
  <c r="E287" i="33"/>
  <c r="C286" i="33"/>
  <c r="A285" i="33"/>
  <c r="C282" i="33"/>
  <c r="A281" i="33"/>
  <c r="E279" i="33"/>
  <c r="C278" i="33"/>
  <c r="A277" i="33"/>
  <c r="D274" i="33"/>
  <c r="B273" i="33"/>
  <c r="E272" i="33"/>
  <c r="F271" i="33"/>
  <c r="B269" i="33"/>
  <c r="B294" i="33"/>
  <c r="F292" i="33"/>
  <c r="D291" i="33"/>
  <c r="F288" i="33"/>
  <c r="D287" i="33"/>
  <c r="B286" i="33"/>
  <c r="B282" i="33"/>
  <c r="F280" i="33"/>
  <c r="D279" i="33"/>
  <c r="B278" i="33"/>
  <c r="C274" i="33"/>
  <c r="A273" i="33"/>
  <c r="D272" i="33"/>
  <c r="E271" i="33"/>
  <c r="F270" i="33"/>
  <c r="C288" i="33"/>
  <c r="E281" i="33"/>
  <c r="A294" i="33"/>
  <c r="E292" i="33"/>
  <c r="C291" i="33"/>
  <c r="E288" i="33"/>
  <c r="C287" i="33"/>
  <c r="A286" i="33"/>
  <c r="A282" i="33"/>
  <c r="E280" i="33"/>
  <c r="C279" i="33"/>
  <c r="A278" i="33"/>
  <c r="B274" i="33"/>
  <c r="C272" i="33"/>
  <c r="D271" i="33"/>
  <c r="E270" i="33"/>
  <c r="F293" i="33"/>
  <c r="D292" i="33"/>
  <c r="B291" i="33"/>
  <c r="O270" i="33" s="1"/>
  <c r="H26" i="4" s="1"/>
  <c r="J26" i="36" s="1"/>
  <c r="K26" i="36" s="1"/>
  <c r="D288" i="33"/>
  <c r="B287" i="33"/>
  <c r="F285" i="33"/>
  <c r="F281" i="33"/>
  <c r="D280" i="33"/>
  <c r="B279" i="33"/>
  <c r="F277" i="33"/>
  <c r="A274" i="33"/>
  <c r="B272" i="33"/>
  <c r="C271" i="33"/>
  <c r="D270" i="33"/>
  <c r="A287" i="33"/>
  <c r="C280" i="33"/>
  <c r="B271" i="33"/>
  <c r="A279" i="33"/>
  <c r="E277" i="33"/>
  <c r="C270" i="33"/>
  <c r="F273" i="33"/>
  <c r="F269" i="33"/>
  <c r="C292" i="33"/>
  <c r="A272" i="33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O378" i="32"/>
  <c r="Q376" i="32"/>
  <c r="N378" i="32"/>
  <c r="Q377" i="32"/>
  <c r="P376" i="32"/>
  <c r="Q380" i="32"/>
  <c r="P377" i="32"/>
  <c r="M378" i="32"/>
  <c r="O376" i="32"/>
  <c r="O269" i="33" l="1"/>
  <c r="H25" i="4" s="1"/>
  <c r="J25" i="36" s="1"/>
  <c r="K25" i="36" s="1"/>
  <c r="O271" i="33"/>
  <c r="H27" i="4" s="1"/>
  <c r="J27" i="36" s="1"/>
  <c r="K27" i="36" s="1"/>
  <c r="H269" i="33"/>
  <c r="N272" i="33" s="1"/>
  <c r="O272" i="33" s="1"/>
  <c r="H266" i="33"/>
  <c r="N268" i="33" s="1"/>
  <c r="U386" i="32"/>
  <c r="U379" i="32" s="1"/>
  <c r="N392" i="32" s="1"/>
  <c r="T383" i="32" s="1"/>
  <c r="I269" i="33" l="1"/>
  <c r="I272" i="33" s="1"/>
  <c r="O268" i="33"/>
  <c r="H272" i="33" l="1"/>
  <c r="H274" i="33" s="1"/>
  <c r="E17" i="4" s="1"/>
  <c r="R268" i="33"/>
  <c r="G17" i="36" s="1"/>
  <c r="E17" i="36"/>
  <c r="Q268" i="33"/>
  <c r="P268" i="33"/>
  <c r="CJ24" i="23"/>
  <c r="CO12" i="23"/>
  <c r="CO24" i="23" s="1"/>
  <c r="CO36" i="23" s="1"/>
  <c r="CO48" i="23" s="1"/>
  <c r="CO60" i="23" s="1"/>
  <c r="CO72" i="23" s="1"/>
  <c r="CO84" i="23" s="1"/>
  <c r="CO96" i="23" s="1"/>
  <c r="CO108" i="23" s="1"/>
  <c r="CO120" i="23" s="1"/>
  <c r="CI12" i="23"/>
  <c r="CI24" i="23" s="1"/>
  <c r="CI36" i="23" s="1"/>
  <c r="CI48" i="23" s="1"/>
  <c r="CI60" i="23" s="1"/>
  <c r="CI72" i="23" s="1"/>
  <c r="CI84" i="23" s="1"/>
  <c r="CI96" i="23" s="1"/>
  <c r="CI108" i="23" s="1"/>
  <c r="CI120" i="23" s="1"/>
  <c r="CC6" i="23"/>
  <c r="CC30" i="23" s="1"/>
  <c r="CC42" i="23" s="1"/>
  <c r="CC54" i="23" s="1"/>
  <c r="CC66" i="23" s="1"/>
  <c r="CC78" i="23" s="1"/>
  <c r="CC90" i="23" s="1"/>
  <c r="CC102" i="23" s="1"/>
  <c r="CC114" i="23" s="1"/>
  <c r="CC7" i="23"/>
  <c r="CC31" i="23" s="1"/>
  <c r="CC43" i="23" s="1"/>
  <c r="CC55" i="23" s="1"/>
  <c r="CC67" i="23" s="1"/>
  <c r="CC79" i="23" s="1"/>
  <c r="CC91" i="23" s="1"/>
  <c r="CC103" i="23" s="1"/>
  <c r="CC115" i="23" s="1"/>
  <c r="CC8" i="23"/>
  <c r="CC32" i="23" s="1"/>
  <c r="CC44" i="23" s="1"/>
  <c r="CC56" i="23" s="1"/>
  <c r="CC68" i="23" s="1"/>
  <c r="CC80" i="23" s="1"/>
  <c r="CC92" i="23" s="1"/>
  <c r="CC104" i="23" s="1"/>
  <c r="CC116" i="23" s="1"/>
  <c r="CC9" i="23"/>
  <c r="CC33" i="23" s="1"/>
  <c r="CC45" i="23" s="1"/>
  <c r="CC57" i="23" s="1"/>
  <c r="CC69" i="23" s="1"/>
  <c r="CC81" i="23" s="1"/>
  <c r="CC93" i="23" s="1"/>
  <c r="CC105" i="23" s="1"/>
  <c r="CC117" i="23" s="1"/>
  <c r="CC10" i="23"/>
  <c r="CC34" i="23" s="1"/>
  <c r="CC46" i="23" s="1"/>
  <c r="CC58" i="23" s="1"/>
  <c r="CC70" i="23" s="1"/>
  <c r="CC82" i="23" s="1"/>
  <c r="CC94" i="23" s="1"/>
  <c r="CC106" i="23" s="1"/>
  <c r="CC118" i="23" s="1"/>
  <c r="CC11" i="23"/>
  <c r="CC35" i="23" s="1"/>
  <c r="CC47" i="23" s="1"/>
  <c r="CC59" i="23" s="1"/>
  <c r="CC71" i="23" s="1"/>
  <c r="CC83" i="23" s="1"/>
  <c r="CC95" i="23" s="1"/>
  <c r="CC107" i="23" s="1"/>
  <c r="CC119" i="23" s="1"/>
  <c r="CC12" i="23"/>
  <c r="CC36" i="23" s="1"/>
  <c r="CC48" i="23" s="1"/>
  <c r="CC60" i="23" s="1"/>
  <c r="CC72" i="23" s="1"/>
  <c r="CC84" i="23" s="1"/>
  <c r="CC96" i="23" s="1"/>
  <c r="CC108" i="23" s="1"/>
  <c r="CC120" i="23" s="1"/>
  <c r="CC13" i="23"/>
  <c r="CC37" i="23" s="1"/>
  <c r="CC49" i="23" s="1"/>
  <c r="CC61" i="23" s="1"/>
  <c r="CC73" i="23" s="1"/>
  <c r="CC85" i="23" s="1"/>
  <c r="CC97" i="23" s="1"/>
  <c r="CC109" i="23" s="1"/>
  <c r="CC121" i="23" s="1"/>
  <c r="BX120" i="23"/>
  <c r="BY120" i="23" s="1"/>
  <c r="BX108" i="23"/>
  <c r="BY108" i="23" s="1"/>
  <c r="BX96" i="23"/>
  <c r="BY96" i="23" s="1"/>
  <c r="BX84" i="23"/>
  <c r="BY84" i="23" s="1"/>
  <c r="BX72" i="23"/>
  <c r="BY72" i="23" s="1"/>
  <c r="BX60" i="23"/>
  <c r="BY60" i="23" s="1"/>
  <c r="BX48" i="23"/>
  <c r="BY48" i="23" s="1"/>
  <c r="BX36" i="23"/>
  <c r="BY36" i="23" s="1"/>
  <c r="BX24" i="23"/>
  <c r="BY24" i="23" s="1"/>
  <c r="BX12" i="23"/>
  <c r="BY12" i="23" s="1"/>
  <c r="BR120" i="23"/>
  <c r="BS120" i="23" s="1"/>
  <c r="BR108" i="23"/>
  <c r="BS108" i="23" s="1"/>
  <c r="BR96" i="23"/>
  <c r="BS96" i="23" s="1"/>
  <c r="BR84" i="23"/>
  <c r="BS84" i="23" s="1"/>
  <c r="BR72" i="23"/>
  <c r="BS72" i="23" s="1"/>
  <c r="BR60" i="23"/>
  <c r="BS60" i="23" s="1"/>
  <c r="BR48" i="23"/>
  <c r="BS48" i="23" s="1"/>
  <c r="BR36" i="23"/>
  <c r="BS36" i="23" s="1"/>
  <c r="BR24" i="23"/>
  <c r="BS24" i="23" s="1"/>
  <c r="BR12" i="23"/>
  <c r="BS12" i="23" s="1"/>
  <c r="BL120" i="23"/>
  <c r="BM120" i="23" s="1"/>
  <c r="BL108" i="23"/>
  <c r="BM108" i="23" s="1"/>
  <c r="BL96" i="23"/>
  <c r="BM96" i="23" s="1"/>
  <c r="BL84" i="23"/>
  <c r="BM84" i="23" s="1"/>
  <c r="BL72" i="23"/>
  <c r="BM72" i="23" s="1"/>
  <c r="BL60" i="23"/>
  <c r="BM60" i="23" s="1"/>
  <c r="BL48" i="23"/>
  <c r="BM48" i="23" s="1"/>
  <c r="BL36" i="23"/>
  <c r="BM36" i="23" s="1"/>
  <c r="BL24" i="23"/>
  <c r="BM24" i="23" s="1"/>
  <c r="BL12" i="23"/>
  <c r="BM12" i="23" s="1"/>
  <c r="BF120" i="23"/>
  <c r="BG120" i="23" s="1"/>
  <c r="BF108" i="23"/>
  <c r="BG108" i="23" s="1"/>
  <c r="BF96" i="23"/>
  <c r="BG96" i="23" s="1"/>
  <c r="BF84" i="23"/>
  <c r="BG84" i="23" s="1"/>
  <c r="BF72" i="23"/>
  <c r="BG72" i="23" s="1"/>
  <c r="BF60" i="23"/>
  <c r="BG60" i="23" s="1"/>
  <c r="BF48" i="23"/>
  <c r="BG48" i="23" s="1"/>
  <c r="BF36" i="23"/>
  <c r="BG36" i="23" s="1"/>
  <c r="BF24" i="23"/>
  <c r="BG24" i="23" s="1"/>
  <c r="BF12" i="23"/>
  <c r="BG12" i="23" s="1"/>
  <c r="AZ120" i="23"/>
  <c r="BA120" i="23" s="1"/>
  <c r="AZ108" i="23"/>
  <c r="BA108" i="23" s="1"/>
  <c r="AZ96" i="23"/>
  <c r="BA96" i="23" s="1"/>
  <c r="AZ84" i="23"/>
  <c r="BA84" i="23" s="1"/>
  <c r="AZ72" i="23"/>
  <c r="BA72" i="23" s="1"/>
  <c r="AZ60" i="23"/>
  <c r="BA60" i="23" s="1"/>
  <c r="AZ48" i="23"/>
  <c r="BA48" i="23" s="1"/>
  <c r="AZ36" i="23"/>
  <c r="BA36" i="23" s="1"/>
  <c r="AZ24" i="23"/>
  <c r="BA24" i="23" s="1"/>
  <c r="AZ12" i="23"/>
  <c r="BA12" i="23" s="1"/>
  <c r="CC23" i="23" l="1"/>
  <c r="CC22" i="23"/>
  <c r="CC21" i="23"/>
  <c r="CE12" i="23"/>
  <c r="CE24" i="23" s="1"/>
  <c r="CE36" i="23" s="1"/>
  <c r="CE48" i="23" s="1"/>
  <c r="CE60" i="23" s="1"/>
  <c r="CE72" i="23" s="1"/>
  <c r="CE84" i="23" s="1"/>
  <c r="CE96" i="23" s="1"/>
  <c r="CE108" i="23" s="1"/>
  <c r="CE120" i="23" s="1"/>
  <c r="CC20" i="23"/>
  <c r="CC19" i="23"/>
  <c r="CK12" i="23"/>
  <c r="CK24" i="23" s="1"/>
  <c r="CK36" i="23" s="1"/>
  <c r="CK48" i="23" s="1"/>
  <c r="CK60" i="23" s="1"/>
  <c r="CK72" i="23" s="1"/>
  <c r="CK84" i="23" s="1"/>
  <c r="CK96" i="23" s="1"/>
  <c r="CC18" i="23"/>
  <c r="CC25" i="23"/>
  <c r="CC24" i="23"/>
  <c r="D24" i="23"/>
  <c r="E24" i="23" s="1"/>
  <c r="D12" i="23"/>
  <c r="E12" i="23" s="1"/>
  <c r="AH120" i="23"/>
  <c r="AI120" i="23" s="1"/>
  <c r="AH108" i="23"/>
  <c r="AI108" i="23" s="1"/>
  <c r="AH96" i="23"/>
  <c r="AI96" i="23" s="1"/>
  <c r="AH84" i="23"/>
  <c r="AI84" i="23" s="1"/>
  <c r="AH72" i="23"/>
  <c r="AI72" i="23" s="1"/>
  <c r="AH60" i="23"/>
  <c r="AI60" i="23" s="1"/>
  <c r="AH48" i="23"/>
  <c r="AI48" i="23" s="1"/>
  <c r="AH36" i="23"/>
  <c r="AI36" i="23" s="1"/>
  <c r="AH24" i="23"/>
  <c r="AI24" i="23" s="1"/>
  <c r="AH12" i="23"/>
  <c r="AI12" i="23" s="1"/>
  <c r="AB29" i="23"/>
  <c r="AB30" i="23"/>
  <c r="AB31" i="23"/>
  <c r="AB32" i="23"/>
  <c r="AB33" i="23"/>
  <c r="AB34" i="23"/>
  <c r="AB35" i="23"/>
  <c r="AB36" i="23"/>
  <c r="AC36" i="23" s="1"/>
  <c r="AB37" i="23"/>
  <c r="AB12" i="23"/>
  <c r="AC12" i="23" s="1"/>
  <c r="AB24" i="23"/>
  <c r="AC24" i="23" s="1"/>
  <c r="AB48" i="23"/>
  <c r="AC48" i="23" s="1"/>
  <c r="AB60" i="23"/>
  <c r="AC60" i="23" s="1"/>
  <c r="AB61" i="23"/>
  <c r="AB72" i="23"/>
  <c r="AC72" i="23" s="1"/>
  <c r="AB73" i="23"/>
  <c r="AB84" i="23"/>
  <c r="AC84" i="23" s="1"/>
  <c r="AB85" i="23"/>
  <c r="AB96" i="23"/>
  <c r="AC96" i="23" s="1"/>
  <c r="AB108" i="23"/>
  <c r="AC108" i="23" s="1"/>
  <c r="AB120" i="23"/>
  <c r="AC120" i="23" s="1"/>
  <c r="AA16" i="23"/>
  <c r="AA28" i="23" s="1"/>
  <c r="AA40" i="23" s="1"/>
  <c r="AA52" i="23" s="1"/>
  <c r="AA64" i="23" s="1"/>
  <c r="AA76" i="23" s="1"/>
  <c r="AA88" i="23" s="1"/>
  <c r="AA100" i="23" s="1"/>
  <c r="AA112" i="23" s="1"/>
  <c r="P114" i="23"/>
  <c r="P115" i="23"/>
  <c r="P116" i="23"/>
  <c r="P117" i="23"/>
  <c r="P118" i="23"/>
  <c r="P119" i="23"/>
  <c r="P120" i="23"/>
  <c r="P121" i="23"/>
  <c r="P113" i="23"/>
  <c r="P102" i="23"/>
  <c r="P103" i="23"/>
  <c r="P104" i="23"/>
  <c r="P105" i="23"/>
  <c r="P106" i="23"/>
  <c r="P107" i="23"/>
  <c r="P108" i="23"/>
  <c r="P109" i="23"/>
  <c r="P101" i="23"/>
  <c r="P90" i="23"/>
  <c r="P91" i="23"/>
  <c r="P92" i="23"/>
  <c r="P93" i="23"/>
  <c r="P94" i="23"/>
  <c r="P95" i="23"/>
  <c r="P96" i="23"/>
  <c r="P97" i="23"/>
  <c r="P89" i="23"/>
  <c r="P78" i="23"/>
  <c r="P79" i="23"/>
  <c r="P80" i="23"/>
  <c r="P81" i="23"/>
  <c r="P82" i="23"/>
  <c r="P83" i="23"/>
  <c r="P84" i="23"/>
  <c r="P85" i="23"/>
  <c r="P77" i="23"/>
  <c r="P66" i="23"/>
  <c r="P67" i="23"/>
  <c r="P68" i="23"/>
  <c r="P69" i="23"/>
  <c r="P70" i="23"/>
  <c r="P71" i="23"/>
  <c r="P72" i="23"/>
  <c r="P73" i="23"/>
  <c r="P65" i="23"/>
  <c r="P54" i="23"/>
  <c r="P55" i="23"/>
  <c r="P56" i="23"/>
  <c r="P57" i="23"/>
  <c r="P58" i="23"/>
  <c r="P59" i="23"/>
  <c r="P60" i="23"/>
  <c r="P61" i="23"/>
  <c r="P53" i="23"/>
  <c r="P42" i="23"/>
  <c r="P43" i="23"/>
  <c r="P44" i="23"/>
  <c r="P45" i="23"/>
  <c r="P46" i="23"/>
  <c r="P47" i="23"/>
  <c r="P48" i="23"/>
  <c r="P49" i="23"/>
  <c r="P41" i="23"/>
  <c r="P30" i="23"/>
  <c r="P31" i="23"/>
  <c r="P32" i="23"/>
  <c r="P33" i="23"/>
  <c r="P34" i="23"/>
  <c r="P35" i="23"/>
  <c r="P36" i="23"/>
  <c r="P37" i="23"/>
  <c r="P29" i="23"/>
  <c r="P18" i="23"/>
  <c r="P19" i="23"/>
  <c r="P20" i="23"/>
  <c r="P21" i="23"/>
  <c r="P22" i="23"/>
  <c r="P23" i="23"/>
  <c r="P24" i="23"/>
  <c r="P25" i="23"/>
  <c r="P17" i="23"/>
  <c r="P6" i="23"/>
  <c r="P7" i="23"/>
  <c r="P8" i="23"/>
  <c r="P9" i="23"/>
  <c r="P10" i="23"/>
  <c r="P11" i="23"/>
  <c r="P12" i="23"/>
  <c r="P13" i="23"/>
  <c r="P5" i="23"/>
  <c r="AT120" i="23"/>
  <c r="AU120" i="23" s="1"/>
  <c r="AT108" i="23"/>
  <c r="AU108" i="23" s="1"/>
  <c r="AT96" i="23"/>
  <c r="AU96" i="23" s="1"/>
  <c r="AT84" i="23"/>
  <c r="AU84" i="23" s="1"/>
  <c r="AT72" i="23"/>
  <c r="AU72" i="23" s="1"/>
  <c r="AT60" i="23"/>
  <c r="AU60" i="23" s="1"/>
  <c r="AT48" i="23"/>
  <c r="AU48" i="23" s="1"/>
  <c r="AT36" i="23"/>
  <c r="AU36" i="23" s="1"/>
  <c r="AT24" i="23"/>
  <c r="AU24" i="23" s="1"/>
  <c r="AT12" i="23"/>
  <c r="AU12" i="23" s="1"/>
  <c r="AN120" i="23" l="1"/>
  <c r="AO120" i="23" s="1"/>
  <c r="AN108" i="23"/>
  <c r="AO108" i="23" s="1"/>
  <c r="AN96" i="23"/>
  <c r="AO96" i="23" s="1"/>
  <c r="AN84" i="23"/>
  <c r="AO84" i="23" s="1"/>
  <c r="AN72" i="23"/>
  <c r="AO72" i="23" s="1"/>
  <c r="AN60" i="23"/>
  <c r="AO60" i="23" s="1"/>
  <c r="AN48" i="23"/>
  <c r="AO48" i="23" s="1"/>
  <c r="AN36" i="23"/>
  <c r="AO36" i="23" s="1"/>
  <c r="AN24" i="23"/>
  <c r="AO24" i="23" s="1"/>
  <c r="AN12" i="23"/>
  <c r="AO12" i="23" s="1"/>
  <c r="B150" i="23"/>
  <c r="B164" i="23" s="1"/>
  <c r="B178" i="23" s="1"/>
  <c r="B191" i="23" s="1"/>
  <c r="T136" i="23"/>
  <c r="T150" i="23" s="1"/>
  <c r="T164" i="23" s="1"/>
  <c r="T178" i="23" s="1"/>
  <c r="T191" i="23" s="1"/>
  <c r="I86" i="5" l="1"/>
  <c r="J96" i="5"/>
  <c r="R8" i="4" l="1"/>
  <c r="C27" i="5" l="1"/>
  <c r="K28" i="2"/>
  <c r="K30" i="2"/>
  <c r="J27" i="4" s="1"/>
  <c r="J26" i="4" l="1"/>
  <c r="L26" i="5" s="1"/>
  <c r="C26" i="5"/>
  <c r="C25" i="5"/>
  <c r="AZ5" i="23"/>
  <c r="BA5" i="23" s="1"/>
  <c r="AN65" i="23"/>
  <c r="AO65" i="23" s="1"/>
  <c r="AH113" i="23"/>
  <c r="AI113" i="23" s="1"/>
  <c r="V17" i="23"/>
  <c r="W17" i="23" s="1"/>
  <c r="R256" i="23" l="1"/>
  <c r="R254" i="23"/>
  <c r="P252" i="23" l="1"/>
  <c r="J8" i="2" l="1"/>
  <c r="K8" i="2" l="1"/>
  <c r="E7" i="4" s="1"/>
  <c r="F7" i="4" l="1"/>
  <c r="F7" i="36" s="1"/>
  <c r="E7" i="36"/>
  <c r="E7" i="5"/>
  <c r="CJ30" i="23"/>
  <c r="CJ42" i="23" s="1"/>
  <c r="CJ31" i="23"/>
  <c r="CJ43" i="23" s="1"/>
  <c r="CJ32" i="23"/>
  <c r="CJ44" i="23" s="1"/>
  <c r="CJ33" i="23"/>
  <c r="CJ45" i="23" s="1"/>
  <c r="CJ34" i="23"/>
  <c r="CJ46" i="23" s="1"/>
  <c r="CJ35" i="23"/>
  <c r="CJ47" i="23" s="1"/>
  <c r="CJ37" i="23"/>
  <c r="CJ49" i="23" s="1"/>
  <c r="CJ29" i="23"/>
  <c r="CJ41" i="23" s="1"/>
  <c r="CJ18" i="23"/>
  <c r="CJ19" i="23"/>
  <c r="CJ20" i="23"/>
  <c r="CJ21" i="23"/>
  <c r="CJ22" i="23"/>
  <c r="CJ23" i="23"/>
  <c r="CJ25" i="23"/>
  <c r="CJ17" i="23"/>
  <c r="CP114" i="23"/>
  <c r="CP115" i="23"/>
  <c r="CP116" i="23"/>
  <c r="CP117" i="23"/>
  <c r="CP118" i="23"/>
  <c r="CP119" i="23"/>
  <c r="CP121" i="23"/>
  <c r="CP113" i="23"/>
  <c r="CP102" i="23"/>
  <c r="CP103" i="23"/>
  <c r="CP104" i="23"/>
  <c r="CP105" i="23"/>
  <c r="CP106" i="23"/>
  <c r="CP107" i="23"/>
  <c r="CP109" i="23"/>
  <c r="CP101" i="23"/>
  <c r="CP90" i="23"/>
  <c r="CP91" i="23"/>
  <c r="CP92" i="23"/>
  <c r="CP93" i="23"/>
  <c r="CP94" i="23"/>
  <c r="CP95" i="23"/>
  <c r="CP97" i="23"/>
  <c r="CP89" i="23"/>
  <c r="CP78" i="23"/>
  <c r="CP79" i="23"/>
  <c r="CP80" i="23"/>
  <c r="CP81" i="23"/>
  <c r="CP82" i="23"/>
  <c r="CP83" i="23"/>
  <c r="CP85" i="23"/>
  <c r="CP77" i="23"/>
  <c r="CP66" i="23"/>
  <c r="CP67" i="23"/>
  <c r="CP68" i="23"/>
  <c r="CP69" i="23"/>
  <c r="CP70" i="23"/>
  <c r="CP71" i="23"/>
  <c r="CP73" i="23"/>
  <c r="CP65" i="23"/>
  <c r="CP54" i="23"/>
  <c r="CP55" i="23"/>
  <c r="CP56" i="23"/>
  <c r="CP57" i="23"/>
  <c r="CP58" i="23"/>
  <c r="CP59" i="23"/>
  <c r="CP61" i="23"/>
  <c r="CP53" i="23"/>
  <c r="CP42" i="23"/>
  <c r="CP43" i="23"/>
  <c r="CP44" i="23"/>
  <c r="CP45" i="23"/>
  <c r="CP46" i="23"/>
  <c r="CP47" i="23"/>
  <c r="CP49" i="23"/>
  <c r="CP41" i="23"/>
  <c r="CP30" i="23"/>
  <c r="CP31" i="23"/>
  <c r="CP32" i="23"/>
  <c r="CP33" i="23"/>
  <c r="CP34" i="23"/>
  <c r="CP35" i="23"/>
  <c r="CP37" i="23"/>
  <c r="CP29" i="23"/>
  <c r="CP18" i="23"/>
  <c r="CP19" i="23"/>
  <c r="CP20" i="23"/>
  <c r="CP21" i="23"/>
  <c r="CP22" i="23"/>
  <c r="CP23" i="23"/>
  <c r="CP25" i="23"/>
  <c r="CP17" i="23"/>
  <c r="CO6" i="23"/>
  <c r="CO7" i="23"/>
  <c r="CO8" i="23"/>
  <c r="CO9" i="23"/>
  <c r="CO10" i="23"/>
  <c r="CO11" i="23"/>
  <c r="CO13" i="23"/>
  <c r="CO5" i="23"/>
  <c r="CI6" i="23"/>
  <c r="CI7" i="23"/>
  <c r="CI8" i="23"/>
  <c r="CI9" i="23"/>
  <c r="CI10" i="23"/>
  <c r="CI11" i="23"/>
  <c r="CI13" i="23"/>
  <c r="CI5" i="23"/>
  <c r="CI17" i="23" s="1"/>
  <c r="BX4" i="23"/>
  <c r="BX16" i="23" s="1"/>
  <c r="BX28" i="23" s="1"/>
  <c r="BX40" i="23" s="1"/>
  <c r="BX52" i="23" s="1"/>
  <c r="BX64" i="23" s="1"/>
  <c r="BX76" i="23" s="1"/>
  <c r="BX88" i="23" s="1"/>
  <c r="BX100" i="23" s="1"/>
  <c r="BX112" i="23" s="1"/>
  <c r="BX114" i="23"/>
  <c r="BX115" i="23"/>
  <c r="BX116" i="23"/>
  <c r="BX117" i="23"/>
  <c r="BX118" i="23"/>
  <c r="BX119" i="23"/>
  <c r="BX121" i="23"/>
  <c r="BX113" i="23"/>
  <c r="BX102" i="23"/>
  <c r="BX103" i="23"/>
  <c r="BX104" i="23"/>
  <c r="BX105" i="23"/>
  <c r="BX106" i="23"/>
  <c r="BX107" i="23"/>
  <c r="BX109" i="23"/>
  <c r="BX101" i="23"/>
  <c r="BX90" i="23"/>
  <c r="BX91" i="23"/>
  <c r="BX92" i="23"/>
  <c r="BX93" i="23"/>
  <c r="BX94" i="23"/>
  <c r="BX95" i="23"/>
  <c r="BX97" i="23"/>
  <c r="BX89" i="23"/>
  <c r="BX78" i="23"/>
  <c r="BX79" i="23"/>
  <c r="BX80" i="23"/>
  <c r="BX81" i="23"/>
  <c r="BX82" i="23"/>
  <c r="BX83" i="23"/>
  <c r="BX85" i="23"/>
  <c r="BX77" i="23"/>
  <c r="BX66" i="23"/>
  <c r="BX67" i="23"/>
  <c r="BX68" i="23"/>
  <c r="BX69" i="23"/>
  <c r="BX70" i="23"/>
  <c r="BX71" i="23"/>
  <c r="BX73" i="23"/>
  <c r="BX65" i="23"/>
  <c r="BX54" i="23"/>
  <c r="BX55" i="23"/>
  <c r="BX56" i="23"/>
  <c r="BX57" i="23"/>
  <c r="BX58" i="23"/>
  <c r="BX59" i="23"/>
  <c r="BX61" i="23"/>
  <c r="BX53" i="23"/>
  <c r="BX42" i="23"/>
  <c r="BX43" i="23"/>
  <c r="BX44" i="23"/>
  <c r="BX45" i="23"/>
  <c r="BX46" i="23"/>
  <c r="BX47" i="23"/>
  <c r="BX49" i="23"/>
  <c r="BX41" i="23"/>
  <c r="BX30" i="23"/>
  <c r="BX31" i="23"/>
  <c r="BX32" i="23"/>
  <c r="BX33" i="23"/>
  <c r="BX34" i="23"/>
  <c r="BX35" i="23"/>
  <c r="BX37" i="23"/>
  <c r="BX29" i="23"/>
  <c r="BX18" i="23"/>
  <c r="BX19" i="23"/>
  <c r="BX20" i="23"/>
  <c r="BX21" i="23"/>
  <c r="BX22" i="23"/>
  <c r="BX23" i="23"/>
  <c r="BX25" i="23"/>
  <c r="BX17" i="23"/>
  <c r="BX6" i="23"/>
  <c r="BX7" i="23"/>
  <c r="BX8" i="23"/>
  <c r="BX9" i="23"/>
  <c r="BX10" i="23"/>
  <c r="BX11" i="23"/>
  <c r="BX13" i="23"/>
  <c r="BX5" i="23"/>
  <c r="BR4" i="23"/>
  <c r="BR16" i="23" s="1"/>
  <c r="BR28" i="23" s="1"/>
  <c r="BR40" i="23" s="1"/>
  <c r="BR52" i="23" s="1"/>
  <c r="BR64" i="23" s="1"/>
  <c r="BR76" i="23" s="1"/>
  <c r="BR88" i="23" s="1"/>
  <c r="BR100" i="23" s="1"/>
  <c r="BR112" i="23" s="1"/>
  <c r="BR114" i="23"/>
  <c r="BR115" i="23"/>
  <c r="BR116" i="23"/>
  <c r="BR117" i="23"/>
  <c r="BR118" i="23"/>
  <c r="BR119" i="23"/>
  <c r="BR121" i="23"/>
  <c r="BR113" i="23"/>
  <c r="BR102" i="23"/>
  <c r="BR103" i="23"/>
  <c r="BR104" i="23"/>
  <c r="BR105" i="23"/>
  <c r="BR106" i="23"/>
  <c r="BR107" i="23"/>
  <c r="BR109" i="23"/>
  <c r="BR101" i="23"/>
  <c r="BR90" i="23"/>
  <c r="BR91" i="23"/>
  <c r="BR92" i="23"/>
  <c r="BR93" i="23"/>
  <c r="BR94" i="23"/>
  <c r="BR95" i="23"/>
  <c r="BR97" i="23"/>
  <c r="BR89" i="23"/>
  <c r="BR78" i="23"/>
  <c r="BR79" i="23"/>
  <c r="BR80" i="23"/>
  <c r="BR81" i="23"/>
  <c r="BR82" i="23"/>
  <c r="BR83" i="23"/>
  <c r="BR85" i="23"/>
  <c r="BR77" i="23"/>
  <c r="BR66" i="23"/>
  <c r="BR67" i="23"/>
  <c r="BR68" i="23"/>
  <c r="BR69" i="23"/>
  <c r="BR70" i="23"/>
  <c r="BR71" i="23"/>
  <c r="BR73" i="23"/>
  <c r="BR65" i="23"/>
  <c r="BR54" i="23"/>
  <c r="BR55" i="23"/>
  <c r="BR56" i="23"/>
  <c r="BR57" i="23"/>
  <c r="BR58" i="23"/>
  <c r="BR59" i="23"/>
  <c r="BR61" i="23"/>
  <c r="BR53" i="23"/>
  <c r="BR42" i="23"/>
  <c r="BR43" i="23"/>
  <c r="BR44" i="23"/>
  <c r="BR45" i="23"/>
  <c r="BR46" i="23"/>
  <c r="BR47" i="23"/>
  <c r="BR49" i="23"/>
  <c r="BR41" i="23"/>
  <c r="BS41" i="23" s="1"/>
  <c r="BR30" i="23"/>
  <c r="BR31" i="23"/>
  <c r="BR32" i="23"/>
  <c r="BR33" i="23"/>
  <c r="BR34" i="23"/>
  <c r="BR35" i="23"/>
  <c r="BR37" i="23"/>
  <c r="BR29" i="23"/>
  <c r="BR18" i="23"/>
  <c r="BR19" i="23"/>
  <c r="BR20" i="23"/>
  <c r="BR21" i="23"/>
  <c r="BR22" i="23"/>
  <c r="BR23" i="23"/>
  <c r="BR25" i="23"/>
  <c r="BR17" i="23"/>
  <c r="BR6" i="23"/>
  <c r="BR7" i="23"/>
  <c r="BR8" i="23"/>
  <c r="BR9" i="23"/>
  <c r="BR10" i="23"/>
  <c r="BR11" i="23"/>
  <c r="BR13" i="23"/>
  <c r="BR5" i="23"/>
  <c r="BL4" i="23"/>
  <c r="BL16" i="23" s="1"/>
  <c r="BL28" i="23" s="1"/>
  <c r="BL40" i="23" s="1"/>
  <c r="BL52" i="23" s="1"/>
  <c r="BL64" i="23" s="1"/>
  <c r="BL76" i="23" s="1"/>
  <c r="BL88" i="23" s="1"/>
  <c r="BL100" i="23" s="1"/>
  <c r="BL112" i="23" s="1"/>
  <c r="BL114" i="23"/>
  <c r="BL115" i="23"/>
  <c r="BL116" i="23"/>
  <c r="BL117" i="23"/>
  <c r="BL118" i="23"/>
  <c r="BL119" i="23"/>
  <c r="BL121" i="23"/>
  <c r="BL113" i="23"/>
  <c r="BL102" i="23"/>
  <c r="BL103" i="23"/>
  <c r="BL104" i="23"/>
  <c r="BL105" i="23"/>
  <c r="BL106" i="23"/>
  <c r="BL107" i="23"/>
  <c r="BL109" i="23"/>
  <c r="BL101" i="23"/>
  <c r="BL90" i="23"/>
  <c r="BL91" i="23"/>
  <c r="BL92" i="23"/>
  <c r="BL93" i="23"/>
  <c r="BL94" i="23"/>
  <c r="BL95" i="23"/>
  <c r="BL97" i="23"/>
  <c r="BL89" i="23"/>
  <c r="BL78" i="23"/>
  <c r="BL79" i="23"/>
  <c r="BL80" i="23"/>
  <c r="BL81" i="23"/>
  <c r="BL82" i="23"/>
  <c r="BL83" i="23"/>
  <c r="BL85" i="23"/>
  <c r="BL77" i="23"/>
  <c r="BL66" i="23"/>
  <c r="BL67" i="23"/>
  <c r="BL68" i="23"/>
  <c r="BL69" i="23"/>
  <c r="BL70" i="23"/>
  <c r="BL71" i="23"/>
  <c r="BL73" i="23"/>
  <c r="BL65" i="23"/>
  <c r="BL54" i="23"/>
  <c r="BL55" i="23"/>
  <c r="BL56" i="23"/>
  <c r="BL57" i="23"/>
  <c r="BL58" i="23"/>
  <c r="BL59" i="23"/>
  <c r="BL61" i="23"/>
  <c r="BL53" i="23"/>
  <c r="BL42" i="23"/>
  <c r="BL43" i="23"/>
  <c r="BL44" i="23"/>
  <c r="BL45" i="23"/>
  <c r="BL46" i="23"/>
  <c r="BL47" i="23"/>
  <c r="BL49" i="23"/>
  <c r="BL41" i="23"/>
  <c r="BL30" i="23"/>
  <c r="BL31" i="23"/>
  <c r="BL32" i="23"/>
  <c r="BL33" i="23"/>
  <c r="BL34" i="23"/>
  <c r="BL35" i="23"/>
  <c r="BL37" i="23"/>
  <c r="BL29" i="23"/>
  <c r="BL18" i="23"/>
  <c r="BL19" i="23"/>
  <c r="BL20" i="23"/>
  <c r="BL21" i="23"/>
  <c r="BL22" i="23"/>
  <c r="BL23" i="23"/>
  <c r="BL25" i="23"/>
  <c r="BL17" i="23"/>
  <c r="BL6" i="23"/>
  <c r="BL7" i="23"/>
  <c r="BL8" i="23"/>
  <c r="BL9" i="23"/>
  <c r="BL10" i="23"/>
  <c r="BL11" i="23"/>
  <c r="BL13" i="23"/>
  <c r="BL5" i="23"/>
  <c r="BF4" i="23"/>
  <c r="BF114" i="23"/>
  <c r="BF115" i="23"/>
  <c r="BF116" i="23"/>
  <c r="BF117" i="23"/>
  <c r="BF118" i="23"/>
  <c r="BF119" i="23"/>
  <c r="BF121" i="23"/>
  <c r="BF113" i="23"/>
  <c r="BF102" i="23"/>
  <c r="BF103" i="23"/>
  <c r="BF104" i="23"/>
  <c r="BF105" i="23"/>
  <c r="BF106" i="23"/>
  <c r="BF107" i="23"/>
  <c r="BF109" i="23"/>
  <c r="BF101" i="23"/>
  <c r="BF90" i="23"/>
  <c r="BF91" i="23"/>
  <c r="BF92" i="23"/>
  <c r="BF93" i="23"/>
  <c r="BF94" i="23"/>
  <c r="BF95" i="23"/>
  <c r="BF97" i="23"/>
  <c r="BF89" i="23"/>
  <c r="BF78" i="23"/>
  <c r="BF79" i="23"/>
  <c r="BF80" i="23"/>
  <c r="BF81" i="23"/>
  <c r="BF82" i="23"/>
  <c r="BF83" i="23"/>
  <c r="BF85" i="23"/>
  <c r="BF77" i="23"/>
  <c r="BF66" i="23"/>
  <c r="BF67" i="23"/>
  <c r="BF68" i="23"/>
  <c r="BF69" i="23"/>
  <c r="BF70" i="23"/>
  <c r="BF71" i="23"/>
  <c r="BF73" i="23"/>
  <c r="BF65" i="23"/>
  <c r="BF54" i="23"/>
  <c r="BF55" i="23"/>
  <c r="BF56" i="23"/>
  <c r="BF57" i="23"/>
  <c r="BF58" i="23"/>
  <c r="BF59" i="23"/>
  <c r="BF61" i="23"/>
  <c r="BF53" i="23"/>
  <c r="BF42" i="23"/>
  <c r="BF43" i="23"/>
  <c r="BF44" i="23"/>
  <c r="BF45" i="23"/>
  <c r="BF46" i="23"/>
  <c r="BF47" i="23"/>
  <c r="BF49" i="23"/>
  <c r="BF41" i="23"/>
  <c r="BF30" i="23"/>
  <c r="BF31" i="23"/>
  <c r="BF32" i="23"/>
  <c r="BF33" i="23"/>
  <c r="BF34" i="23"/>
  <c r="BF35" i="23"/>
  <c r="BF37" i="23"/>
  <c r="BF29" i="23"/>
  <c r="BF18" i="23"/>
  <c r="BF19" i="23"/>
  <c r="BF20" i="23"/>
  <c r="BF21" i="23"/>
  <c r="BF22" i="23"/>
  <c r="BF23" i="23"/>
  <c r="BF25" i="23"/>
  <c r="BF17" i="23"/>
  <c r="BF6" i="23"/>
  <c r="BF7" i="23"/>
  <c r="BF8" i="23"/>
  <c r="BF9" i="23"/>
  <c r="BF10" i="23"/>
  <c r="BF11" i="23"/>
  <c r="BF13" i="23"/>
  <c r="BF5" i="23"/>
  <c r="AZ4" i="23"/>
  <c r="AZ16" i="23" s="1"/>
  <c r="AZ28" i="23" s="1"/>
  <c r="AZ40" i="23" s="1"/>
  <c r="AZ52" i="23" s="1"/>
  <c r="AZ64" i="23" s="1"/>
  <c r="AZ76" i="23" s="1"/>
  <c r="AZ88" i="23" s="1"/>
  <c r="AZ100" i="23" s="1"/>
  <c r="AZ112" i="23" s="1"/>
  <c r="AZ114" i="23"/>
  <c r="AZ115" i="23"/>
  <c r="AZ116" i="23"/>
  <c r="AZ117" i="23"/>
  <c r="AZ118" i="23"/>
  <c r="AZ119" i="23"/>
  <c r="AZ121" i="23"/>
  <c r="AZ113" i="23"/>
  <c r="AZ102" i="23"/>
  <c r="AZ103" i="23"/>
  <c r="AZ104" i="23"/>
  <c r="AZ105" i="23"/>
  <c r="AZ106" i="23"/>
  <c r="AZ107" i="23"/>
  <c r="AZ109" i="23"/>
  <c r="AZ101" i="23"/>
  <c r="AZ90" i="23"/>
  <c r="AZ91" i="23"/>
  <c r="AZ92" i="23"/>
  <c r="AZ93" i="23"/>
  <c r="AZ94" i="23"/>
  <c r="AZ95" i="23"/>
  <c r="AZ97" i="23"/>
  <c r="AZ89" i="23"/>
  <c r="AZ78" i="23"/>
  <c r="AZ79" i="23"/>
  <c r="AZ80" i="23"/>
  <c r="AZ81" i="23"/>
  <c r="AZ82" i="23"/>
  <c r="AZ83" i="23"/>
  <c r="AZ85" i="23"/>
  <c r="AZ77" i="23"/>
  <c r="AZ66" i="23"/>
  <c r="AZ67" i="23"/>
  <c r="AZ68" i="23"/>
  <c r="AZ69" i="23"/>
  <c r="AZ70" i="23"/>
  <c r="AZ71" i="23"/>
  <c r="AZ73" i="23"/>
  <c r="AZ65" i="23"/>
  <c r="AZ54" i="23"/>
  <c r="AZ55" i="23"/>
  <c r="AZ56" i="23"/>
  <c r="AZ57" i="23"/>
  <c r="AZ58" i="23"/>
  <c r="AZ59" i="23"/>
  <c r="AZ61" i="23"/>
  <c r="AZ53" i="23"/>
  <c r="AZ42" i="23"/>
  <c r="AZ43" i="23"/>
  <c r="AZ44" i="23"/>
  <c r="AZ45" i="23"/>
  <c r="AZ46" i="23"/>
  <c r="AZ47" i="23"/>
  <c r="AZ49" i="23"/>
  <c r="AZ41" i="23"/>
  <c r="AZ30" i="23"/>
  <c r="AZ31" i="23"/>
  <c r="AZ32" i="23"/>
  <c r="AZ33" i="23"/>
  <c r="AZ34" i="23"/>
  <c r="AZ35" i="23"/>
  <c r="AZ37" i="23"/>
  <c r="AZ29" i="23"/>
  <c r="AZ18" i="23"/>
  <c r="AZ19" i="23"/>
  <c r="AZ20" i="23"/>
  <c r="AZ21" i="23"/>
  <c r="AZ22" i="23"/>
  <c r="AZ23" i="23"/>
  <c r="AZ25" i="23"/>
  <c r="AZ17" i="23"/>
  <c r="AZ6" i="23"/>
  <c r="AZ7" i="23"/>
  <c r="AZ8" i="23"/>
  <c r="AZ9" i="23"/>
  <c r="AZ10" i="23"/>
  <c r="AZ11" i="23"/>
  <c r="AZ13" i="23"/>
  <c r="AT114" i="23"/>
  <c r="AT115" i="23"/>
  <c r="AT116" i="23"/>
  <c r="AT117" i="23"/>
  <c r="AT118" i="23"/>
  <c r="AT119" i="23"/>
  <c r="AT121" i="23"/>
  <c r="AT113" i="23"/>
  <c r="AT102" i="23"/>
  <c r="AT103" i="23"/>
  <c r="AT104" i="23"/>
  <c r="AT105" i="23"/>
  <c r="AT106" i="23"/>
  <c r="AT107" i="23"/>
  <c r="AT109" i="23"/>
  <c r="AT101" i="23"/>
  <c r="AT90" i="23"/>
  <c r="AT91" i="23"/>
  <c r="AT92" i="23"/>
  <c r="AT93" i="23"/>
  <c r="AT94" i="23"/>
  <c r="AT95" i="23"/>
  <c r="AT97" i="23"/>
  <c r="AT89" i="23"/>
  <c r="AT78" i="23"/>
  <c r="AT79" i="23"/>
  <c r="AT80" i="23"/>
  <c r="AT81" i="23"/>
  <c r="AT82" i="23"/>
  <c r="AT83" i="23"/>
  <c r="AT85" i="23"/>
  <c r="AT77" i="23"/>
  <c r="AT66" i="23"/>
  <c r="AT67" i="23"/>
  <c r="AT68" i="23"/>
  <c r="AT69" i="23"/>
  <c r="AT70" i="23"/>
  <c r="AT71" i="23"/>
  <c r="AT73" i="23"/>
  <c r="AT65" i="23"/>
  <c r="AT54" i="23"/>
  <c r="AT55" i="23"/>
  <c r="AT56" i="23"/>
  <c r="AT57" i="23"/>
  <c r="AT58" i="23"/>
  <c r="AT59" i="23"/>
  <c r="AT61" i="23"/>
  <c r="AT53" i="23"/>
  <c r="AT42" i="23"/>
  <c r="AT43" i="23"/>
  <c r="AT44" i="23"/>
  <c r="AT45" i="23"/>
  <c r="AT46" i="23"/>
  <c r="AT47" i="23"/>
  <c r="AT49" i="23"/>
  <c r="AT41" i="23"/>
  <c r="AT30" i="23"/>
  <c r="AT31" i="23"/>
  <c r="AT32" i="23"/>
  <c r="AT33" i="23"/>
  <c r="AT34" i="23"/>
  <c r="AT35" i="23"/>
  <c r="AT37" i="23"/>
  <c r="AT29" i="23"/>
  <c r="AT18" i="23"/>
  <c r="AT19" i="23"/>
  <c r="AT20" i="23"/>
  <c r="AT21" i="23"/>
  <c r="AT22" i="23"/>
  <c r="AT23" i="23"/>
  <c r="AT25" i="23"/>
  <c r="AT17" i="23"/>
  <c r="AT6" i="23"/>
  <c r="AT7" i="23"/>
  <c r="AT8" i="23"/>
  <c r="AT9" i="23"/>
  <c r="AT10" i="23"/>
  <c r="AT11" i="23"/>
  <c r="AT13" i="23"/>
  <c r="AT5" i="23"/>
  <c r="AT4" i="23"/>
  <c r="AT16" i="23" s="1"/>
  <c r="AT28" i="23" s="1"/>
  <c r="AT40" i="23" s="1"/>
  <c r="AT52" i="23" s="1"/>
  <c r="AT64" i="23" s="1"/>
  <c r="AT76" i="23" s="1"/>
  <c r="AT88" i="23" s="1"/>
  <c r="AT100" i="23" s="1"/>
  <c r="AT112" i="23" s="1"/>
  <c r="AN4" i="23"/>
  <c r="AN16" i="23" s="1"/>
  <c r="AN28" i="23" s="1"/>
  <c r="AN40" i="23" s="1"/>
  <c r="AN52" i="23" s="1"/>
  <c r="AN64" i="23" s="1"/>
  <c r="AN76" i="23" s="1"/>
  <c r="AN88" i="23" s="1"/>
  <c r="AN100" i="23" s="1"/>
  <c r="AN112" i="23" s="1"/>
  <c r="AN114" i="23"/>
  <c r="AN115" i="23"/>
  <c r="AN116" i="23"/>
  <c r="AN117" i="23"/>
  <c r="AN118" i="23"/>
  <c r="AN119" i="23"/>
  <c r="AN121" i="23"/>
  <c r="AN113" i="23"/>
  <c r="AO113" i="23" s="1"/>
  <c r="AN102" i="23"/>
  <c r="AN103" i="23"/>
  <c r="AN104" i="23"/>
  <c r="AN105" i="23"/>
  <c r="AN106" i="23"/>
  <c r="AN107" i="23"/>
  <c r="AN109" i="23"/>
  <c r="AN101" i="23"/>
  <c r="AN90" i="23"/>
  <c r="AN91" i="23"/>
  <c r="AN92" i="23"/>
  <c r="AN93" i="23"/>
  <c r="AN94" i="23"/>
  <c r="AN95" i="23"/>
  <c r="AN97" i="23"/>
  <c r="AN89" i="23"/>
  <c r="AN78" i="23"/>
  <c r="AN79" i="23"/>
  <c r="AN80" i="23"/>
  <c r="AN81" i="23"/>
  <c r="AN82" i="23"/>
  <c r="AN83" i="23"/>
  <c r="AN85" i="23"/>
  <c r="AN77" i="23"/>
  <c r="AN66" i="23"/>
  <c r="AN67" i="23"/>
  <c r="AN68" i="23"/>
  <c r="AN69" i="23"/>
  <c r="AN70" i="23"/>
  <c r="AN71" i="23"/>
  <c r="AN73" i="23"/>
  <c r="AN54" i="23"/>
  <c r="AN55" i="23"/>
  <c r="AN56" i="23"/>
  <c r="AN57" i="23"/>
  <c r="AN58" i="23"/>
  <c r="AN59" i="23"/>
  <c r="AN61" i="23"/>
  <c r="AN53" i="23"/>
  <c r="AN42" i="23"/>
  <c r="AN43" i="23"/>
  <c r="AN44" i="23"/>
  <c r="AN45" i="23"/>
  <c r="AN46" i="23"/>
  <c r="AN47" i="23"/>
  <c r="AN49" i="23"/>
  <c r="AN41" i="23"/>
  <c r="AN30" i="23"/>
  <c r="AN31" i="23"/>
  <c r="AN32" i="23"/>
  <c r="AN33" i="23"/>
  <c r="AN34" i="23"/>
  <c r="AN35" i="23"/>
  <c r="AN37" i="23"/>
  <c r="AN29" i="23"/>
  <c r="AN18" i="23"/>
  <c r="AN19" i="23"/>
  <c r="AN20" i="23"/>
  <c r="AN21" i="23"/>
  <c r="AN22" i="23"/>
  <c r="AN23" i="23"/>
  <c r="AN25" i="23"/>
  <c r="AN17" i="23"/>
  <c r="AN6" i="23"/>
  <c r="AN7" i="23"/>
  <c r="AN8" i="23"/>
  <c r="AN9" i="23"/>
  <c r="AN10" i="23"/>
  <c r="AN11" i="23"/>
  <c r="AN13" i="23"/>
  <c r="AN5" i="23"/>
  <c r="AH4" i="23"/>
  <c r="AH114" i="23"/>
  <c r="AI114" i="23" s="1"/>
  <c r="AH115" i="23"/>
  <c r="AI115" i="23" s="1"/>
  <c r="AH116" i="23"/>
  <c r="AH117" i="23"/>
  <c r="AH118" i="23"/>
  <c r="AH119" i="23"/>
  <c r="AH121" i="23"/>
  <c r="AH102" i="23"/>
  <c r="AH103" i="23"/>
  <c r="AH104" i="23"/>
  <c r="AH105" i="23"/>
  <c r="AH106" i="23"/>
  <c r="AH107" i="23"/>
  <c r="AH109" i="23"/>
  <c r="AH101" i="23"/>
  <c r="AH90" i="23"/>
  <c r="AH91" i="23"/>
  <c r="AH92" i="23"/>
  <c r="AH93" i="23"/>
  <c r="AH94" i="23"/>
  <c r="AH95" i="23"/>
  <c r="AH97" i="23"/>
  <c r="AH89" i="23"/>
  <c r="AH78" i="23"/>
  <c r="AH79" i="23"/>
  <c r="AH80" i="23"/>
  <c r="AH81" i="23"/>
  <c r="AH82" i="23"/>
  <c r="AH83" i="23"/>
  <c r="AH85" i="23"/>
  <c r="AH77" i="23"/>
  <c r="AH66" i="23"/>
  <c r="AH67" i="23"/>
  <c r="AH68" i="23"/>
  <c r="AH69" i="23"/>
  <c r="AH70" i="23"/>
  <c r="AH71" i="23"/>
  <c r="AH73" i="23"/>
  <c r="AH65" i="23"/>
  <c r="AH54" i="23"/>
  <c r="AH55" i="23"/>
  <c r="AH56" i="23"/>
  <c r="AH57" i="23"/>
  <c r="AH58" i="23"/>
  <c r="AH59" i="23"/>
  <c r="AH61" i="23"/>
  <c r="AH53" i="23"/>
  <c r="AH42" i="23"/>
  <c r="AH43" i="23"/>
  <c r="AH44" i="23"/>
  <c r="AH45" i="23"/>
  <c r="AH46" i="23"/>
  <c r="AH47" i="23"/>
  <c r="AH49" i="23"/>
  <c r="AH41" i="23"/>
  <c r="AH30" i="23"/>
  <c r="AH31" i="23"/>
  <c r="AH32" i="23"/>
  <c r="AH33" i="23"/>
  <c r="AH34" i="23"/>
  <c r="AH35" i="23"/>
  <c r="AH37" i="23"/>
  <c r="AH29" i="23"/>
  <c r="AH18" i="23"/>
  <c r="AH19" i="23"/>
  <c r="AH20" i="23"/>
  <c r="AH21" i="23"/>
  <c r="AH22" i="23"/>
  <c r="AH23" i="23"/>
  <c r="AH25" i="23"/>
  <c r="AH17" i="23"/>
  <c r="AI17" i="23" s="1"/>
  <c r="AH6" i="23"/>
  <c r="AH7" i="23"/>
  <c r="AH8" i="23"/>
  <c r="AH9" i="23"/>
  <c r="AH10" i="23"/>
  <c r="AH11" i="23"/>
  <c r="AH13" i="23"/>
  <c r="AH5" i="23"/>
  <c r="AB114" i="23"/>
  <c r="AB115" i="23"/>
  <c r="AB116" i="23"/>
  <c r="AB117" i="23"/>
  <c r="AB118" i="23"/>
  <c r="AB119" i="23"/>
  <c r="AB121" i="23"/>
  <c r="AB113" i="23"/>
  <c r="AB102" i="23"/>
  <c r="AB103" i="23"/>
  <c r="AB104" i="23"/>
  <c r="AB105" i="23"/>
  <c r="AB106" i="23"/>
  <c r="AB107" i="23"/>
  <c r="AB109" i="23"/>
  <c r="AB101" i="23"/>
  <c r="AB90" i="23"/>
  <c r="AB91" i="23"/>
  <c r="AB92" i="23"/>
  <c r="AB93" i="23"/>
  <c r="AB94" i="23"/>
  <c r="AB95" i="23"/>
  <c r="AB97" i="23"/>
  <c r="AB89" i="23"/>
  <c r="AB78" i="23"/>
  <c r="AB79" i="23"/>
  <c r="AB80" i="23"/>
  <c r="AB81" i="23"/>
  <c r="AB82" i="23"/>
  <c r="AB83" i="23"/>
  <c r="AB77" i="23"/>
  <c r="AB66" i="23"/>
  <c r="AB67" i="23"/>
  <c r="AB68" i="23"/>
  <c r="AB69" i="23"/>
  <c r="AB70" i="23"/>
  <c r="AB71" i="23"/>
  <c r="AB65" i="23"/>
  <c r="AB54" i="23"/>
  <c r="AB55" i="23"/>
  <c r="AB56" i="23"/>
  <c r="AB57" i="23"/>
  <c r="AB58" i="23"/>
  <c r="AB59" i="23"/>
  <c r="AB53" i="23"/>
  <c r="AB42" i="23"/>
  <c r="AB43" i="23"/>
  <c r="AB44" i="23"/>
  <c r="AB45" i="23"/>
  <c r="AB46" i="23"/>
  <c r="AB47" i="23"/>
  <c r="AB49" i="23"/>
  <c r="AB41" i="23"/>
  <c r="AB18" i="23"/>
  <c r="AB19" i="23"/>
  <c r="AB20" i="23"/>
  <c r="AB21" i="23"/>
  <c r="AB22" i="23"/>
  <c r="AB23" i="23"/>
  <c r="AB25" i="23"/>
  <c r="AB17" i="23"/>
  <c r="AB6" i="23"/>
  <c r="AB7" i="23"/>
  <c r="AB8" i="23"/>
  <c r="AB9" i="23"/>
  <c r="AB10" i="23"/>
  <c r="AB11" i="23"/>
  <c r="AB13" i="23"/>
  <c r="AB5" i="23"/>
  <c r="AB4" i="23"/>
  <c r="AB16" i="23" s="1"/>
  <c r="AB28" i="23" s="1"/>
  <c r="AB40" i="23" s="1"/>
  <c r="AB52" i="23" s="1"/>
  <c r="AB64" i="23" s="1"/>
  <c r="AB76" i="23" s="1"/>
  <c r="AB88" i="23" s="1"/>
  <c r="AB100" i="23" s="1"/>
  <c r="AB112" i="23" s="1"/>
  <c r="V114" i="23"/>
  <c r="V115" i="23"/>
  <c r="V116" i="23"/>
  <c r="V117" i="23"/>
  <c r="V118" i="23"/>
  <c r="V119" i="23"/>
  <c r="V121" i="23"/>
  <c r="V113" i="23"/>
  <c r="V102" i="23"/>
  <c r="V103" i="23"/>
  <c r="V104" i="23"/>
  <c r="V105" i="23"/>
  <c r="V106" i="23"/>
  <c r="V107" i="23"/>
  <c r="V109" i="23"/>
  <c r="V101" i="23"/>
  <c r="V90" i="23"/>
  <c r="V91" i="23"/>
  <c r="V92" i="23"/>
  <c r="V93" i="23"/>
  <c r="V94" i="23"/>
  <c r="V95" i="23"/>
  <c r="V97" i="23"/>
  <c r="V89" i="23"/>
  <c r="V78" i="23"/>
  <c r="V79" i="23"/>
  <c r="V80" i="23"/>
  <c r="V81" i="23"/>
  <c r="V82" i="23"/>
  <c r="V83" i="23"/>
  <c r="V85" i="23"/>
  <c r="V77" i="23"/>
  <c r="V66" i="23"/>
  <c r="V67" i="23"/>
  <c r="V68" i="23"/>
  <c r="V69" i="23"/>
  <c r="V70" i="23"/>
  <c r="V71" i="23"/>
  <c r="V73" i="23"/>
  <c r="V65" i="23"/>
  <c r="V54" i="23"/>
  <c r="V55" i="23"/>
  <c r="V56" i="23"/>
  <c r="V57" i="23"/>
  <c r="V58" i="23"/>
  <c r="V59" i="23"/>
  <c r="V61" i="23"/>
  <c r="V53" i="23"/>
  <c r="V42" i="23"/>
  <c r="V43" i="23"/>
  <c r="V44" i="23"/>
  <c r="V45" i="23"/>
  <c r="V46" i="23"/>
  <c r="V47" i="23"/>
  <c r="V49" i="23"/>
  <c r="V41" i="23"/>
  <c r="V30" i="23"/>
  <c r="V31" i="23"/>
  <c r="V32" i="23"/>
  <c r="V33" i="23"/>
  <c r="V34" i="23"/>
  <c r="V35" i="23"/>
  <c r="V37" i="23"/>
  <c r="V29" i="23"/>
  <c r="V18" i="23"/>
  <c r="V19" i="23"/>
  <c r="V20" i="23"/>
  <c r="V21" i="23"/>
  <c r="V22" i="23"/>
  <c r="V23" i="23"/>
  <c r="V25" i="23"/>
  <c r="V6" i="23"/>
  <c r="V7" i="23"/>
  <c r="V8" i="23"/>
  <c r="V9" i="23"/>
  <c r="V10" i="23"/>
  <c r="V11" i="23"/>
  <c r="V13" i="23"/>
  <c r="V5" i="23"/>
  <c r="V4" i="23"/>
  <c r="V28" i="23" s="1"/>
  <c r="P4" i="23"/>
  <c r="D4" i="23"/>
  <c r="J4" i="23"/>
  <c r="J22" i="23"/>
  <c r="J23" i="23"/>
  <c r="J25" i="23"/>
  <c r="J5" i="23"/>
  <c r="V16" i="23" l="1"/>
  <c r="V40" i="23" s="1"/>
  <c r="V52" i="23" s="1"/>
  <c r="V64" i="23" s="1"/>
  <c r="V76" i="23" s="1"/>
  <c r="V88" i="23" s="1"/>
  <c r="V100" i="23" s="1"/>
  <c r="V112" i="23" s="1"/>
  <c r="C264" i="23"/>
  <c r="C258" i="23"/>
  <c r="D30" i="23" l="1"/>
  <c r="E30" i="23" s="1"/>
  <c r="D31" i="23"/>
  <c r="E31" i="23" s="1"/>
  <c r="D32" i="23"/>
  <c r="E32" i="23" s="1"/>
  <c r="D33" i="23"/>
  <c r="E33" i="23" s="1"/>
  <c r="D34" i="23"/>
  <c r="E34" i="23" s="1"/>
  <c r="D35" i="23"/>
  <c r="E35" i="23" s="1"/>
  <c r="D37" i="23"/>
  <c r="E37" i="23" s="1"/>
  <c r="D29" i="23"/>
  <c r="J29" i="23"/>
  <c r="J18" i="23"/>
  <c r="J19" i="23"/>
  <c r="J20" i="23"/>
  <c r="J21" i="23"/>
  <c r="J17" i="23"/>
  <c r="J6" i="23"/>
  <c r="J7" i="23"/>
  <c r="J8" i="23"/>
  <c r="J9" i="23"/>
  <c r="J10" i="23"/>
  <c r="J11" i="23"/>
  <c r="J13" i="23"/>
  <c r="D114" i="23"/>
  <c r="D115" i="23"/>
  <c r="D116" i="23"/>
  <c r="D117" i="23"/>
  <c r="D118" i="23"/>
  <c r="D119" i="23"/>
  <c r="D121" i="23"/>
  <c r="D113" i="23"/>
  <c r="E113" i="23" s="1"/>
  <c r="D102" i="23"/>
  <c r="D103" i="23"/>
  <c r="D104" i="23"/>
  <c r="D105" i="23"/>
  <c r="D106" i="23"/>
  <c r="D107" i="23"/>
  <c r="D109" i="23"/>
  <c r="D101" i="23"/>
  <c r="D90" i="23"/>
  <c r="D91" i="23"/>
  <c r="D92" i="23"/>
  <c r="D93" i="23"/>
  <c r="D94" i="23"/>
  <c r="D95" i="23"/>
  <c r="D97" i="23"/>
  <c r="D89" i="23"/>
  <c r="D78" i="23"/>
  <c r="D79" i="23"/>
  <c r="D80" i="23"/>
  <c r="D81" i="23"/>
  <c r="D82" i="23"/>
  <c r="D83" i="23"/>
  <c r="D85" i="23"/>
  <c r="D77" i="23"/>
  <c r="D66" i="23"/>
  <c r="D67" i="23"/>
  <c r="D68" i="23"/>
  <c r="D69" i="23"/>
  <c r="D70" i="23"/>
  <c r="D71" i="23"/>
  <c r="D73" i="23"/>
  <c r="D65" i="23"/>
  <c r="D54" i="23"/>
  <c r="D55" i="23"/>
  <c r="D56" i="23"/>
  <c r="D57" i="23"/>
  <c r="D58" i="23"/>
  <c r="D59" i="23"/>
  <c r="D61" i="23"/>
  <c r="D42" i="23"/>
  <c r="D43" i="23"/>
  <c r="D44" i="23"/>
  <c r="D45" i="23"/>
  <c r="D46" i="23"/>
  <c r="D47" i="23"/>
  <c r="D49" i="23"/>
  <c r="D41" i="23"/>
  <c r="D18" i="23"/>
  <c r="D19" i="23"/>
  <c r="D20" i="23"/>
  <c r="D21" i="23"/>
  <c r="D22" i="23"/>
  <c r="D23" i="23"/>
  <c r="E23" i="23" s="1"/>
  <c r="D25" i="23"/>
  <c r="D17" i="23"/>
  <c r="E17" i="23" s="1"/>
  <c r="D6" i="23"/>
  <c r="E6" i="23" s="1"/>
  <c r="D7" i="23"/>
  <c r="D8" i="23"/>
  <c r="D9" i="23"/>
  <c r="D10" i="23"/>
  <c r="D11" i="23"/>
  <c r="D13" i="23"/>
  <c r="D5" i="23"/>
  <c r="E5" i="23" s="1"/>
  <c r="AH130" i="23" l="1"/>
  <c r="AH144" i="23" s="1"/>
  <c r="AH158" i="23" s="1"/>
  <c r="AH172" i="23" s="1"/>
  <c r="AH185" i="23" s="1"/>
  <c r="AH198" i="23" s="1"/>
  <c r="AH131" i="23"/>
  <c r="AH145" i="23" s="1"/>
  <c r="AH159" i="23" s="1"/>
  <c r="AH173" i="23" s="1"/>
  <c r="AH186" i="23" s="1"/>
  <c r="AH199" i="23" s="1"/>
  <c r="AH132" i="23"/>
  <c r="AH146" i="23" s="1"/>
  <c r="AH160" i="23" s="1"/>
  <c r="AH174" i="23" s="1"/>
  <c r="AH187" i="23" s="1"/>
  <c r="AH200" i="23" s="1"/>
  <c r="AH133" i="23"/>
  <c r="AH147" i="23" s="1"/>
  <c r="AH161" i="23" s="1"/>
  <c r="AH175" i="23" s="1"/>
  <c r="AH188" i="23" s="1"/>
  <c r="AH201" i="23" s="1"/>
  <c r="AH134" i="23"/>
  <c r="AH148" i="23" s="1"/>
  <c r="AH162" i="23" s="1"/>
  <c r="AH176" i="23" s="1"/>
  <c r="AH189" i="23" s="1"/>
  <c r="AH202" i="23" s="1"/>
  <c r="AH135" i="23"/>
  <c r="AH149" i="23" s="1"/>
  <c r="AH163" i="23" s="1"/>
  <c r="AH177" i="23" s="1"/>
  <c r="AH190" i="23" s="1"/>
  <c r="AH203" i="23" s="1"/>
  <c r="AH137" i="23"/>
  <c r="AH151" i="23" s="1"/>
  <c r="AH165" i="23" s="1"/>
  <c r="AH179" i="23" s="1"/>
  <c r="AH192" i="23" s="1"/>
  <c r="AH204" i="23" s="1"/>
  <c r="AH129" i="23"/>
  <c r="AH143" i="23" s="1"/>
  <c r="AH157" i="23" s="1"/>
  <c r="AH171" i="23" s="1"/>
  <c r="AH184" i="23" s="1"/>
  <c r="AH197" i="23" s="1"/>
  <c r="P144" i="23"/>
  <c r="P158" i="23" s="1"/>
  <c r="P172" i="23" s="1"/>
  <c r="P185" i="23" s="1"/>
  <c r="P198" i="23" s="1"/>
  <c r="P145" i="23"/>
  <c r="P159" i="23" s="1"/>
  <c r="P173" i="23" s="1"/>
  <c r="P186" i="23" s="1"/>
  <c r="P199" i="23" s="1"/>
  <c r="P146" i="23"/>
  <c r="P160" i="23" s="1"/>
  <c r="P174" i="23" s="1"/>
  <c r="P187" i="23" s="1"/>
  <c r="P200" i="23" s="1"/>
  <c r="P147" i="23"/>
  <c r="P161" i="23" s="1"/>
  <c r="P175" i="23" s="1"/>
  <c r="P188" i="23" s="1"/>
  <c r="P201" i="23" s="1"/>
  <c r="P148" i="23"/>
  <c r="P162" i="23" s="1"/>
  <c r="P176" i="23" s="1"/>
  <c r="P189" i="23" s="1"/>
  <c r="P202" i="23" s="1"/>
  <c r="P149" i="23"/>
  <c r="P163" i="23" s="1"/>
  <c r="P177" i="23" s="1"/>
  <c r="P190" i="23" s="1"/>
  <c r="P203" i="23" s="1"/>
  <c r="P151" i="23"/>
  <c r="P165" i="23" s="1"/>
  <c r="P179" i="23" s="1"/>
  <c r="P192" i="23" s="1"/>
  <c r="P204" i="23" s="1"/>
  <c r="P143" i="23"/>
  <c r="P157" i="23" s="1"/>
  <c r="P171" i="23" s="1"/>
  <c r="P184" i="23" s="1"/>
  <c r="P197" i="23" s="1"/>
  <c r="B144" i="23"/>
  <c r="B158" i="23" s="1"/>
  <c r="B172" i="23" s="1"/>
  <c r="B185" i="23" s="1"/>
  <c r="B198" i="23" s="1"/>
  <c r="B145" i="23"/>
  <c r="B159" i="23" s="1"/>
  <c r="B173" i="23" s="1"/>
  <c r="B186" i="23" s="1"/>
  <c r="B199" i="23" s="1"/>
  <c r="B146" i="23"/>
  <c r="B160" i="23" s="1"/>
  <c r="B174" i="23" s="1"/>
  <c r="B187" i="23" s="1"/>
  <c r="B200" i="23" s="1"/>
  <c r="B147" i="23"/>
  <c r="B161" i="23" s="1"/>
  <c r="B175" i="23" s="1"/>
  <c r="B188" i="23" s="1"/>
  <c r="B201" i="23" s="1"/>
  <c r="B148" i="23"/>
  <c r="B162" i="23" s="1"/>
  <c r="B176" i="23" s="1"/>
  <c r="B189" i="23" s="1"/>
  <c r="B202" i="23" s="1"/>
  <c r="B149" i="23"/>
  <c r="B163" i="23" s="1"/>
  <c r="B177" i="23" s="1"/>
  <c r="B190" i="23" s="1"/>
  <c r="B203" i="23" s="1"/>
  <c r="B151" i="23"/>
  <c r="B165" i="23" s="1"/>
  <c r="B179" i="23" s="1"/>
  <c r="B192" i="23" s="1"/>
  <c r="B204" i="23" s="1"/>
  <c r="B143" i="23"/>
  <c r="B157" i="23" s="1"/>
  <c r="B171" i="23" s="1"/>
  <c r="B184" i="23" s="1"/>
  <c r="B197" i="23" s="1"/>
  <c r="T130" i="23"/>
  <c r="T144" i="23" s="1"/>
  <c r="T158" i="23" s="1"/>
  <c r="T172" i="23" s="1"/>
  <c r="T185" i="23" s="1"/>
  <c r="T198" i="23" s="1"/>
  <c r="T131" i="23"/>
  <c r="T145" i="23" s="1"/>
  <c r="T159" i="23" s="1"/>
  <c r="T173" i="23" s="1"/>
  <c r="T186" i="23" s="1"/>
  <c r="T199" i="23" s="1"/>
  <c r="T132" i="23"/>
  <c r="T146" i="23" s="1"/>
  <c r="T160" i="23" s="1"/>
  <c r="T174" i="23" s="1"/>
  <c r="T187" i="23" s="1"/>
  <c r="T200" i="23" s="1"/>
  <c r="T133" i="23"/>
  <c r="T147" i="23" s="1"/>
  <c r="T161" i="23" s="1"/>
  <c r="T175" i="23" s="1"/>
  <c r="T188" i="23" s="1"/>
  <c r="T201" i="23" s="1"/>
  <c r="T134" i="23"/>
  <c r="T148" i="23" s="1"/>
  <c r="T162" i="23" s="1"/>
  <c r="T176" i="23" s="1"/>
  <c r="T189" i="23" s="1"/>
  <c r="T202" i="23" s="1"/>
  <c r="T135" i="23"/>
  <c r="T149" i="23" s="1"/>
  <c r="T163" i="23" s="1"/>
  <c r="T177" i="23" s="1"/>
  <c r="T190" i="23" s="1"/>
  <c r="T203" i="23" s="1"/>
  <c r="T137" i="23"/>
  <c r="T151" i="23" s="1"/>
  <c r="T165" i="23" s="1"/>
  <c r="T179" i="23" s="1"/>
  <c r="T192" i="23" l="1"/>
  <c r="T204" i="23" s="1"/>
  <c r="T129" i="23"/>
  <c r="T143" i="23" s="1"/>
  <c r="T157" i="23" s="1"/>
  <c r="T171" i="23" s="1"/>
  <c r="T184" i="23" s="1"/>
  <c r="T197" i="23" s="1"/>
  <c r="J30" i="2"/>
  <c r="J28" i="2"/>
  <c r="J27" i="2"/>
  <c r="D53" i="23" l="1"/>
  <c r="J53" i="23"/>
  <c r="Q53" i="23"/>
  <c r="W53" i="23"/>
  <c r="AC53" i="23"/>
  <c r="AI53" i="23"/>
  <c r="AO53" i="23"/>
  <c r="AU53" i="23"/>
  <c r="BA53" i="23"/>
  <c r="BG53" i="23"/>
  <c r="BY53" i="23"/>
  <c r="BM53" i="23"/>
  <c r="BS53" i="23"/>
  <c r="CD16" i="23"/>
  <c r="CD28" i="23" s="1"/>
  <c r="CD40" i="23" s="1"/>
  <c r="CD52" i="23" s="1"/>
  <c r="CD64" i="23" s="1"/>
  <c r="CD76" i="23" s="1"/>
  <c r="CD88" i="23" s="1"/>
  <c r="CD100" i="23" s="1"/>
  <c r="CD112" i="23" s="1"/>
  <c r="CJ16" i="23"/>
  <c r="CJ28" i="23" s="1"/>
  <c r="CJ40" i="23" s="1"/>
  <c r="CJ52" i="23" s="1"/>
  <c r="CJ64" i="23" s="1"/>
  <c r="CJ76" i="23" s="1"/>
  <c r="CJ88" i="23" s="1"/>
  <c r="CJ100" i="23" s="1"/>
  <c r="CJ112" i="23" s="1"/>
  <c r="CP16" i="23"/>
  <c r="CP28" i="23" s="1"/>
  <c r="CP40" i="23" s="1"/>
  <c r="CP52" i="23" s="1"/>
  <c r="CP64" i="23" s="1"/>
  <c r="CP76" i="23" s="1"/>
  <c r="CP88" i="23" s="1"/>
  <c r="CP100" i="23" s="1"/>
  <c r="CP112" i="23" s="1"/>
  <c r="G10" i="3"/>
  <c r="B211" i="23"/>
  <c r="A46" i="22"/>
  <c r="A67" i="22" s="1"/>
  <c r="A32" i="22"/>
  <c r="B67" i="4" l="1"/>
  <c r="P152" i="23"/>
  <c r="P166" i="23" s="1"/>
  <c r="P180" i="23" s="1"/>
  <c r="P193" i="23" s="1"/>
  <c r="P205" i="23" s="1"/>
  <c r="AH138" i="23"/>
  <c r="AH152" i="23" s="1"/>
  <c r="B71" i="5" l="1"/>
  <c r="B56" i="27" s="1"/>
  <c r="B72" i="36"/>
  <c r="B71" i="36"/>
  <c r="AH166" i="23"/>
  <c r="AH180" i="23" s="1"/>
  <c r="AH193" i="23" s="1"/>
  <c r="A109" i="2"/>
  <c r="B59" i="4" l="1"/>
  <c r="F27" i="23"/>
  <c r="F39" i="23" s="1"/>
  <c r="F51" i="23" s="1"/>
  <c r="F63" i="23" s="1"/>
  <c r="F75" i="23" s="1"/>
  <c r="F87" i="23" s="1"/>
  <c r="F99" i="23" s="1"/>
  <c r="F111" i="23" s="1"/>
  <c r="BY121" i="23"/>
  <c r="BS121" i="23"/>
  <c r="BM121" i="23"/>
  <c r="BG121" i="23"/>
  <c r="BA121" i="23"/>
  <c r="AU121" i="23"/>
  <c r="AO121" i="23"/>
  <c r="AI121" i="23"/>
  <c r="AC121" i="23"/>
  <c r="W121" i="23"/>
  <c r="E121" i="23"/>
  <c r="BY119" i="23"/>
  <c r="BS119" i="23"/>
  <c r="BM119" i="23"/>
  <c r="BG119" i="23"/>
  <c r="BA119" i="23"/>
  <c r="AU119" i="23"/>
  <c r="AO119" i="23"/>
  <c r="AI119" i="23"/>
  <c r="AC119" i="23"/>
  <c r="W119" i="23"/>
  <c r="E119" i="23"/>
  <c r="BY118" i="23"/>
  <c r="BS118" i="23"/>
  <c r="BM118" i="23"/>
  <c r="BG118" i="23"/>
  <c r="BA118" i="23"/>
  <c r="AU118" i="23"/>
  <c r="AO118" i="23"/>
  <c r="AI118" i="23"/>
  <c r="AC118" i="23"/>
  <c r="W118" i="23"/>
  <c r="E118" i="23"/>
  <c r="BY117" i="23"/>
  <c r="BS117" i="23"/>
  <c r="BM117" i="23"/>
  <c r="BG117" i="23"/>
  <c r="BA117" i="23"/>
  <c r="AU117" i="23"/>
  <c r="AO117" i="23"/>
  <c r="AI117" i="23"/>
  <c r="AC117" i="23"/>
  <c r="W117" i="23"/>
  <c r="E117" i="23"/>
  <c r="BY116" i="23"/>
  <c r="BS116" i="23"/>
  <c r="BM116" i="23"/>
  <c r="BG116" i="23"/>
  <c r="BA116" i="23"/>
  <c r="AU116" i="23"/>
  <c r="AO116" i="23"/>
  <c r="AI116" i="23"/>
  <c r="AC116" i="23"/>
  <c r="W116" i="23"/>
  <c r="E116" i="23"/>
  <c r="BY115" i="23"/>
  <c r="BS115" i="23"/>
  <c r="BM115" i="23"/>
  <c r="BG115" i="23"/>
  <c r="BA115" i="23"/>
  <c r="AU115" i="23"/>
  <c r="AO115" i="23"/>
  <c r="AC115" i="23"/>
  <c r="W115" i="23"/>
  <c r="E115" i="23"/>
  <c r="BY114" i="23"/>
  <c r="BS114" i="23"/>
  <c r="BM114" i="23"/>
  <c r="BG114" i="23"/>
  <c r="BA114" i="23"/>
  <c r="AU114" i="23"/>
  <c r="AO114" i="23"/>
  <c r="AC114" i="23"/>
  <c r="W114" i="23"/>
  <c r="E114" i="23"/>
  <c r="BY113" i="23"/>
  <c r="BS113" i="23"/>
  <c r="BM113" i="23"/>
  <c r="BG113" i="23"/>
  <c r="BA113" i="23"/>
  <c r="AU113" i="23"/>
  <c r="AC113" i="23"/>
  <c r="W113" i="23"/>
  <c r="N111" i="23"/>
  <c r="Z111" i="23" s="1"/>
  <c r="AF111" i="23" s="1"/>
  <c r="AL111" i="23" s="1"/>
  <c r="AR111" i="23" s="1"/>
  <c r="BY109" i="23"/>
  <c r="BS109" i="23"/>
  <c r="BM109" i="23"/>
  <c r="BG109" i="23"/>
  <c r="BA109" i="23"/>
  <c r="AU109" i="23"/>
  <c r="AO109" i="23"/>
  <c r="AI109" i="23"/>
  <c r="AC109" i="23"/>
  <c r="W109" i="23"/>
  <c r="E109" i="23"/>
  <c r="BY107" i="23"/>
  <c r="BS107" i="23"/>
  <c r="BM107" i="23"/>
  <c r="BG107" i="23"/>
  <c r="BA107" i="23"/>
  <c r="AU107" i="23"/>
  <c r="AO107" i="23"/>
  <c r="AI107" i="23"/>
  <c r="AC107" i="23"/>
  <c r="W107" i="23"/>
  <c r="E107" i="23"/>
  <c r="BY106" i="23"/>
  <c r="BS106" i="23"/>
  <c r="BM106" i="23"/>
  <c r="BG106" i="23"/>
  <c r="BA106" i="23"/>
  <c r="AU106" i="23"/>
  <c r="AO106" i="23"/>
  <c r="AI106" i="23"/>
  <c r="AC106" i="23"/>
  <c r="W106" i="23"/>
  <c r="E106" i="23"/>
  <c r="BY105" i="23"/>
  <c r="BS105" i="23"/>
  <c r="BM105" i="23"/>
  <c r="BG105" i="23"/>
  <c r="BA105" i="23"/>
  <c r="AU105" i="23"/>
  <c r="AO105" i="23"/>
  <c r="AI105" i="23"/>
  <c r="AC105" i="23"/>
  <c r="W105" i="23"/>
  <c r="E105" i="23"/>
  <c r="BY104" i="23"/>
  <c r="BS104" i="23"/>
  <c r="BM104" i="23"/>
  <c r="BG104" i="23"/>
  <c r="BA104" i="23"/>
  <c r="AU104" i="23"/>
  <c r="AO104" i="23"/>
  <c r="AI104" i="23"/>
  <c r="AC104" i="23"/>
  <c r="W104" i="23"/>
  <c r="E104" i="23"/>
  <c r="BY103" i="23"/>
  <c r="BS103" i="23"/>
  <c r="BM103" i="23"/>
  <c r="BG103" i="23"/>
  <c r="BA103" i="23"/>
  <c r="AU103" i="23"/>
  <c r="AO103" i="23"/>
  <c r="AI103" i="23"/>
  <c r="AC103" i="23"/>
  <c r="W103" i="23"/>
  <c r="E103" i="23"/>
  <c r="BY102" i="23"/>
  <c r="BS102" i="23"/>
  <c r="BM102" i="23"/>
  <c r="BG102" i="23"/>
  <c r="BA102" i="23"/>
  <c r="AU102" i="23"/>
  <c r="AO102" i="23"/>
  <c r="AI102" i="23"/>
  <c r="AC102" i="23"/>
  <c r="W102" i="23"/>
  <c r="E102" i="23"/>
  <c r="BY101" i="23"/>
  <c r="BS101" i="23"/>
  <c r="BM101" i="23"/>
  <c r="BG101" i="23"/>
  <c r="BA101" i="23"/>
  <c r="AU101" i="23"/>
  <c r="AO101" i="23"/>
  <c r="AI101" i="23"/>
  <c r="AC101" i="23"/>
  <c r="W101" i="23"/>
  <c r="E101" i="23"/>
  <c r="N99" i="23"/>
  <c r="Z99" i="23" s="1"/>
  <c r="AF99" i="23" s="1"/>
  <c r="AL99" i="23" s="1"/>
  <c r="AR99" i="23" s="1"/>
  <c r="BY97" i="23"/>
  <c r="BS97" i="23"/>
  <c r="BM97" i="23"/>
  <c r="BG97" i="23"/>
  <c r="BA97" i="23"/>
  <c r="AU97" i="23"/>
  <c r="AO97" i="23"/>
  <c r="AI97" i="23"/>
  <c r="AC97" i="23"/>
  <c r="W97" i="23"/>
  <c r="Q97" i="23"/>
  <c r="J97" i="23"/>
  <c r="K97" i="23" s="1"/>
  <c r="E97" i="23"/>
  <c r="BY95" i="23"/>
  <c r="BS95" i="23"/>
  <c r="BM95" i="23"/>
  <c r="BG95" i="23"/>
  <c r="BA95" i="23"/>
  <c r="AU95" i="23"/>
  <c r="AO95" i="23"/>
  <c r="AI95" i="23"/>
  <c r="AC95" i="23"/>
  <c r="W95" i="23"/>
  <c r="Q95" i="23"/>
  <c r="J95" i="23"/>
  <c r="K95" i="23" s="1"/>
  <c r="E95" i="23"/>
  <c r="BY94" i="23"/>
  <c r="BS94" i="23"/>
  <c r="BM94" i="23"/>
  <c r="BG94" i="23"/>
  <c r="BA94" i="23"/>
  <c r="AU94" i="23"/>
  <c r="AO94" i="23"/>
  <c r="AI94" i="23"/>
  <c r="AC94" i="23"/>
  <c r="W94" i="23"/>
  <c r="Q94" i="23"/>
  <c r="J94" i="23"/>
  <c r="K94" i="23" s="1"/>
  <c r="E94" i="23"/>
  <c r="BY93" i="23"/>
  <c r="BS93" i="23"/>
  <c r="BM93" i="23"/>
  <c r="BG93" i="23"/>
  <c r="BA93" i="23"/>
  <c r="AU93" i="23"/>
  <c r="AO93" i="23"/>
  <c r="AI93" i="23"/>
  <c r="AC93" i="23"/>
  <c r="W93" i="23"/>
  <c r="Q93" i="23"/>
  <c r="J93" i="23"/>
  <c r="K93" i="23" s="1"/>
  <c r="E93" i="23"/>
  <c r="BY92" i="23"/>
  <c r="BS92" i="23"/>
  <c r="BM92" i="23"/>
  <c r="BG92" i="23"/>
  <c r="BA92" i="23"/>
  <c r="AU92" i="23"/>
  <c r="AO92" i="23"/>
  <c r="AI92" i="23"/>
  <c r="AC92" i="23"/>
  <c r="W92" i="23"/>
  <c r="Q92" i="23"/>
  <c r="J92" i="23"/>
  <c r="K92" i="23" s="1"/>
  <c r="E92" i="23"/>
  <c r="BY91" i="23"/>
  <c r="BS91" i="23"/>
  <c r="BM91" i="23"/>
  <c r="BG91" i="23"/>
  <c r="BA91" i="23"/>
  <c r="AU91" i="23"/>
  <c r="AO91" i="23"/>
  <c r="AI91" i="23"/>
  <c r="AC91" i="23"/>
  <c r="W91" i="23"/>
  <c r="Q91" i="23"/>
  <c r="J91" i="23"/>
  <c r="K91" i="23" s="1"/>
  <c r="E91" i="23"/>
  <c r="BY90" i="23"/>
  <c r="BS90" i="23"/>
  <c r="BM90" i="23"/>
  <c r="BG90" i="23"/>
  <c r="BA90" i="23"/>
  <c r="AU90" i="23"/>
  <c r="AO90" i="23"/>
  <c r="AI90" i="23"/>
  <c r="AC90" i="23"/>
  <c r="W90" i="23"/>
  <c r="Q90" i="23"/>
  <c r="J90" i="23"/>
  <c r="K90" i="23" s="1"/>
  <c r="E90" i="23"/>
  <c r="BY89" i="23"/>
  <c r="BS89" i="23"/>
  <c r="BM89" i="23"/>
  <c r="BG89" i="23"/>
  <c r="BA89" i="23"/>
  <c r="AU89" i="23"/>
  <c r="AO89" i="23"/>
  <c r="AI89" i="23"/>
  <c r="AC89" i="23"/>
  <c r="W89" i="23"/>
  <c r="Q89" i="23"/>
  <c r="J89" i="23"/>
  <c r="K89" i="23" s="1"/>
  <c r="E89" i="23"/>
  <c r="P88" i="23"/>
  <c r="O88" i="23"/>
  <c r="BY85" i="23"/>
  <c r="BS85" i="23"/>
  <c r="BM85" i="23"/>
  <c r="BG85" i="23"/>
  <c r="BA85" i="23"/>
  <c r="AU85" i="23"/>
  <c r="AO85" i="23"/>
  <c r="AI85" i="23"/>
  <c r="AC85" i="23"/>
  <c r="W85" i="23"/>
  <c r="Q85" i="23"/>
  <c r="J85" i="23"/>
  <c r="K85" i="23" s="1"/>
  <c r="E85" i="23"/>
  <c r="BY83" i="23"/>
  <c r="BS83" i="23"/>
  <c r="BM83" i="23"/>
  <c r="BG83" i="23"/>
  <c r="BA83" i="23"/>
  <c r="AU83" i="23"/>
  <c r="AO83" i="23"/>
  <c r="AI83" i="23"/>
  <c r="AC83" i="23"/>
  <c r="W83" i="23"/>
  <c r="Q83" i="23"/>
  <c r="J83" i="23"/>
  <c r="K83" i="23" s="1"/>
  <c r="E83" i="23"/>
  <c r="BY82" i="23"/>
  <c r="BS82" i="23"/>
  <c r="BM82" i="23"/>
  <c r="BG82" i="23"/>
  <c r="BA82" i="23"/>
  <c r="AU82" i="23"/>
  <c r="AO82" i="23"/>
  <c r="AI82" i="23"/>
  <c r="AC82" i="23"/>
  <c r="W82" i="23"/>
  <c r="Q82" i="23"/>
  <c r="J82" i="23"/>
  <c r="K82" i="23" s="1"/>
  <c r="E82" i="23"/>
  <c r="BY81" i="23"/>
  <c r="BS81" i="23"/>
  <c r="BM81" i="23"/>
  <c r="BG81" i="23"/>
  <c r="BA81" i="23"/>
  <c r="AU81" i="23"/>
  <c r="AO81" i="23"/>
  <c r="AI81" i="23"/>
  <c r="AC81" i="23"/>
  <c r="W81" i="23"/>
  <c r="Q81" i="23"/>
  <c r="J81" i="23"/>
  <c r="K81" i="23" s="1"/>
  <c r="E81" i="23"/>
  <c r="BY80" i="23"/>
  <c r="BS80" i="23"/>
  <c r="BM80" i="23"/>
  <c r="BG80" i="23"/>
  <c r="BA80" i="23"/>
  <c r="AU80" i="23"/>
  <c r="AO80" i="23"/>
  <c r="AI80" i="23"/>
  <c r="AC80" i="23"/>
  <c r="W80" i="23"/>
  <c r="Q80" i="23"/>
  <c r="J80" i="23"/>
  <c r="K80" i="23" s="1"/>
  <c r="E80" i="23"/>
  <c r="BY79" i="23"/>
  <c r="BS79" i="23"/>
  <c r="BM79" i="23"/>
  <c r="BG79" i="23"/>
  <c r="BA79" i="23"/>
  <c r="AU79" i="23"/>
  <c r="AO79" i="23"/>
  <c r="AI79" i="23"/>
  <c r="AC79" i="23"/>
  <c r="W79" i="23"/>
  <c r="Q79" i="23"/>
  <c r="J79" i="23"/>
  <c r="K79" i="23" s="1"/>
  <c r="E79" i="23"/>
  <c r="BY78" i="23"/>
  <c r="BS78" i="23"/>
  <c r="BM78" i="23"/>
  <c r="BG78" i="23"/>
  <c r="BA78" i="23"/>
  <c r="AU78" i="23"/>
  <c r="AO78" i="23"/>
  <c r="AI78" i="23"/>
  <c r="AC78" i="23"/>
  <c r="W78" i="23"/>
  <c r="Q78" i="23"/>
  <c r="J78" i="23"/>
  <c r="K78" i="23" s="1"/>
  <c r="E78" i="23"/>
  <c r="BY77" i="23"/>
  <c r="BS77" i="23"/>
  <c r="BM77" i="23"/>
  <c r="BG77" i="23"/>
  <c r="BA77" i="23"/>
  <c r="AU77" i="23"/>
  <c r="AO77" i="23"/>
  <c r="AI77" i="23"/>
  <c r="AC77" i="23"/>
  <c r="W77" i="23"/>
  <c r="Q77" i="23"/>
  <c r="J77" i="23"/>
  <c r="K77" i="23" s="1"/>
  <c r="E77" i="23"/>
  <c r="P76" i="23"/>
  <c r="O76" i="23"/>
  <c r="BY73" i="23"/>
  <c r="BS73" i="23"/>
  <c r="BM73" i="23"/>
  <c r="BG73" i="23"/>
  <c r="BA73" i="23"/>
  <c r="AU73" i="23"/>
  <c r="AO73" i="23"/>
  <c r="AI73" i="23"/>
  <c r="AC73" i="23"/>
  <c r="W73" i="23"/>
  <c r="Q73" i="23"/>
  <c r="J73" i="23"/>
  <c r="K73" i="23" s="1"/>
  <c r="E73" i="23"/>
  <c r="BY71" i="23"/>
  <c r="BS71" i="23"/>
  <c r="BM71" i="23"/>
  <c r="BG71" i="23"/>
  <c r="BA71" i="23"/>
  <c r="AU71" i="23"/>
  <c r="AO71" i="23"/>
  <c r="AI71" i="23"/>
  <c r="AC71" i="23"/>
  <c r="W71" i="23"/>
  <c r="Q71" i="23"/>
  <c r="J71" i="23"/>
  <c r="K71" i="23" s="1"/>
  <c r="E71" i="23"/>
  <c r="BY70" i="23"/>
  <c r="BS70" i="23"/>
  <c r="BM70" i="23"/>
  <c r="BG70" i="23"/>
  <c r="BA70" i="23"/>
  <c r="AU70" i="23"/>
  <c r="AO70" i="23"/>
  <c r="AI70" i="23"/>
  <c r="AC70" i="23"/>
  <c r="W70" i="23"/>
  <c r="Q70" i="23"/>
  <c r="J70" i="23"/>
  <c r="K70" i="23" s="1"/>
  <c r="E70" i="23"/>
  <c r="BY69" i="23"/>
  <c r="BS69" i="23"/>
  <c r="BM69" i="23"/>
  <c r="BG69" i="23"/>
  <c r="BA69" i="23"/>
  <c r="AU69" i="23"/>
  <c r="AO69" i="23"/>
  <c r="AI69" i="23"/>
  <c r="AC69" i="23"/>
  <c r="W69" i="23"/>
  <c r="Q69" i="23"/>
  <c r="J69" i="23"/>
  <c r="K69" i="23" s="1"/>
  <c r="E69" i="23"/>
  <c r="BY68" i="23"/>
  <c r="BS68" i="23"/>
  <c r="BM68" i="23"/>
  <c r="BG68" i="23"/>
  <c r="BA68" i="23"/>
  <c r="AU68" i="23"/>
  <c r="AO68" i="23"/>
  <c r="AI68" i="23"/>
  <c r="AC68" i="23"/>
  <c r="W68" i="23"/>
  <c r="Q68" i="23"/>
  <c r="J68" i="23"/>
  <c r="K68" i="23" s="1"/>
  <c r="E68" i="23"/>
  <c r="BY67" i="23"/>
  <c r="BS67" i="23"/>
  <c r="BM67" i="23"/>
  <c r="BG67" i="23"/>
  <c r="BA67" i="23"/>
  <c r="AU67" i="23"/>
  <c r="AO67" i="23"/>
  <c r="AI67" i="23"/>
  <c r="AC67" i="23"/>
  <c r="W67" i="23"/>
  <c r="Q67" i="23"/>
  <c r="J67" i="23"/>
  <c r="K67" i="23" s="1"/>
  <c r="E67" i="23"/>
  <c r="BY66" i="23"/>
  <c r="BS66" i="23"/>
  <c r="BM66" i="23"/>
  <c r="BG66" i="23"/>
  <c r="BA66" i="23"/>
  <c r="AU66" i="23"/>
  <c r="AO66" i="23"/>
  <c r="AI66" i="23"/>
  <c r="AC66" i="23"/>
  <c r="W66" i="23"/>
  <c r="Q66" i="23"/>
  <c r="J66" i="23"/>
  <c r="K66" i="23" s="1"/>
  <c r="E66" i="23"/>
  <c r="BY65" i="23"/>
  <c r="BS65" i="23"/>
  <c r="BM65" i="23"/>
  <c r="BG65" i="23"/>
  <c r="BA65" i="23"/>
  <c r="AU65" i="23"/>
  <c r="AI65" i="23"/>
  <c r="AC65" i="23"/>
  <c r="W65" i="23"/>
  <c r="Q65" i="23"/>
  <c r="J65" i="23"/>
  <c r="K65" i="23" s="1"/>
  <c r="E65" i="23"/>
  <c r="P64" i="23"/>
  <c r="O64" i="23"/>
  <c r="BY61" i="23"/>
  <c r="BS61" i="23"/>
  <c r="BM61" i="23"/>
  <c r="BG61" i="23"/>
  <c r="BA61" i="23"/>
  <c r="AU61" i="23"/>
  <c r="AO61" i="23"/>
  <c r="AI61" i="23"/>
  <c r="AC61" i="23"/>
  <c r="W61" i="23"/>
  <c r="Q61" i="23"/>
  <c r="J61" i="23"/>
  <c r="K61" i="23" s="1"/>
  <c r="E61" i="23"/>
  <c r="BY59" i="23"/>
  <c r="BS59" i="23"/>
  <c r="BM59" i="23"/>
  <c r="BG59" i="23"/>
  <c r="BA59" i="23"/>
  <c r="AU59" i="23"/>
  <c r="AO59" i="23"/>
  <c r="AI59" i="23"/>
  <c r="AC59" i="23"/>
  <c r="W59" i="23"/>
  <c r="Q59" i="23"/>
  <c r="J59" i="23"/>
  <c r="K59" i="23" s="1"/>
  <c r="E59" i="23"/>
  <c r="BY58" i="23"/>
  <c r="BS58" i="23"/>
  <c r="BM58" i="23"/>
  <c r="BG58" i="23"/>
  <c r="BA58" i="23"/>
  <c r="AU58" i="23"/>
  <c r="AO58" i="23"/>
  <c r="AI58" i="23"/>
  <c r="AC58" i="23"/>
  <c r="W58" i="23"/>
  <c r="Q58" i="23"/>
  <c r="J58" i="23"/>
  <c r="K58" i="23" s="1"/>
  <c r="E58" i="23"/>
  <c r="BY57" i="23"/>
  <c r="BS57" i="23"/>
  <c r="BM57" i="23"/>
  <c r="BG57" i="23"/>
  <c r="BA57" i="23"/>
  <c r="AU57" i="23"/>
  <c r="AO57" i="23"/>
  <c r="AI57" i="23"/>
  <c r="AC57" i="23"/>
  <c r="W57" i="23"/>
  <c r="Q57" i="23"/>
  <c r="J57" i="23"/>
  <c r="K57" i="23" s="1"/>
  <c r="E57" i="23"/>
  <c r="BY56" i="23"/>
  <c r="BS56" i="23"/>
  <c r="BM56" i="23"/>
  <c r="BG56" i="23"/>
  <c r="BA56" i="23"/>
  <c r="AU56" i="23"/>
  <c r="AO56" i="23"/>
  <c r="AI56" i="23"/>
  <c r="AC56" i="23"/>
  <c r="W56" i="23"/>
  <c r="Q56" i="23"/>
  <c r="J56" i="23"/>
  <c r="K56" i="23" s="1"/>
  <c r="E56" i="23"/>
  <c r="BY55" i="23"/>
  <c r="BS55" i="23"/>
  <c r="BM55" i="23"/>
  <c r="BG55" i="23"/>
  <c r="BA55" i="23"/>
  <c r="AU55" i="23"/>
  <c r="AO55" i="23"/>
  <c r="AI55" i="23"/>
  <c r="AC55" i="23"/>
  <c r="W55" i="23"/>
  <c r="Q55" i="23"/>
  <c r="J55" i="23"/>
  <c r="K55" i="23" s="1"/>
  <c r="E55" i="23"/>
  <c r="BY54" i="23"/>
  <c r="BS54" i="23"/>
  <c r="BM54" i="23"/>
  <c r="BG54" i="23"/>
  <c r="BA54" i="23"/>
  <c r="AU54" i="23"/>
  <c r="AO54" i="23"/>
  <c r="AI54" i="23"/>
  <c r="AC54" i="23"/>
  <c r="W54" i="23"/>
  <c r="Q54" i="23"/>
  <c r="J54" i="23"/>
  <c r="K54" i="23" s="1"/>
  <c r="E54" i="23"/>
  <c r="K53" i="23"/>
  <c r="E53" i="23"/>
  <c r="P52" i="23"/>
  <c r="O52" i="23"/>
  <c r="BY49" i="23"/>
  <c r="BS49" i="23"/>
  <c r="BM49" i="23"/>
  <c r="BG49" i="23"/>
  <c r="BA49" i="23"/>
  <c r="AU49" i="23"/>
  <c r="AO49" i="23"/>
  <c r="AI49" i="23"/>
  <c r="AC49" i="23"/>
  <c r="W49" i="23"/>
  <c r="Q49" i="23"/>
  <c r="J49" i="23"/>
  <c r="K49" i="23" s="1"/>
  <c r="E49" i="23"/>
  <c r="BY47" i="23"/>
  <c r="BS47" i="23"/>
  <c r="BM47" i="23"/>
  <c r="BG47" i="23"/>
  <c r="BA47" i="23"/>
  <c r="AU47" i="23"/>
  <c r="AO47" i="23"/>
  <c r="AI47" i="23"/>
  <c r="AC47" i="23"/>
  <c r="W47" i="23"/>
  <c r="Q47" i="23"/>
  <c r="J47" i="23"/>
  <c r="K47" i="23" s="1"/>
  <c r="E47" i="23"/>
  <c r="BY46" i="23"/>
  <c r="BS46" i="23"/>
  <c r="BM46" i="23"/>
  <c r="BG46" i="23"/>
  <c r="BA46" i="23"/>
  <c r="AU46" i="23"/>
  <c r="AO46" i="23"/>
  <c r="AI46" i="23"/>
  <c r="AC46" i="23"/>
  <c r="W46" i="23"/>
  <c r="Q46" i="23"/>
  <c r="J46" i="23"/>
  <c r="K46" i="23" s="1"/>
  <c r="E46" i="23"/>
  <c r="BY45" i="23"/>
  <c r="BS45" i="23"/>
  <c r="BM45" i="23"/>
  <c r="BG45" i="23"/>
  <c r="BA45" i="23"/>
  <c r="AU45" i="23"/>
  <c r="AO45" i="23"/>
  <c r="AI45" i="23"/>
  <c r="AC45" i="23"/>
  <c r="W45" i="23"/>
  <c r="Q45" i="23"/>
  <c r="J45" i="23"/>
  <c r="K45" i="23" s="1"/>
  <c r="E45" i="23"/>
  <c r="BY44" i="23"/>
  <c r="BS44" i="23"/>
  <c r="BM44" i="23"/>
  <c r="BG44" i="23"/>
  <c r="BA44" i="23"/>
  <c r="AU44" i="23"/>
  <c r="AO44" i="23"/>
  <c r="AI44" i="23"/>
  <c r="AC44" i="23"/>
  <c r="W44" i="23"/>
  <c r="Q44" i="23"/>
  <c r="J44" i="23"/>
  <c r="K44" i="23" s="1"/>
  <c r="E44" i="23"/>
  <c r="BY43" i="23"/>
  <c r="BS43" i="23"/>
  <c r="BM43" i="23"/>
  <c r="BG43" i="23"/>
  <c r="BA43" i="23"/>
  <c r="AU43" i="23"/>
  <c r="AO43" i="23"/>
  <c r="AI43" i="23"/>
  <c r="AC43" i="23"/>
  <c r="W43" i="23"/>
  <c r="Q43" i="23"/>
  <c r="J43" i="23"/>
  <c r="K43" i="23" s="1"/>
  <c r="E43" i="23"/>
  <c r="BY42" i="23"/>
  <c r="BS42" i="23"/>
  <c r="BM42" i="23"/>
  <c r="BG42" i="23"/>
  <c r="BA42" i="23"/>
  <c r="AU42" i="23"/>
  <c r="AO42" i="23"/>
  <c r="AI42" i="23"/>
  <c r="AC42" i="23"/>
  <c r="W42" i="23"/>
  <c r="Q42" i="23"/>
  <c r="J42" i="23"/>
  <c r="K42" i="23" s="1"/>
  <c r="E42" i="23"/>
  <c r="J41" i="23"/>
  <c r="P40" i="23"/>
  <c r="O40" i="23"/>
  <c r="BY37" i="23"/>
  <c r="BS37" i="23"/>
  <c r="BM37" i="23"/>
  <c r="BG37" i="23"/>
  <c r="BA37" i="23"/>
  <c r="AU37" i="23"/>
  <c r="AO37" i="23"/>
  <c r="AI37" i="23"/>
  <c r="AC37" i="23"/>
  <c r="W37" i="23"/>
  <c r="Q37" i="23"/>
  <c r="J37" i="23"/>
  <c r="K37" i="23" s="1"/>
  <c r="BY35" i="23"/>
  <c r="BS35" i="23"/>
  <c r="BM35" i="23"/>
  <c r="BG35" i="23"/>
  <c r="BA35" i="23"/>
  <c r="AU35" i="23"/>
  <c r="AO35" i="23"/>
  <c r="AI35" i="23"/>
  <c r="AC35" i="23"/>
  <c r="W35" i="23"/>
  <c r="Q35" i="23"/>
  <c r="J35" i="23"/>
  <c r="K35" i="23" s="1"/>
  <c r="BY34" i="23"/>
  <c r="BS34" i="23"/>
  <c r="BM34" i="23"/>
  <c r="BG34" i="23"/>
  <c r="BA34" i="23"/>
  <c r="AU34" i="23"/>
  <c r="AO34" i="23"/>
  <c r="AI34" i="23"/>
  <c r="AC34" i="23"/>
  <c r="W34" i="23"/>
  <c r="Q34" i="23"/>
  <c r="J34" i="23"/>
  <c r="K34" i="23" s="1"/>
  <c r="BY33" i="23"/>
  <c r="BS33" i="23"/>
  <c r="BM33" i="23"/>
  <c r="BG33" i="23"/>
  <c r="BA33" i="23"/>
  <c r="AU33" i="23"/>
  <c r="AO33" i="23"/>
  <c r="AI33" i="23"/>
  <c r="AC33" i="23"/>
  <c r="W33" i="23"/>
  <c r="Q33" i="23"/>
  <c r="J33" i="23"/>
  <c r="K33" i="23" s="1"/>
  <c r="BY32" i="23"/>
  <c r="BS32" i="23"/>
  <c r="BM32" i="23"/>
  <c r="BG32" i="23"/>
  <c r="BA32" i="23"/>
  <c r="AU32" i="23"/>
  <c r="AO32" i="23"/>
  <c r="AI32" i="23"/>
  <c r="AC32" i="23"/>
  <c r="W32" i="23"/>
  <c r="Q32" i="23"/>
  <c r="J32" i="23"/>
  <c r="K32" i="23" s="1"/>
  <c r="BY31" i="23"/>
  <c r="BS31" i="23"/>
  <c r="BM31" i="23"/>
  <c r="BG31" i="23"/>
  <c r="BA31" i="23"/>
  <c r="AU31" i="23"/>
  <c r="AO31" i="23"/>
  <c r="AI31" i="23"/>
  <c r="AC31" i="23"/>
  <c r="W31" i="23"/>
  <c r="Q31" i="23"/>
  <c r="J31" i="23"/>
  <c r="K31" i="23" s="1"/>
  <c r="BY30" i="23"/>
  <c r="BS30" i="23"/>
  <c r="BM30" i="23"/>
  <c r="BG30" i="23"/>
  <c r="BA30" i="23"/>
  <c r="AU30" i="23"/>
  <c r="AO30" i="23"/>
  <c r="AI30" i="23"/>
  <c r="AC30" i="23"/>
  <c r="W30" i="23"/>
  <c r="Q30" i="23"/>
  <c r="J30" i="23"/>
  <c r="K30" i="23" s="1"/>
  <c r="BY29" i="23"/>
  <c r="BS29" i="23"/>
  <c r="BM29" i="23"/>
  <c r="BG29" i="23"/>
  <c r="BA29" i="23"/>
  <c r="AU29" i="23"/>
  <c r="AO29" i="23"/>
  <c r="AI29" i="23"/>
  <c r="AC29" i="23"/>
  <c r="W29" i="23"/>
  <c r="Q29" i="23"/>
  <c r="K29" i="23"/>
  <c r="E29" i="23"/>
  <c r="P28" i="23"/>
  <c r="P112" i="23" s="1"/>
  <c r="O28" i="23"/>
  <c r="O112" i="23" s="1"/>
  <c r="BY25" i="23"/>
  <c r="BS25" i="23"/>
  <c r="BM25" i="23"/>
  <c r="BG25" i="23"/>
  <c r="BA25" i="23"/>
  <c r="AU25" i="23"/>
  <c r="AO25" i="23"/>
  <c r="AI25" i="23"/>
  <c r="AC25" i="23"/>
  <c r="W25" i="23"/>
  <c r="Q25" i="23"/>
  <c r="K25" i="23"/>
  <c r="E25" i="23"/>
  <c r="BY23" i="23"/>
  <c r="BS23" i="23"/>
  <c r="BM23" i="23"/>
  <c r="BG23" i="23"/>
  <c r="BA23" i="23"/>
  <c r="AU23" i="23"/>
  <c r="AO23" i="23"/>
  <c r="AI23" i="23"/>
  <c r="AC23" i="23"/>
  <c r="W23" i="23"/>
  <c r="Q23" i="23"/>
  <c r="K23" i="23"/>
  <c r="BY22" i="23"/>
  <c r="BS22" i="23"/>
  <c r="BM22" i="23"/>
  <c r="BG22" i="23"/>
  <c r="BA22" i="23"/>
  <c r="AU22" i="23"/>
  <c r="AO22" i="23"/>
  <c r="AI22" i="23"/>
  <c r="AC22" i="23"/>
  <c r="W22" i="23"/>
  <c r="Q22" i="23"/>
  <c r="K22" i="23"/>
  <c r="E22" i="23"/>
  <c r="BY21" i="23"/>
  <c r="BS21" i="23"/>
  <c r="BM21" i="23"/>
  <c r="BG21" i="23"/>
  <c r="BA21" i="23"/>
  <c r="AU21" i="23"/>
  <c r="AO21" i="23"/>
  <c r="AI21" i="23"/>
  <c r="AC21" i="23"/>
  <c r="W21" i="23"/>
  <c r="Q21" i="23"/>
  <c r="K21" i="23"/>
  <c r="E21" i="23"/>
  <c r="BY20" i="23"/>
  <c r="BS20" i="23"/>
  <c r="BM20" i="23"/>
  <c r="BG20" i="23"/>
  <c r="BA20" i="23"/>
  <c r="AU20" i="23"/>
  <c r="AO20" i="23"/>
  <c r="AI20" i="23"/>
  <c r="AC20" i="23"/>
  <c r="W20" i="23"/>
  <c r="Q20" i="23"/>
  <c r="K20" i="23"/>
  <c r="E20" i="23"/>
  <c r="BY19" i="23"/>
  <c r="BS19" i="23"/>
  <c r="BM19" i="23"/>
  <c r="BG19" i="23"/>
  <c r="BA19" i="23"/>
  <c r="AU19" i="23"/>
  <c r="AO19" i="23"/>
  <c r="AI19" i="23"/>
  <c r="AC19" i="23"/>
  <c r="W19" i="23"/>
  <c r="Q19" i="23"/>
  <c r="K19" i="23"/>
  <c r="E19" i="23"/>
  <c r="BY18" i="23"/>
  <c r="BS18" i="23"/>
  <c r="BM18" i="23"/>
  <c r="BG18" i="23"/>
  <c r="BA18" i="23"/>
  <c r="AU18" i="23"/>
  <c r="AO18" i="23"/>
  <c r="AI18" i="23"/>
  <c r="AC18" i="23"/>
  <c r="W18" i="23"/>
  <c r="Q18" i="23"/>
  <c r="K18" i="23"/>
  <c r="E18" i="23"/>
  <c r="BY17" i="23"/>
  <c r="BS17" i="23"/>
  <c r="BM17" i="23"/>
  <c r="BG17" i="23"/>
  <c r="BA17" i="23"/>
  <c r="AU17" i="23"/>
  <c r="AO17" i="23"/>
  <c r="AC17" i="23"/>
  <c r="Q17" i="23"/>
  <c r="K17" i="23"/>
  <c r="CO16" i="23"/>
  <c r="CO28" i="23" s="1"/>
  <c r="CO40" i="23" s="1"/>
  <c r="CO52" i="23" s="1"/>
  <c r="CO64" i="23" s="1"/>
  <c r="CO76" i="23" s="1"/>
  <c r="CO88" i="23" s="1"/>
  <c r="CO100" i="23" s="1"/>
  <c r="CO112" i="23" s="1"/>
  <c r="CI16" i="23"/>
  <c r="CI28" i="23" s="1"/>
  <c r="CI40" i="23" s="1"/>
  <c r="CI52" i="23" s="1"/>
  <c r="CI64" i="23" s="1"/>
  <c r="CI76" i="23" s="1"/>
  <c r="CI88" i="23" s="1"/>
  <c r="CI100" i="23" s="1"/>
  <c r="CI112" i="23" s="1"/>
  <c r="CC16" i="23"/>
  <c r="CC28" i="23" s="1"/>
  <c r="CC40" i="23" s="1"/>
  <c r="CC52" i="23" s="1"/>
  <c r="CC64" i="23" s="1"/>
  <c r="CC76" i="23" s="1"/>
  <c r="CC88" i="23" s="1"/>
  <c r="CC100" i="23" s="1"/>
  <c r="CC112" i="23" s="1"/>
  <c r="BW16" i="23"/>
  <c r="BW28" i="23" s="1"/>
  <c r="BW40" i="23" s="1"/>
  <c r="BW52" i="23" s="1"/>
  <c r="BW64" i="23" s="1"/>
  <c r="BW76" i="23" s="1"/>
  <c r="BW88" i="23" s="1"/>
  <c r="BW100" i="23" s="1"/>
  <c r="BW112" i="23" s="1"/>
  <c r="BQ16" i="23"/>
  <c r="BQ28" i="23" s="1"/>
  <c r="BQ40" i="23" s="1"/>
  <c r="BQ52" i="23" s="1"/>
  <c r="BQ64" i="23" s="1"/>
  <c r="BQ76" i="23" s="1"/>
  <c r="BQ88" i="23" s="1"/>
  <c r="BQ100" i="23" s="1"/>
  <c r="BQ112" i="23" s="1"/>
  <c r="BK16" i="23"/>
  <c r="BK28" i="23" s="1"/>
  <c r="BK40" i="23" s="1"/>
  <c r="BK52" i="23" s="1"/>
  <c r="BK64" i="23" s="1"/>
  <c r="BK76" i="23" s="1"/>
  <c r="BK88" i="23" s="1"/>
  <c r="BK100" i="23" s="1"/>
  <c r="BK112" i="23" s="1"/>
  <c r="BE16" i="23"/>
  <c r="BE28" i="23" s="1"/>
  <c r="BE40" i="23" s="1"/>
  <c r="BE52" i="23" s="1"/>
  <c r="BE64" i="23" s="1"/>
  <c r="BE76" i="23" s="1"/>
  <c r="BE88" i="23" s="1"/>
  <c r="BE100" i="23" s="1"/>
  <c r="BE112" i="23" s="1"/>
  <c r="AY16" i="23"/>
  <c r="AY28" i="23" s="1"/>
  <c r="AY40" i="23" s="1"/>
  <c r="AY52" i="23" s="1"/>
  <c r="AY64" i="23" s="1"/>
  <c r="AY76" i="23" s="1"/>
  <c r="AY88" i="23" s="1"/>
  <c r="AY100" i="23" s="1"/>
  <c r="AY112" i="23" s="1"/>
  <c r="AS16" i="23"/>
  <c r="AS28" i="23" s="1"/>
  <c r="AS40" i="23" s="1"/>
  <c r="AS52" i="23" s="1"/>
  <c r="AS64" i="23" s="1"/>
  <c r="AS76" i="23" s="1"/>
  <c r="AS88" i="23" s="1"/>
  <c r="AS100" i="23" s="1"/>
  <c r="AS112" i="23" s="1"/>
  <c r="AM16" i="23"/>
  <c r="AM28" i="23" s="1"/>
  <c r="AM40" i="23" s="1"/>
  <c r="AM52" i="23" s="1"/>
  <c r="AM64" i="23" s="1"/>
  <c r="AM76" i="23" s="1"/>
  <c r="AM88" i="23" s="1"/>
  <c r="AM100" i="23" s="1"/>
  <c r="AM112" i="23" s="1"/>
  <c r="AH16" i="23"/>
  <c r="AH28" i="23" s="1"/>
  <c r="AH40" i="23" s="1"/>
  <c r="AH52" i="23" s="1"/>
  <c r="AH64" i="23" s="1"/>
  <c r="AH76" i="23" s="1"/>
  <c r="AH88" i="23" s="1"/>
  <c r="AH100" i="23" s="1"/>
  <c r="AH112" i="23" s="1"/>
  <c r="AG16" i="23"/>
  <c r="AG28" i="23" s="1"/>
  <c r="AG40" i="23" s="1"/>
  <c r="AG52" i="23" s="1"/>
  <c r="U28" i="23"/>
  <c r="U40" i="23" s="1"/>
  <c r="U52" i="23" s="1"/>
  <c r="U64" i="23" s="1"/>
  <c r="U76" i="23" s="1"/>
  <c r="U88" i="23" s="1"/>
  <c r="U100" i="23" s="1"/>
  <c r="U112" i="23" s="1"/>
  <c r="P16" i="23"/>
  <c r="P100" i="23" s="1"/>
  <c r="O16" i="23"/>
  <c r="O100" i="23" s="1"/>
  <c r="J16" i="23"/>
  <c r="J28" i="23" s="1"/>
  <c r="J40" i="23" s="1"/>
  <c r="J52" i="23" s="1"/>
  <c r="J64" i="23" s="1"/>
  <c r="J76" i="23" s="1"/>
  <c r="J88" i="23" s="1"/>
  <c r="J100" i="23" s="1"/>
  <c r="J112" i="23" s="1"/>
  <c r="I16" i="23"/>
  <c r="I28" i="23" s="1"/>
  <c r="I40" i="23" s="1"/>
  <c r="I52" i="23" s="1"/>
  <c r="I64" i="23" s="1"/>
  <c r="I76" i="23" s="1"/>
  <c r="I88" i="23" s="1"/>
  <c r="I100" i="23" s="1"/>
  <c r="I112" i="23" s="1"/>
  <c r="D16" i="23"/>
  <c r="D28" i="23" s="1"/>
  <c r="D40" i="23" s="1"/>
  <c r="D52" i="23" s="1"/>
  <c r="D64" i="23" s="1"/>
  <c r="D76" i="23" s="1"/>
  <c r="D88" i="23" s="1"/>
  <c r="D100" i="23" s="1"/>
  <c r="D112" i="23" s="1"/>
  <c r="C16" i="23"/>
  <c r="C28" i="23" s="1"/>
  <c r="C40" i="23" s="1"/>
  <c r="C52" i="23" s="1"/>
  <c r="C64" i="23" s="1"/>
  <c r="C76" i="23" s="1"/>
  <c r="C88" i="23" s="1"/>
  <c r="C100" i="23" s="1"/>
  <c r="C112" i="23" s="1"/>
  <c r="O15" i="23"/>
  <c r="O27" i="23" s="1"/>
  <c r="O39" i="23" s="1"/>
  <c r="O51" i="23" s="1"/>
  <c r="O63" i="23" s="1"/>
  <c r="O75" i="23" s="1"/>
  <c r="O87" i="23" s="1"/>
  <c r="O99" i="23" s="1"/>
  <c r="O111" i="23" s="1"/>
  <c r="I15" i="23"/>
  <c r="I27" i="23" s="1"/>
  <c r="I39" i="23" s="1"/>
  <c r="I51" i="23" s="1"/>
  <c r="I63" i="23" s="1"/>
  <c r="I75" i="23" s="1"/>
  <c r="I87" i="23" s="1"/>
  <c r="I99" i="23" s="1"/>
  <c r="I111" i="23" s="1"/>
  <c r="C15" i="23"/>
  <c r="C27" i="23" s="1"/>
  <c r="C39" i="23" s="1"/>
  <c r="C51" i="23" s="1"/>
  <c r="C63" i="23" s="1"/>
  <c r="C75" i="23" s="1"/>
  <c r="C87" i="23" s="1"/>
  <c r="C99" i="23" s="1"/>
  <c r="C111" i="23" s="1"/>
  <c r="BY13" i="23"/>
  <c r="BS13" i="23"/>
  <c r="BM13" i="23"/>
  <c r="BG13" i="23"/>
  <c r="BA13" i="23"/>
  <c r="AU13" i="23"/>
  <c r="AO13" i="23"/>
  <c r="AI13" i="23"/>
  <c r="AC13" i="23"/>
  <c r="W13" i="23"/>
  <c r="Q13" i="23"/>
  <c r="K13" i="23"/>
  <c r="E13" i="23"/>
  <c r="CI23" i="23"/>
  <c r="CI35" i="23" s="1"/>
  <c r="CI47" i="23" s="1"/>
  <c r="CI59" i="23" s="1"/>
  <c r="CI71" i="23" s="1"/>
  <c r="CI83" i="23" s="1"/>
  <c r="CI95" i="23" s="1"/>
  <c r="CI107" i="23" s="1"/>
  <c r="CI119" i="23" s="1"/>
  <c r="BY11" i="23"/>
  <c r="BS11" i="23"/>
  <c r="BM11" i="23"/>
  <c r="BG11" i="23"/>
  <c r="BA11" i="23"/>
  <c r="AU11" i="23"/>
  <c r="AO11" i="23"/>
  <c r="AI11" i="23"/>
  <c r="AC11" i="23"/>
  <c r="W11" i="23"/>
  <c r="Q11" i="23"/>
  <c r="K11" i="23"/>
  <c r="E11" i="23"/>
  <c r="CI22" i="23"/>
  <c r="CI34" i="23" s="1"/>
  <c r="CI46" i="23" s="1"/>
  <c r="CI58" i="23" s="1"/>
  <c r="CI70" i="23" s="1"/>
  <c r="CI82" i="23" s="1"/>
  <c r="CI94" i="23" s="1"/>
  <c r="CI106" i="23" s="1"/>
  <c r="CI118" i="23" s="1"/>
  <c r="BY10" i="23"/>
  <c r="BS10" i="23"/>
  <c r="BM10" i="23"/>
  <c r="BG10" i="23"/>
  <c r="BA10" i="23"/>
  <c r="AU10" i="23"/>
  <c r="AO10" i="23"/>
  <c r="AI10" i="23"/>
  <c r="AC10" i="23"/>
  <c r="W10" i="23"/>
  <c r="Q10" i="23"/>
  <c r="K10" i="23"/>
  <c r="E10" i="23"/>
  <c r="CI21" i="23"/>
  <c r="CI33" i="23" s="1"/>
  <c r="CI45" i="23" s="1"/>
  <c r="CI57" i="23" s="1"/>
  <c r="CI69" i="23" s="1"/>
  <c r="CI81" i="23" s="1"/>
  <c r="CI93" i="23" s="1"/>
  <c r="CI105" i="23" s="1"/>
  <c r="CI117" i="23" s="1"/>
  <c r="BY9" i="23"/>
  <c r="BS9" i="23"/>
  <c r="BM9" i="23"/>
  <c r="BG9" i="23"/>
  <c r="BA9" i="23"/>
  <c r="AU9" i="23"/>
  <c r="AO9" i="23"/>
  <c r="AI9" i="23"/>
  <c r="AC9" i="23"/>
  <c r="W9" i="23"/>
  <c r="Q9" i="23"/>
  <c r="K9" i="23"/>
  <c r="E9" i="23"/>
  <c r="CO20" i="23"/>
  <c r="CO32" i="23" s="1"/>
  <c r="CO44" i="23" s="1"/>
  <c r="CO56" i="23" s="1"/>
  <c r="CO68" i="23" s="1"/>
  <c r="CO80" i="23" s="1"/>
  <c r="CO92" i="23" s="1"/>
  <c r="CO104" i="23" s="1"/>
  <c r="CO116" i="23" s="1"/>
  <c r="CI20" i="23"/>
  <c r="CI32" i="23" s="1"/>
  <c r="CI44" i="23" s="1"/>
  <c r="CI56" i="23" s="1"/>
  <c r="CI68" i="23" s="1"/>
  <c r="CI80" i="23" s="1"/>
  <c r="CI92" i="23" s="1"/>
  <c r="CI104" i="23" s="1"/>
  <c r="CI116" i="23" s="1"/>
  <c r="BY8" i="23"/>
  <c r="BS8" i="23"/>
  <c r="BM8" i="23"/>
  <c r="BG8" i="23"/>
  <c r="BA8" i="23"/>
  <c r="AU8" i="23"/>
  <c r="AO8" i="23"/>
  <c r="AI8" i="23"/>
  <c r="AC8" i="23"/>
  <c r="W8" i="23"/>
  <c r="Q8" i="23"/>
  <c r="K8" i="23"/>
  <c r="E8" i="23"/>
  <c r="CO19" i="23"/>
  <c r="CO31" i="23" s="1"/>
  <c r="CO43" i="23" s="1"/>
  <c r="CO55" i="23" s="1"/>
  <c r="CO67" i="23" s="1"/>
  <c r="CO79" i="23" s="1"/>
  <c r="CO91" i="23" s="1"/>
  <c r="CO103" i="23" s="1"/>
  <c r="CO115" i="23" s="1"/>
  <c r="CI19" i="23"/>
  <c r="CI31" i="23" s="1"/>
  <c r="CI43" i="23" s="1"/>
  <c r="CI55" i="23" s="1"/>
  <c r="CI67" i="23" s="1"/>
  <c r="CI79" i="23" s="1"/>
  <c r="CI91" i="23" s="1"/>
  <c r="CI103" i="23" s="1"/>
  <c r="CI115" i="23" s="1"/>
  <c r="CE7" i="23"/>
  <c r="CE19" i="23" s="1"/>
  <c r="CE31" i="23" s="1"/>
  <c r="CE43" i="23" s="1"/>
  <c r="CE55" i="23" s="1"/>
  <c r="CE67" i="23" s="1"/>
  <c r="CE79" i="23" s="1"/>
  <c r="CE91" i="23" s="1"/>
  <c r="CE103" i="23" s="1"/>
  <c r="CE115" i="23" s="1"/>
  <c r="BY7" i="23"/>
  <c r="BS7" i="23"/>
  <c r="BM7" i="23"/>
  <c r="BG7" i="23"/>
  <c r="BA7" i="23"/>
  <c r="AU7" i="23"/>
  <c r="AO7" i="23"/>
  <c r="AI7" i="23"/>
  <c r="AC7" i="23"/>
  <c r="W7" i="23"/>
  <c r="Q7" i="23"/>
  <c r="K7" i="23"/>
  <c r="E7" i="23"/>
  <c r="CO18" i="23"/>
  <c r="CO30" i="23" s="1"/>
  <c r="CO42" i="23" s="1"/>
  <c r="CO54" i="23" s="1"/>
  <c r="CO66" i="23" s="1"/>
  <c r="CO78" i="23" s="1"/>
  <c r="CO90" i="23" s="1"/>
  <c r="CO102" i="23" s="1"/>
  <c r="CO114" i="23" s="1"/>
  <c r="CE6" i="23"/>
  <c r="CE18" i="23" s="1"/>
  <c r="CE30" i="23" s="1"/>
  <c r="CE42" i="23" s="1"/>
  <c r="CE54" i="23" s="1"/>
  <c r="BY6" i="23"/>
  <c r="BS6" i="23"/>
  <c r="BM6" i="23"/>
  <c r="BG6" i="23"/>
  <c r="BA6" i="23"/>
  <c r="AU6" i="23"/>
  <c r="AO6" i="23"/>
  <c r="AI6" i="23"/>
  <c r="AC6" i="23"/>
  <c r="W6" i="23"/>
  <c r="Q6" i="23"/>
  <c r="K6" i="23"/>
  <c r="CO17" i="23"/>
  <c r="CO29" i="23" s="1"/>
  <c r="CO41" i="23" s="1"/>
  <c r="CO53" i="23" s="1"/>
  <c r="CO65" i="23" s="1"/>
  <c r="CO77" i="23" s="1"/>
  <c r="CO89" i="23" s="1"/>
  <c r="CO101" i="23" s="1"/>
  <c r="CO113" i="23" s="1"/>
  <c r="CI29" i="23"/>
  <c r="CI41" i="23" s="1"/>
  <c r="CI53" i="23" s="1"/>
  <c r="CI65" i="23" s="1"/>
  <c r="CI77" i="23" s="1"/>
  <c r="CI89" i="23" s="1"/>
  <c r="CC5" i="23"/>
  <c r="CC17" i="23" s="1"/>
  <c r="BY5" i="23"/>
  <c r="BS5" i="23"/>
  <c r="BM5" i="23"/>
  <c r="BG5" i="23"/>
  <c r="AU5" i="23"/>
  <c r="AO5" i="23"/>
  <c r="AI5" i="23"/>
  <c r="AC5" i="23"/>
  <c r="W5" i="23"/>
  <c r="Q5" i="23"/>
  <c r="K5" i="23"/>
  <c r="B50" i="27" l="1"/>
  <c r="B65" i="36"/>
  <c r="AG64" i="23"/>
  <c r="AG76" i="23" s="1"/>
  <c r="AG88" i="23" s="1"/>
  <c r="AG100" i="23" s="1"/>
  <c r="AG112" i="23" s="1"/>
  <c r="CI101" i="23"/>
  <c r="CI113" i="23" s="1"/>
  <c r="CK8" i="23"/>
  <c r="CK20" i="23" s="1"/>
  <c r="CK32" i="23" s="1"/>
  <c r="CK44" i="23" s="1"/>
  <c r="CK56" i="23" s="1"/>
  <c r="CK68" i="23" s="1"/>
  <c r="CK80" i="23" s="1"/>
  <c r="CK92" i="23" s="1"/>
  <c r="CK104" i="23" s="1"/>
  <c r="CK116" i="23" s="1"/>
  <c r="CO21" i="23"/>
  <c r="CO33" i="23" s="1"/>
  <c r="CO45" i="23" s="1"/>
  <c r="CO57" i="23" s="1"/>
  <c r="CO69" i="23" s="1"/>
  <c r="CO81" i="23" s="1"/>
  <c r="CO93" i="23" s="1"/>
  <c r="CO105" i="23" s="1"/>
  <c r="CO117" i="23" s="1"/>
  <c r="CQ9" i="23"/>
  <c r="CQ21" i="23" s="1"/>
  <c r="CQ33" i="23" s="1"/>
  <c r="CQ45" i="23" s="1"/>
  <c r="CQ57" i="23" s="1"/>
  <c r="CQ69" i="23" s="1"/>
  <c r="CQ81" i="23" s="1"/>
  <c r="CQ93" i="23" s="1"/>
  <c r="CQ105" i="23" s="1"/>
  <c r="CQ117" i="23" s="1"/>
  <c r="CQ7" i="23"/>
  <c r="CQ19" i="23" s="1"/>
  <c r="CQ31" i="23" s="1"/>
  <c r="CQ43" i="23" s="1"/>
  <c r="CQ55" i="23" s="1"/>
  <c r="CQ67" i="23" s="1"/>
  <c r="CQ79" i="23" s="1"/>
  <c r="CQ91" i="23" s="1"/>
  <c r="CQ103" i="23" s="1"/>
  <c r="CQ115" i="23" s="1"/>
  <c r="AO41" i="23"/>
  <c r="CK11" i="23"/>
  <c r="CK23" i="23" s="1"/>
  <c r="CK35" i="23" s="1"/>
  <c r="CK47" i="23" s="1"/>
  <c r="CK59" i="23" s="1"/>
  <c r="CK71" i="23" s="1"/>
  <c r="CK83" i="23" s="1"/>
  <c r="CK95" i="23" s="1"/>
  <c r="CK107" i="23" s="1"/>
  <c r="CK119" i="23" s="1"/>
  <c r="CK10" i="23"/>
  <c r="CK22" i="23" s="1"/>
  <c r="CK34" i="23" s="1"/>
  <c r="CK46" i="23" s="1"/>
  <c r="CK58" i="23" s="1"/>
  <c r="CK70" i="23" s="1"/>
  <c r="CK82" i="23" s="1"/>
  <c r="CK94" i="23" s="1"/>
  <c r="CK106" i="23" s="1"/>
  <c r="CK118" i="23" s="1"/>
  <c r="CK9" i="23"/>
  <c r="CK21" i="23" s="1"/>
  <c r="CK33" i="23" s="1"/>
  <c r="CK45" i="23" s="1"/>
  <c r="CK57" i="23" s="1"/>
  <c r="CK69" i="23" s="1"/>
  <c r="CK81" i="23" s="1"/>
  <c r="CK93" i="23" s="1"/>
  <c r="CK105" i="23" s="1"/>
  <c r="CK117" i="23" s="1"/>
  <c r="CE10" i="23"/>
  <c r="CE22" i="23" s="1"/>
  <c r="CE34" i="23" s="1"/>
  <c r="CE46" i="23" s="1"/>
  <c r="CE58" i="23" s="1"/>
  <c r="CE70" i="23" s="1"/>
  <c r="CE82" i="23" s="1"/>
  <c r="CE94" i="23" s="1"/>
  <c r="CE106" i="23" s="1"/>
  <c r="CE118" i="23" s="1"/>
  <c r="CE8" i="23"/>
  <c r="CE20" i="23" s="1"/>
  <c r="CE32" i="23" s="1"/>
  <c r="CE44" i="23" s="1"/>
  <c r="CE56" i="23" s="1"/>
  <c r="CE68" i="23" s="1"/>
  <c r="CE80" i="23" s="1"/>
  <c r="CE92" i="23" s="1"/>
  <c r="CE104" i="23" s="1"/>
  <c r="CE116" i="23" s="1"/>
  <c r="CQ8" i="23"/>
  <c r="CQ20" i="23" s="1"/>
  <c r="CQ32" i="23" s="1"/>
  <c r="CQ44" i="23" s="1"/>
  <c r="CQ56" i="23" s="1"/>
  <c r="CQ68" i="23" s="1"/>
  <c r="CQ80" i="23" s="1"/>
  <c r="CQ92" i="23" s="1"/>
  <c r="CQ104" i="23" s="1"/>
  <c r="CQ116" i="23" s="1"/>
  <c r="CE5" i="23"/>
  <c r="CQ6" i="23"/>
  <c r="CQ18" i="23" s="1"/>
  <c r="CQ30" i="23" s="1"/>
  <c r="CQ42" i="23" s="1"/>
  <c r="CQ54" i="23" s="1"/>
  <c r="CQ66" i="23" s="1"/>
  <c r="CQ78" i="23" s="1"/>
  <c r="CQ90" i="23" s="1"/>
  <c r="CQ102" i="23" s="1"/>
  <c r="CQ114" i="23" s="1"/>
  <c r="CE9" i="23"/>
  <c r="CE21" i="23" s="1"/>
  <c r="CE33" i="23" s="1"/>
  <c r="CE45" i="23" s="1"/>
  <c r="CE57" i="23" s="1"/>
  <c r="CE69" i="23" s="1"/>
  <c r="CE81" i="23" s="1"/>
  <c r="CE93" i="23" s="1"/>
  <c r="CE105" i="23" s="1"/>
  <c r="CE117" i="23" s="1"/>
  <c r="BM41" i="23"/>
  <c r="CQ5" i="23"/>
  <c r="CQ17" i="23" s="1"/>
  <c r="CQ29" i="23" s="1"/>
  <c r="CQ41" i="23" s="1"/>
  <c r="CQ53" i="23" s="1"/>
  <c r="CQ65" i="23" s="1"/>
  <c r="CQ77" i="23" s="1"/>
  <c r="CQ89" i="23" s="1"/>
  <c r="CQ101" i="23" s="1"/>
  <c r="CQ113" i="23" s="1"/>
  <c r="CK5" i="23"/>
  <c r="CK17" i="23" s="1"/>
  <c r="CK29" i="23" s="1"/>
  <c r="CK41" i="23" s="1"/>
  <c r="CK53" i="23" s="1"/>
  <c r="CK65" i="23" s="1"/>
  <c r="CK77" i="23" s="1"/>
  <c r="CK89" i="23" s="1"/>
  <c r="Q41" i="23"/>
  <c r="CE65" i="23"/>
  <c r="CE77" i="23" s="1"/>
  <c r="CE89" i="23" s="1"/>
  <c r="CE101" i="23" s="1"/>
  <c r="CE113" i="23" s="1"/>
  <c r="CE66" i="23"/>
  <c r="CE78" i="23" s="1"/>
  <c r="CE90" i="23" s="1"/>
  <c r="CE102" i="23" s="1"/>
  <c r="CE114" i="23" s="1"/>
  <c r="CQ10" i="23"/>
  <c r="CO22" i="23"/>
  <c r="CO34" i="23" s="1"/>
  <c r="CO46" i="23" s="1"/>
  <c r="CO58" i="23" s="1"/>
  <c r="CO70" i="23" s="1"/>
  <c r="CO82" i="23" s="1"/>
  <c r="CO94" i="23" s="1"/>
  <c r="CO106" i="23" s="1"/>
  <c r="CO118" i="23" s="1"/>
  <c r="CE13" i="23"/>
  <c r="CE25" i="23" s="1"/>
  <c r="CE37" i="23" s="1"/>
  <c r="CE49" i="23" s="1"/>
  <c r="CE61" i="23" s="1"/>
  <c r="CE73" i="23" s="1"/>
  <c r="CE85" i="23" s="1"/>
  <c r="CE97" i="23" s="1"/>
  <c r="CE109" i="23" s="1"/>
  <c r="CE121" i="23" s="1"/>
  <c r="CE11" i="23"/>
  <c r="CE23" i="23" s="1"/>
  <c r="CE35" i="23" s="1"/>
  <c r="CE47" i="23" s="1"/>
  <c r="CE59" i="23" s="1"/>
  <c r="CE71" i="23" s="1"/>
  <c r="CE83" i="23" s="1"/>
  <c r="CE95" i="23" s="1"/>
  <c r="CE107" i="23" s="1"/>
  <c r="CE119" i="23" s="1"/>
  <c r="CI25" i="23"/>
  <c r="CI37" i="23" s="1"/>
  <c r="CI49" i="23" s="1"/>
  <c r="CI61" i="23" s="1"/>
  <c r="CI73" i="23" s="1"/>
  <c r="CI85" i="23" s="1"/>
  <c r="CI97" i="23" s="1"/>
  <c r="CI109" i="23" s="1"/>
  <c r="CI121" i="23" s="1"/>
  <c r="CK13" i="23"/>
  <c r="CK25" i="23" s="1"/>
  <c r="CK37" i="23" s="1"/>
  <c r="CK49" i="23" s="1"/>
  <c r="CK61" i="23" s="1"/>
  <c r="CK73" i="23" s="1"/>
  <c r="CK85" i="23" s="1"/>
  <c r="CK97" i="23" s="1"/>
  <c r="CK109" i="23" s="1"/>
  <c r="CK121" i="23" s="1"/>
  <c r="CK6" i="23"/>
  <c r="CK18" i="23" s="1"/>
  <c r="CK30" i="23" s="1"/>
  <c r="CK42" i="23" s="1"/>
  <c r="CK54" i="23" s="1"/>
  <c r="CK66" i="23" s="1"/>
  <c r="CK78" i="23" s="1"/>
  <c r="CK90" i="23" s="1"/>
  <c r="CK102" i="23" s="1"/>
  <c r="CK114" i="23" s="1"/>
  <c r="CI18" i="23"/>
  <c r="CI30" i="23" s="1"/>
  <c r="CI42" i="23" s="1"/>
  <c r="CI54" i="23" s="1"/>
  <c r="CI66" i="23" s="1"/>
  <c r="CI78" i="23" s="1"/>
  <c r="CI90" i="23" s="1"/>
  <c r="CI102" i="23" s="1"/>
  <c r="CI114" i="23" s="1"/>
  <c r="CK7" i="23"/>
  <c r="CK19" i="23" s="1"/>
  <c r="CK31" i="23" s="1"/>
  <c r="CK43" i="23" s="1"/>
  <c r="CK55" i="23" s="1"/>
  <c r="CK67" i="23" s="1"/>
  <c r="CK79" i="23" s="1"/>
  <c r="CK91" i="23" s="1"/>
  <c r="CK103" i="23" s="1"/>
  <c r="CK115" i="23" s="1"/>
  <c r="CQ13" i="23"/>
  <c r="CQ25" i="23" s="1"/>
  <c r="CQ37" i="23" s="1"/>
  <c r="CQ49" i="23" s="1"/>
  <c r="CQ61" i="23" s="1"/>
  <c r="CQ73" i="23" s="1"/>
  <c r="CQ85" i="23" s="1"/>
  <c r="CQ97" i="23" s="1"/>
  <c r="CQ109" i="23" s="1"/>
  <c r="CQ121" i="23" s="1"/>
  <c r="CO25" i="23"/>
  <c r="CO37" i="23" s="1"/>
  <c r="CO49" i="23" s="1"/>
  <c r="CO61" i="23" s="1"/>
  <c r="CO73" i="23" s="1"/>
  <c r="CO85" i="23" s="1"/>
  <c r="CO97" i="23" s="1"/>
  <c r="CO109" i="23" s="1"/>
  <c r="CO121" i="23" s="1"/>
  <c r="CO23" i="23"/>
  <c r="CO35" i="23" s="1"/>
  <c r="CO47" i="23" s="1"/>
  <c r="CO59" i="23" s="1"/>
  <c r="CO71" i="23" s="1"/>
  <c r="CO83" i="23" s="1"/>
  <c r="CO95" i="23" s="1"/>
  <c r="CO107" i="23" s="1"/>
  <c r="CO119" i="23" s="1"/>
  <c r="CQ11" i="23"/>
  <c r="CQ23" i="23" s="1"/>
  <c r="CQ35" i="23" s="1"/>
  <c r="CQ47" i="23" s="1"/>
  <c r="CQ59" i="23" s="1"/>
  <c r="CQ71" i="23" s="1"/>
  <c r="CQ83" i="23" s="1"/>
  <c r="CQ95" i="23" s="1"/>
  <c r="CQ107" i="23" s="1"/>
  <c r="CQ119" i="23" s="1"/>
  <c r="CC29" i="23"/>
  <c r="CC41" i="23" s="1"/>
  <c r="CC53" i="23" s="1"/>
  <c r="CC65" i="23" s="1"/>
  <c r="CC77" i="23" s="1"/>
  <c r="CC89" i="23" s="1"/>
  <c r="CC101" i="23" s="1"/>
  <c r="CC113" i="23" s="1"/>
  <c r="BA41" i="23"/>
  <c r="AC41" i="23"/>
  <c r="BG41" i="23"/>
  <c r="E41" i="23"/>
  <c r="AI41" i="23"/>
  <c r="K41" i="23"/>
  <c r="BY41" i="23"/>
  <c r="W41" i="23"/>
  <c r="AU41" i="23"/>
  <c r="CE17" i="23" l="1"/>
  <c r="CE29" i="23" s="1"/>
  <c r="CE41" i="23" s="1"/>
  <c r="CE53" i="23" s="1"/>
  <c r="CK101" i="23"/>
  <c r="CK113" i="23" s="1"/>
  <c r="CQ22" i="23"/>
  <c r="CQ34" i="23" s="1"/>
  <c r="CQ46" i="23" s="1"/>
  <c r="CQ58" i="23" s="1"/>
  <c r="CQ70" i="23" s="1"/>
  <c r="CQ82" i="23" s="1"/>
  <c r="CQ94" i="23" s="1"/>
  <c r="CQ106" i="23" s="1"/>
  <c r="CQ118" i="23" s="1"/>
  <c r="H15" i="27"/>
  <c r="A108" i="2" l="1"/>
  <c r="B58" i="4" s="1"/>
  <c r="B64" i="36" s="1"/>
  <c r="G15" i="27" l="1"/>
  <c r="G16" i="27"/>
  <c r="S8" i="4"/>
  <c r="P6" i="4" l="1"/>
  <c r="Q14" i="4" s="1"/>
  <c r="O32" i="4"/>
  <c r="V6" i="4" l="1"/>
  <c r="A110" i="2" s="1"/>
  <c r="O31" i="4"/>
  <c r="P14" i="4"/>
  <c r="O33" i="4" s="1"/>
  <c r="O34" i="4" s="1"/>
  <c r="E17" i="27"/>
  <c r="G17" i="27"/>
  <c r="B60" i="4" l="1"/>
  <c r="B66" i="36"/>
  <c r="F127" i="23"/>
  <c r="U3" i="23" l="1"/>
  <c r="U15" i="23" s="1"/>
  <c r="U27" i="23" s="1"/>
  <c r="U39" i="23" s="1"/>
  <c r="U51" i="23" s="1"/>
  <c r="U63" i="23" s="1"/>
  <c r="U75" i="23" s="1"/>
  <c r="U87" i="23" s="1"/>
  <c r="U99" i="23" s="1"/>
  <c r="U111" i="23" s="1"/>
  <c r="R127" i="23"/>
  <c r="CO3" i="23" s="1"/>
  <c r="CO15" i="23" s="1"/>
  <c r="CO27" i="23" s="1"/>
  <c r="CO39" i="23" s="1"/>
  <c r="CO51" i="23" s="1"/>
  <c r="CO63" i="23" s="1"/>
  <c r="CO75" i="23" s="1"/>
  <c r="CO87" i="23" s="1"/>
  <c r="CO99" i="23" s="1"/>
  <c r="CO111" i="23" s="1"/>
  <c r="Q127" i="23"/>
  <c r="CI3" i="23" s="1"/>
  <c r="CI15" i="23" s="1"/>
  <c r="CI27" i="23" s="1"/>
  <c r="CI39" i="23" s="1"/>
  <c r="CI51" i="23" s="1"/>
  <c r="CI63" i="23" s="1"/>
  <c r="CI75" i="23" s="1"/>
  <c r="CI87" i="23" s="1"/>
  <c r="CI99" i="23" s="1"/>
  <c r="CI111" i="23" s="1"/>
  <c r="P127" i="23"/>
  <c r="CC3" i="23" s="1"/>
  <c r="CC15" i="23" s="1"/>
  <c r="CC27" i="23" s="1"/>
  <c r="CC39" i="23" s="1"/>
  <c r="CC51" i="23" s="1"/>
  <c r="CC63" i="23" s="1"/>
  <c r="CC75" i="23" s="1"/>
  <c r="CC87" i="23" s="1"/>
  <c r="CC99" i="23" s="1"/>
  <c r="CC111" i="23" s="1"/>
  <c r="O127" i="23"/>
  <c r="BW3" i="23" s="1"/>
  <c r="BW15" i="23" s="1"/>
  <c r="BW27" i="23" s="1"/>
  <c r="BW39" i="23" s="1"/>
  <c r="BW51" i="23" s="1"/>
  <c r="BW63" i="23" s="1"/>
  <c r="BW75" i="23" s="1"/>
  <c r="BW87" i="23" s="1"/>
  <c r="BW99" i="23" s="1"/>
  <c r="BW111" i="23" s="1"/>
  <c r="N127" i="23"/>
  <c r="BQ3" i="23" s="1"/>
  <c r="BQ15" i="23" s="1"/>
  <c r="BQ27" i="23" s="1"/>
  <c r="BQ39" i="23" s="1"/>
  <c r="BQ51" i="23" s="1"/>
  <c r="BQ63" i="23" s="1"/>
  <c r="BQ75" i="23" s="1"/>
  <c r="BQ87" i="23" s="1"/>
  <c r="BQ99" i="23" s="1"/>
  <c r="BQ111" i="23" s="1"/>
  <c r="M127" i="23"/>
  <c r="BK3" i="23" s="1"/>
  <c r="BK15" i="23" s="1"/>
  <c r="BK27" i="23" s="1"/>
  <c r="BK39" i="23" s="1"/>
  <c r="BK51" i="23" s="1"/>
  <c r="BK63" i="23" s="1"/>
  <c r="BK75" i="23" s="1"/>
  <c r="BK87" i="23" s="1"/>
  <c r="BK99" i="23" s="1"/>
  <c r="BK111" i="23" s="1"/>
  <c r="L127" i="23"/>
  <c r="BE3" i="23" s="1"/>
  <c r="BE15" i="23" s="1"/>
  <c r="BE27" i="23" s="1"/>
  <c r="BE39" i="23" s="1"/>
  <c r="BE51" i="23" s="1"/>
  <c r="BE63" i="23" s="1"/>
  <c r="BE75" i="23" s="1"/>
  <c r="BE87" i="23" s="1"/>
  <c r="BE99" i="23" s="1"/>
  <c r="BE111" i="23" s="1"/>
  <c r="K127" i="23"/>
  <c r="AY3" i="23" s="1"/>
  <c r="AY15" i="23" s="1"/>
  <c r="AY27" i="23" s="1"/>
  <c r="AY39" i="23" s="1"/>
  <c r="AY51" i="23" s="1"/>
  <c r="AY63" i="23" s="1"/>
  <c r="AY75" i="23" s="1"/>
  <c r="AY87" i="23" s="1"/>
  <c r="AY99" i="23" s="1"/>
  <c r="AY111" i="23" s="1"/>
  <c r="J127" i="23"/>
  <c r="AS3" i="23" s="1"/>
  <c r="AS15" i="23" s="1"/>
  <c r="AS27" i="23" s="1"/>
  <c r="AS39" i="23" s="1"/>
  <c r="AS51" i="23" s="1"/>
  <c r="AS63" i="23" s="1"/>
  <c r="AS75" i="23" s="1"/>
  <c r="AS87" i="23" s="1"/>
  <c r="AS99" i="23" s="1"/>
  <c r="AS111" i="23" s="1"/>
  <c r="I127" i="23"/>
  <c r="AM3" i="23" s="1"/>
  <c r="AM15" i="23" s="1"/>
  <c r="AM27" i="23" s="1"/>
  <c r="AM39" i="23" s="1"/>
  <c r="AM51" i="23" s="1"/>
  <c r="AM63" i="23" s="1"/>
  <c r="AM75" i="23" s="1"/>
  <c r="AM87" i="23" s="1"/>
  <c r="AM99" i="23" s="1"/>
  <c r="AM111" i="23" s="1"/>
  <c r="H127" i="23"/>
  <c r="AG3" i="23" s="1"/>
  <c r="AG15" i="23" s="1"/>
  <c r="AG27" i="23" s="1"/>
  <c r="AG39" i="23" s="1"/>
  <c r="AG51" i="23" s="1"/>
  <c r="AG63" i="23" s="1"/>
  <c r="AG75" i="23" s="1"/>
  <c r="AG87" i="23" s="1"/>
  <c r="AG99" i="23" s="1"/>
  <c r="AG111" i="23" s="1"/>
  <c r="G127" i="23"/>
  <c r="AA3" i="23" s="1"/>
  <c r="AA15" i="23" s="1"/>
  <c r="AA27" i="23" s="1"/>
  <c r="AA39" i="23" s="1"/>
  <c r="AA51" i="23" s="1"/>
  <c r="AA63" i="23" s="1"/>
  <c r="AA75" i="23" s="1"/>
  <c r="AA87" i="23" s="1"/>
  <c r="AA99" i="23" s="1"/>
  <c r="AA111" i="23" s="1"/>
  <c r="C212" i="23" l="1"/>
  <c r="C226" i="23"/>
  <c r="C215" i="23"/>
  <c r="C218" i="23"/>
  <c r="C213" i="23"/>
  <c r="C217" i="23"/>
  <c r="C214" i="23"/>
  <c r="C219" i="23"/>
  <c r="C216" i="23"/>
  <c r="B62" i="27"/>
  <c r="B32" i="27"/>
  <c r="L25" i="27"/>
  <c r="B23" i="27"/>
  <c r="A1" i="27"/>
  <c r="D264" i="23" l="1"/>
  <c r="P35" i="2"/>
  <c r="E7" i="27"/>
  <c r="F7" i="27" s="1"/>
  <c r="G14" i="3"/>
  <c r="B6" i="3"/>
  <c r="B5" i="3"/>
  <c r="I304" i="23"/>
  <c r="I305" i="23"/>
  <c r="I306" i="23"/>
  <c r="I307" i="23"/>
  <c r="I308" i="23"/>
  <c r="I309" i="23"/>
  <c r="I310" i="23"/>
  <c r="I291" i="23"/>
  <c r="I292" i="23"/>
  <c r="I293" i="23"/>
  <c r="I294" i="23"/>
  <c r="I295" i="23"/>
  <c r="I296" i="23"/>
  <c r="I297" i="23"/>
  <c r="I278" i="23"/>
  <c r="I279" i="23"/>
  <c r="I280" i="23"/>
  <c r="I281" i="23"/>
  <c r="I282" i="23"/>
  <c r="I283" i="23"/>
  <c r="I284" i="23"/>
  <c r="I265" i="23"/>
  <c r="I266" i="23"/>
  <c r="I267" i="23"/>
  <c r="I268" i="23"/>
  <c r="I269" i="23"/>
  <c r="I270" i="23"/>
  <c r="I271" i="23"/>
  <c r="I252" i="23"/>
  <c r="I253" i="23"/>
  <c r="I254" i="23"/>
  <c r="I255" i="23"/>
  <c r="I256" i="23"/>
  <c r="I257" i="23"/>
  <c r="I258" i="23"/>
  <c r="C304" i="23"/>
  <c r="C305" i="23"/>
  <c r="C306" i="23"/>
  <c r="C307" i="23"/>
  <c r="C308" i="23"/>
  <c r="C309" i="23"/>
  <c r="C310" i="23"/>
  <c r="C291" i="23"/>
  <c r="C292" i="23"/>
  <c r="C293" i="23"/>
  <c r="C294" i="23"/>
  <c r="C295" i="23"/>
  <c r="C296" i="23"/>
  <c r="C297" i="23"/>
  <c r="C278" i="23"/>
  <c r="C279" i="23"/>
  <c r="C280" i="23"/>
  <c r="C281" i="23"/>
  <c r="C282" i="23"/>
  <c r="C283" i="23"/>
  <c r="C284" i="23"/>
  <c r="C265" i="23"/>
  <c r="C266" i="23"/>
  <c r="C267" i="23"/>
  <c r="C268" i="23"/>
  <c r="C269" i="23"/>
  <c r="C270" i="23"/>
  <c r="C271" i="23"/>
  <c r="C252" i="23"/>
  <c r="C253" i="23"/>
  <c r="C254" i="23"/>
  <c r="C255" i="23"/>
  <c r="C256" i="23"/>
  <c r="C257" i="23"/>
  <c r="I303" i="23"/>
  <c r="J303" i="23" s="1"/>
  <c r="I290" i="23"/>
  <c r="J290" i="23" s="1"/>
  <c r="I277" i="23"/>
  <c r="J277" i="23" s="1"/>
  <c r="I264" i="23"/>
  <c r="J264" i="23" s="1"/>
  <c r="I251" i="23"/>
  <c r="J251" i="23" s="1"/>
  <c r="C303" i="23"/>
  <c r="D303" i="23" s="1"/>
  <c r="C290" i="23"/>
  <c r="D290" i="23" s="1"/>
  <c r="C277" i="23"/>
  <c r="D277" i="23" s="1"/>
  <c r="C251" i="23"/>
  <c r="D251" i="23" s="1"/>
  <c r="E251" i="23" s="1"/>
  <c r="W127" i="23"/>
  <c r="V127" i="23"/>
  <c r="D141" i="23" s="1"/>
  <c r="V141" i="23" s="1"/>
  <c r="D155" i="23" s="1"/>
  <c r="V155" i="23" s="1"/>
  <c r="D169" i="23" s="1"/>
  <c r="U127" i="23"/>
  <c r="AG127" i="23"/>
  <c r="AG141" i="23" s="1"/>
  <c r="AG155" i="23" s="1"/>
  <c r="N141" i="23"/>
  <c r="N155" i="23" s="1"/>
  <c r="L141" i="23"/>
  <c r="L155" i="23" s="1"/>
  <c r="AC127" i="23"/>
  <c r="AC141" i="23" s="1"/>
  <c r="AC155" i="23" s="1"/>
  <c r="J141" i="23"/>
  <c r="J155" i="23" s="1"/>
  <c r="AA127" i="23"/>
  <c r="AA141" i="23" s="1"/>
  <c r="AA155" i="23" s="1"/>
  <c r="H141" i="23"/>
  <c r="H155" i="23" s="1"/>
  <c r="X127" i="23"/>
  <c r="A9" i="2"/>
  <c r="A8" i="4" s="1"/>
  <c r="A8" i="36" s="1"/>
  <c r="L27" i="5" l="1"/>
  <c r="F87" i="2"/>
  <c r="J87" i="2"/>
  <c r="E9" i="27"/>
  <c r="J169" i="23"/>
  <c r="J182" i="23" s="1"/>
  <c r="J195" i="23" s="1"/>
  <c r="J232" i="23" s="1"/>
  <c r="AC169" i="23"/>
  <c r="AC182" i="23" s="1"/>
  <c r="AC195" i="23" s="1"/>
  <c r="AA169" i="23"/>
  <c r="AA182" i="23" s="1"/>
  <c r="AA195" i="23" s="1"/>
  <c r="L169" i="23"/>
  <c r="L182" i="23" s="1"/>
  <c r="L195" i="23" s="1"/>
  <c r="L232" i="23" s="1"/>
  <c r="N169" i="23"/>
  <c r="N182" i="23" s="1"/>
  <c r="N195" i="23" s="1"/>
  <c r="N232" i="23" s="1"/>
  <c r="AG169" i="23"/>
  <c r="AG182" i="23" s="1"/>
  <c r="AG195" i="23" s="1"/>
  <c r="H169" i="23"/>
  <c r="H182" i="23" s="1"/>
  <c r="H195" i="23" s="1"/>
  <c r="H232" i="23" s="1"/>
  <c r="E8" i="5"/>
  <c r="E8" i="27"/>
  <c r="B66" i="5"/>
  <c r="B51" i="27" s="1"/>
  <c r="C141" i="23"/>
  <c r="X141" i="23"/>
  <c r="A8" i="5"/>
  <c r="A8" i="27"/>
  <c r="E141" i="23"/>
  <c r="N66" i="4"/>
  <c r="O35" i="4" s="1"/>
  <c r="AF127" i="23"/>
  <c r="AF141" i="23" s="1"/>
  <c r="AF155" i="23" s="1"/>
  <c r="F141" i="23"/>
  <c r="I141" i="23"/>
  <c r="I155" i="23" s="1"/>
  <c r="O141" i="23"/>
  <c r="O155" i="23" s="1"/>
  <c r="Y127" i="23"/>
  <c r="Y141" i="23" s="1"/>
  <c r="Y155" i="23" s="1"/>
  <c r="G141" i="23"/>
  <c r="G155" i="23" s="1"/>
  <c r="Z127" i="23"/>
  <c r="Z141" i="23" s="1"/>
  <c r="Z155" i="23" s="1"/>
  <c r="AB127" i="23"/>
  <c r="AB141" i="23" s="1"/>
  <c r="AB155" i="23" s="1"/>
  <c r="AD127" i="23"/>
  <c r="AD141" i="23" s="1"/>
  <c r="AD155" i="23" s="1"/>
  <c r="AE127" i="23"/>
  <c r="M141" i="23"/>
  <c r="M155" i="23" s="1"/>
  <c r="D182" i="23"/>
  <c r="D195" i="23" s="1"/>
  <c r="D232" i="23" s="1"/>
  <c r="V169" i="23"/>
  <c r="V182" i="23" s="1"/>
  <c r="V195" i="23" s="1"/>
  <c r="K141" i="23"/>
  <c r="D226" i="23" l="1"/>
  <c r="E226" i="23"/>
  <c r="D218" i="23"/>
  <c r="D213" i="23"/>
  <c r="D214" i="23"/>
  <c r="E217" i="23"/>
  <c r="E218" i="23"/>
  <c r="E219" i="23"/>
  <c r="E216" i="23"/>
  <c r="E214" i="23"/>
  <c r="E213" i="23"/>
  <c r="E215" i="23"/>
  <c r="D216" i="23"/>
  <c r="D215" i="23"/>
  <c r="D219" i="23"/>
  <c r="D217" i="23"/>
  <c r="D212" i="23"/>
  <c r="C87" i="2"/>
  <c r="O169" i="23"/>
  <c r="O182" i="23" s="1"/>
  <c r="O195" i="23" s="1"/>
  <c r="O232" i="23" s="1"/>
  <c r="I169" i="23"/>
  <c r="I182" i="23" s="1"/>
  <c r="I195" i="23" s="1"/>
  <c r="I232" i="23" s="1"/>
  <c r="Y169" i="23"/>
  <c r="Y182" i="23" s="1"/>
  <c r="Y195" i="23" s="1"/>
  <c r="AB169" i="23"/>
  <c r="AB182" i="23" s="1"/>
  <c r="AB195" i="23" s="1"/>
  <c r="M169" i="23"/>
  <c r="M182" i="23" s="1"/>
  <c r="M195" i="23" s="1"/>
  <c r="M232" i="23" s="1"/>
  <c r="AD169" i="23"/>
  <c r="AD182" i="23" s="1"/>
  <c r="AD195" i="23" s="1"/>
  <c r="Z169" i="23"/>
  <c r="Z182" i="23" s="1"/>
  <c r="Z195" i="23" s="1"/>
  <c r="AF169" i="23"/>
  <c r="AF182" i="23" s="1"/>
  <c r="AF195" i="23" s="1"/>
  <c r="G169" i="23"/>
  <c r="G182" i="23" s="1"/>
  <c r="G195" i="23" s="1"/>
  <c r="G232" i="23" s="1"/>
  <c r="U141" i="23"/>
  <c r="F155" i="23"/>
  <c r="F169" i="23" s="1"/>
  <c r="E212" i="23"/>
  <c r="X155" i="23"/>
  <c r="X169" i="23" s="1"/>
  <c r="W141" i="23"/>
  <c r="E155" i="23" s="1"/>
  <c r="W155" i="23" s="1"/>
  <c r="E169" i="23" s="1"/>
  <c r="E277" i="23"/>
  <c r="K155" i="23"/>
  <c r="K169" i="23" s="1"/>
  <c r="AE141" i="23"/>
  <c r="D252" i="23" l="1"/>
  <c r="E252" i="23" s="1"/>
  <c r="D253" i="23"/>
  <c r="E253" i="23" s="1"/>
  <c r="F226" i="23"/>
  <c r="J304" i="23"/>
  <c r="K304" i="23" s="1"/>
  <c r="J291" i="23"/>
  <c r="J278" i="23"/>
  <c r="K278" i="23" s="1"/>
  <c r="J265" i="23"/>
  <c r="F88" i="2" s="1"/>
  <c r="J252" i="23"/>
  <c r="D88" i="2" s="1"/>
  <c r="D304" i="23"/>
  <c r="E304" i="23" s="1"/>
  <c r="D291" i="23"/>
  <c r="I88" i="2" s="1"/>
  <c r="D278" i="23"/>
  <c r="E278" i="23" s="1"/>
  <c r="D265" i="23"/>
  <c r="E88" i="2" s="1"/>
  <c r="J266" i="23"/>
  <c r="J253" i="23"/>
  <c r="D305" i="23"/>
  <c r="D292" i="23"/>
  <c r="D279" i="23"/>
  <c r="D266" i="23"/>
  <c r="J305" i="23"/>
  <c r="J292" i="23"/>
  <c r="J279" i="23"/>
  <c r="F213" i="23"/>
  <c r="F218" i="23"/>
  <c r="F216" i="23"/>
  <c r="F219" i="23"/>
  <c r="F217" i="23"/>
  <c r="F214" i="23"/>
  <c r="F215" i="23"/>
  <c r="C155" i="23"/>
  <c r="G226" i="23" s="1"/>
  <c r="J25" i="27"/>
  <c r="K25" i="27" s="1"/>
  <c r="F212" i="23"/>
  <c r="G87" i="2"/>
  <c r="K303" i="23"/>
  <c r="L87" i="2"/>
  <c r="K290" i="23"/>
  <c r="K277" i="23"/>
  <c r="H87" i="2"/>
  <c r="K264" i="23"/>
  <c r="K251" i="23"/>
  <c r="D87" i="2"/>
  <c r="E303" i="23"/>
  <c r="K87" i="2"/>
  <c r="E290" i="23"/>
  <c r="I87" i="2"/>
  <c r="E264" i="23"/>
  <c r="E87" i="2"/>
  <c r="AE155" i="23"/>
  <c r="U27" i="2"/>
  <c r="O87" i="2" l="1"/>
  <c r="M87" i="2"/>
  <c r="J267" i="23"/>
  <c r="J254" i="23"/>
  <c r="D306" i="23"/>
  <c r="D293" i="23"/>
  <c r="D280" i="23"/>
  <c r="D267" i="23"/>
  <c r="D254" i="23"/>
  <c r="E254" i="23" s="1"/>
  <c r="J306" i="23"/>
  <c r="J293" i="23"/>
  <c r="J280" i="23"/>
  <c r="G214" i="23"/>
  <c r="G216" i="23"/>
  <c r="G218" i="23"/>
  <c r="G215" i="23"/>
  <c r="G219" i="23"/>
  <c r="G217" i="23"/>
  <c r="G213" i="23"/>
  <c r="C88" i="2"/>
  <c r="U155" i="23"/>
  <c r="H226" i="23" s="1"/>
  <c r="G212" i="23"/>
  <c r="AE169" i="23"/>
  <c r="K252" i="23"/>
  <c r="F182" i="23"/>
  <c r="X182" i="23"/>
  <c r="W169" i="23"/>
  <c r="E182" i="23"/>
  <c r="K265" i="23"/>
  <c r="H88" i="2"/>
  <c r="E291" i="23"/>
  <c r="E265" i="23"/>
  <c r="G88" i="2"/>
  <c r="J88" i="2"/>
  <c r="K291" i="23"/>
  <c r="K88" i="2"/>
  <c r="L88" i="2"/>
  <c r="J26" i="27"/>
  <c r="K26" i="27" s="1"/>
  <c r="J25" i="5"/>
  <c r="K25" i="5" s="1"/>
  <c r="K305" i="23"/>
  <c r="L89" i="2"/>
  <c r="E305" i="23"/>
  <c r="K89" i="2"/>
  <c r="K292" i="23"/>
  <c r="J89" i="2"/>
  <c r="E292" i="23"/>
  <c r="I89" i="2"/>
  <c r="K279" i="23"/>
  <c r="H89" i="2"/>
  <c r="E279" i="23"/>
  <c r="G89" i="2"/>
  <c r="K266" i="23"/>
  <c r="F89" i="2"/>
  <c r="E266" i="23"/>
  <c r="E89" i="2"/>
  <c r="K253" i="23"/>
  <c r="D89" i="2"/>
  <c r="C89" i="2"/>
  <c r="K182" i="23"/>
  <c r="M89" i="2" l="1"/>
  <c r="M88" i="2"/>
  <c r="J268" i="23"/>
  <c r="F91" i="2" s="1"/>
  <c r="J255" i="23"/>
  <c r="D91" i="2" s="1"/>
  <c r="D307" i="23"/>
  <c r="E307" i="23" s="1"/>
  <c r="D294" i="23"/>
  <c r="E294" i="23" s="1"/>
  <c r="D281" i="23"/>
  <c r="G91" i="2" s="1"/>
  <c r="D268" i="23"/>
  <c r="E91" i="2" s="1"/>
  <c r="D255" i="23"/>
  <c r="E255" i="23" s="1"/>
  <c r="J307" i="23"/>
  <c r="K307" i="23" s="1"/>
  <c r="J294" i="23"/>
  <c r="K294" i="23" s="1"/>
  <c r="J281" i="23"/>
  <c r="K281" i="23" s="1"/>
  <c r="H218" i="23"/>
  <c r="H212" i="23"/>
  <c r="H219" i="23"/>
  <c r="H215" i="23"/>
  <c r="H217" i="23"/>
  <c r="H213" i="23"/>
  <c r="H216" i="23"/>
  <c r="H214" i="23"/>
  <c r="C169" i="23"/>
  <c r="I226" i="23" s="1"/>
  <c r="X195" i="23"/>
  <c r="F195" i="23"/>
  <c r="F232" i="23" s="1"/>
  <c r="E195" i="23"/>
  <c r="E232" i="23" s="1"/>
  <c r="W182" i="23"/>
  <c r="J27" i="27"/>
  <c r="K27" i="27" s="1"/>
  <c r="K306" i="23"/>
  <c r="L90" i="2"/>
  <c r="E306" i="23"/>
  <c r="K90" i="2"/>
  <c r="K293" i="23"/>
  <c r="J90" i="2"/>
  <c r="E293" i="23"/>
  <c r="I90" i="2"/>
  <c r="K280" i="23"/>
  <c r="H90" i="2"/>
  <c r="E280" i="23"/>
  <c r="G90" i="2"/>
  <c r="K267" i="23"/>
  <c r="F90" i="2"/>
  <c r="E267" i="23"/>
  <c r="E90" i="2"/>
  <c r="K254" i="23"/>
  <c r="D90" i="2"/>
  <c r="C90" i="2"/>
  <c r="AE182" i="23"/>
  <c r="K195" i="23"/>
  <c r="K232" i="23" s="1"/>
  <c r="M90" i="2" l="1"/>
  <c r="D256" i="23"/>
  <c r="E256" i="23" s="1"/>
  <c r="J269" i="23"/>
  <c r="K269" i="23" s="1"/>
  <c r="J256" i="23"/>
  <c r="K256" i="23" s="1"/>
  <c r="D308" i="23"/>
  <c r="E308" i="23" s="1"/>
  <c r="D295" i="23"/>
  <c r="E295" i="23" s="1"/>
  <c r="D282" i="23"/>
  <c r="E282" i="23" s="1"/>
  <c r="D269" i="23"/>
  <c r="E269" i="23" s="1"/>
  <c r="J308" i="23"/>
  <c r="K308" i="23" s="1"/>
  <c r="J295" i="23"/>
  <c r="K295" i="23" s="1"/>
  <c r="J282" i="23"/>
  <c r="K282" i="23" s="1"/>
  <c r="I218" i="23"/>
  <c r="I216" i="23"/>
  <c r="I212" i="23"/>
  <c r="I217" i="23"/>
  <c r="I219" i="23"/>
  <c r="I215" i="23"/>
  <c r="I213" i="23"/>
  <c r="I214" i="23"/>
  <c r="C91" i="2"/>
  <c r="I91" i="2"/>
  <c r="E281" i="23"/>
  <c r="K255" i="23"/>
  <c r="J91" i="2"/>
  <c r="L91" i="2"/>
  <c r="H91" i="2"/>
  <c r="E268" i="23"/>
  <c r="K268" i="23"/>
  <c r="K91" i="2"/>
  <c r="U169" i="23"/>
  <c r="J226" i="23" s="1"/>
  <c r="C182" i="23"/>
  <c r="K226" i="23" s="1"/>
  <c r="W195" i="23"/>
  <c r="AE195" i="23"/>
  <c r="M91" i="2" l="1"/>
  <c r="J270" i="23"/>
  <c r="J257" i="23"/>
  <c r="D309" i="23"/>
  <c r="D296" i="23"/>
  <c r="D283" i="23"/>
  <c r="D270" i="23"/>
  <c r="D257" i="23"/>
  <c r="E257" i="23" s="1"/>
  <c r="J309" i="23"/>
  <c r="J296" i="23"/>
  <c r="J283" i="23"/>
  <c r="J213" i="23"/>
  <c r="J216" i="23"/>
  <c r="J217" i="23"/>
  <c r="J218" i="23"/>
  <c r="J214" i="23"/>
  <c r="J215" i="23"/>
  <c r="J219" i="23"/>
  <c r="K219" i="23"/>
  <c r="K217" i="23"/>
  <c r="K218" i="23"/>
  <c r="K213" i="23"/>
  <c r="K216" i="23"/>
  <c r="K214" i="23"/>
  <c r="K215" i="23"/>
  <c r="K212" i="23"/>
  <c r="F92" i="2"/>
  <c r="C92" i="2"/>
  <c r="J92" i="2"/>
  <c r="K92" i="2"/>
  <c r="E92" i="2"/>
  <c r="G92" i="2"/>
  <c r="D92" i="2"/>
  <c r="I92" i="2"/>
  <c r="L92" i="2"/>
  <c r="H92" i="2"/>
  <c r="C195" i="23"/>
  <c r="C232" i="23" s="1"/>
  <c r="U182" i="23"/>
  <c r="L226" i="23" s="1"/>
  <c r="C245" i="23" s="1"/>
  <c r="J212" i="23"/>
  <c r="M92" i="2" l="1"/>
  <c r="D258" i="23"/>
  <c r="C94" i="2" s="1"/>
  <c r="J271" i="23"/>
  <c r="F94" i="2" s="1"/>
  <c r="J258" i="23"/>
  <c r="D94" i="2" s="1"/>
  <c r="D310" i="23"/>
  <c r="K94" i="2" s="1"/>
  <c r="D297" i="23"/>
  <c r="I94" i="2" s="1"/>
  <c r="D284" i="23"/>
  <c r="G94" i="2" s="1"/>
  <c r="D271" i="23"/>
  <c r="E94" i="2" s="1"/>
  <c r="J310" i="23"/>
  <c r="L94" i="2" s="1"/>
  <c r="J297" i="23"/>
  <c r="J94" i="2" s="1"/>
  <c r="J284" i="23"/>
  <c r="H94" i="2" s="1"/>
  <c r="L216" i="23"/>
  <c r="L218" i="23"/>
  <c r="L212" i="23"/>
  <c r="L217" i="23"/>
  <c r="L219" i="23"/>
  <c r="L215" i="23"/>
  <c r="L213" i="23"/>
  <c r="L214" i="23"/>
  <c r="C93" i="2"/>
  <c r="E270" i="23"/>
  <c r="E93" i="2"/>
  <c r="G93" i="2"/>
  <c r="E283" i="23"/>
  <c r="E309" i="23"/>
  <c r="K93" i="2"/>
  <c r="F93" i="2"/>
  <c r="K270" i="23"/>
  <c r="K296" i="23"/>
  <c r="J93" i="2"/>
  <c r="K257" i="23"/>
  <c r="D93" i="2"/>
  <c r="U195" i="23"/>
  <c r="K283" i="23"/>
  <c r="H93" i="2"/>
  <c r="E296" i="23"/>
  <c r="I93" i="2"/>
  <c r="K309" i="23"/>
  <c r="L93" i="2"/>
  <c r="B76" i="5"/>
  <c r="B32" i="5"/>
  <c r="B23" i="5"/>
  <c r="A1" i="5"/>
  <c r="M94" i="2" l="1"/>
  <c r="M93" i="2"/>
  <c r="N87" i="2"/>
  <c r="E258" i="23"/>
  <c r="F9" i="3"/>
  <c r="H9" i="3" s="1"/>
  <c r="M9" i="3" s="1"/>
  <c r="K310" i="23"/>
  <c r="K258" i="23"/>
  <c r="E310" i="23"/>
  <c r="K271" i="23"/>
  <c r="K284" i="23"/>
  <c r="E271" i="23"/>
  <c r="K297" i="23"/>
  <c r="E297" i="23"/>
  <c r="E284" i="23"/>
  <c r="H95" i="2"/>
  <c r="C95" i="2"/>
  <c r="R75" i="4" l="1"/>
  <c r="H96" i="2" l="1"/>
  <c r="S93" i="2"/>
  <c r="S92" i="2"/>
  <c r="S91" i="2"/>
  <c r="S90" i="2"/>
  <c r="S89" i="2"/>
  <c r="S88" i="2"/>
  <c r="S87" i="2"/>
  <c r="R96" i="2"/>
  <c r="R95" i="2"/>
  <c r="R93" i="2"/>
  <c r="R92" i="2"/>
  <c r="R91" i="2"/>
  <c r="R90" i="2"/>
  <c r="R89" i="2"/>
  <c r="R88" i="2"/>
  <c r="R87" i="2"/>
  <c r="Q96" i="2"/>
  <c r="Q95" i="2"/>
  <c r="Q93" i="2"/>
  <c r="Q92" i="2"/>
  <c r="Q91" i="2"/>
  <c r="Q90" i="2"/>
  <c r="Q89" i="2"/>
  <c r="Q88" i="2"/>
  <c r="Q87" i="2"/>
  <c r="L25" i="5" l="1"/>
  <c r="B72" i="5"/>
  <c r="B57" i="27" s="1"/>
  <c r="B48" i="27"/>
  <c r="E9" i="5"/>
  <c r="E6" i="27"/>
  <c r="B25" i="3"/>
  <c r="B24" i="3"/>
  <c r="G15" i="3"/>
  <c r="G13" i="3"/>
  <c r="G12" i="3"/>
  <c r="G11" i="3"/>
  <c r="F11" i="3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F18" i="2"/>
  <c r="E18" i="2"/>
  <c r="T378" i="32" s="1"/>
  <c r="T386" i="32" s="1"/>
  <c r="U378" i="32" s="1"/>
  <c r="N391" i="32" s="1"/>
  <c r="T382" i="32" s="1"/>
  <c r="E16" i="4" s="1"/>
  <c r="F17" i="2"/>
  <c r="E17" i="2"/>
  <c r="T377" i="32" s="1"/>
  <c r="S386" i="32" s="1"/>
  <c r="U377" i="32" s="1"/>
  <c r="N390" i="32" s="1"/>
  <c r="T381" i="32" s="1"/>
  <c r="E15" i="4" s="1"/>
  <c r="E15" i="27" l="1"/>
  <c r="E16" i="27"/>
  <c r="B63" i="5"/>
  <c r="E12" i="5"/>
  <c r="E12" i="27"/>
  <c r="I39" i="5"/>
  <c r="I39" i="27"/>
  <c r="E20" i="5"/>
  <c r="E20" i="27"/>
  <c r="E10" i="5"/>
  <c r="E10" i="27"/>
  <c r="E21" i="5"/>
  <c r="E21" i="27"/>
  <c r="E11" i="5"/>
  <c r="E11" i="27"/>
  <c r="I37" i="5"/>
  <c r="I37" i="27"/>
  <c r="E6" i="5"/>
  <c r="I34" i="5"/>
  <c r="I34" i="27"/>
  <c r="B77" i="5"/>
  <c r="B63" i="27"/>
  <c r="E5" i="5"/>
  <c r="E5" i="27"/>
  <c r="I35" i="5"/>
  <c r="I35" i="27"/>
  <c r="E4" i="5"/>
  <c r="E4" i="27"/>
  <c r="I36" i="5"/>
  <c r="I36" i="27"/>
  <c r="B70" i="5"/>
  <c r="B55" i="27" s="1"/>
  <c r="C96" i="2"/>
  <c r="H11" i="3"/>
  <c r="M11" i="3" s="1"/>
  <c r="B49" i="27"/>
  <c r="O23" i="4"/>
  <c r="O24" i="4"/>
  <c r="I40" i="5" l="1"/>
  <c r="I40" i="27"/>
  <c r="B65" i="5"/>
  <c r="B64" i="5"/>
  <c r="K11" i="3"/>
  <c r="N11" i="3" s="1"/>
  <c r="O25" i="4"/>
  <c r="E15" i="5" l="1"/>
  <c r="O90" i="2" l="1"/>
  <c r="N90" i="2"/>
  <c r="O89" i="2"/>
  <c r="N89" i="2"/>
  <c r="N88" i="2"/>
  <c r="O88" i="2"/>
  <c r="E17" i="5"/>
  <c r="E16" i="5"/>
  <c r="J26" i="5" l="1"/>
  <c r="K26" i="5" s="1"/>
  <c r="J27" i="5" l="1"/>
  <c r="K27" i="5" s="1"/>
  <c r="K9" i="3" l="1"/>
  <c r="N9" i="3" s="1"/>
  <c r="O92" i="2"/>
  <c r="N92" i="2"/>
  <c r="N95" i="2"/>
  <c r="F15" i="3" s="1"/>
  <c r="H15" i="3" s="1"/>
  <c r="N96" i="2"/>
  <c r="O96" i="2"/>
  <c r="K102" i="2" s="1"/>
  <c r="O94" i="2"/>
  <c r="N91" i="2"/>
  <c r="N94" i="2"/>
  <c r="O93" i="2"/>
  <c r="K101" i="2"/>
  <c r="F54" i="4" s="1"/>
  <c r="O95" i="2"/>
  <c r="O60" i="4" s="1"/>
  <c r="O91" i="2"/>
  <c r="N93" i="2"/>
  <c r="K98" i="2" l="1"/>
  <c r="C54" i="4" s="1"/>
  <c r="O61" i="4" s="1"/>
  <c r="G54" i="4" s="1"/>
  <c r="K99" i="2"/>
  <c r="D54" i="4" s="1"/>
  <c r="K103" i="2"/>
  <c r="H60" i="36"/>
  <c r="K100" i="2"/>
  <c r="M95" i="2"/>
  <c r="K15" i="3"/>
  <c r="N15" i="3" s="1"/>
  <c r="M15" i="3"/>
  <c r="J9" i="2"/>
  <c r="B45" i="27"/>
  <c r="F14" i="3"/>
  <c r="H14" i="3" s="1"/>
  <c r="D60" i="36" l="1"/>
  <c r="E54" i="4"/>
  <c r="G60" i="36" s="1"/>
  <c r="F45" i="27"/>
  <c r="B60" i="5"/>
  <c r="C60" i="36"/>
  <c r="F13" i="3"/>
  <c r="H13" i="3" s="1"/>
  <c r="K13" i="3" s="1"/>
  <c r="N13" i="3" s="1"/>
  <c r="F12" i="3"/>
  <c r="H12" i="3" s="1"/>
  <c r="M12" i="3" s="1"/>
  <c r="A111" i="2"/>
  <c r="O52" i="4"/>
  <c r="K104" i="2"/>
  <c r="B243" i="23"/>
  <c r="F60" i="5"/>
  <c r="O54" i="4"/>
  <c r="M14" i="3"/>
  <c r="K14" i="3"/>
  <c r="N14" i="3" s="1"/>
  <c r="H45" i="27"/>
  <c r="H60" i="5"/>
  <c r="CR52" i="23" l="1"/>
  <c r="CR64" i="23"/>
  <c r="CR76" i="23"/>
  <c r="CR16" i="23"/>
  <c r="CR40" i="23"/>
  <c r="CR88" i="23"/>
  <c r="CR100" i="23"/>
  <c r="CR4" i="23"/>
  <c r="CR112" i="23"/>
  <c r="CR28" i="23"/>
  <c r="CL52" i="23"/>
  <c r="CL64" i="23"/>
  <c r="CL76" i="23"/>
  <c r="CL16" i="23"/>
  <c r="CL88" i="23"/>
  <c r="CL100" i="23"/>
  <c r="CL4" i="23"/>
  <c r="CL112" i="23"/>
  <c r="CL40" i="23"/>
  <c r="CL28" i="23"/>
  <c r="CF52" i="23"/>
  <c r="CF64" i="23"/>
  <c r="CF76" i="23"/>
  <c r="CF88" i="23"/>
  <c r="CF28" i="23"/>
  <c r="CF100" i="23"/>
  <c r="CF4" i="23"/>
  <c r="CF112" i="23"/>
  <c r="CF16" i="23"/>
  <c r="CF40" i="23"/>
  <c r="BZ64" i="23"/>
  <c r="BZ100" i="23"/>
  <c r="BZ4" i="23"/>
  <c r="BZ40" i="23"/>
  <c r="BZ76" i="23"/>
  <c r="BZ52" i="23"/>
  <c r="BZ88" i="23"/>
  <c r="BZ112" i="23"/>
  <c r="BZ16" i="23"/>
  <c r="BZ28" i="23"/>
  <c r="BT52" i="23"/>
  <c r="BT64" i="23"/>
  <c r="BT16" i="23"/>
  <c r="BT40" i="23"/>
  <c r="BT76" i="23"/>
  <c r="BT88" i="23"/>
  <c r="BT100" i="23"/>
  <c r="BT4" i="23"/>
  <c r="BT112" i="23"/>
  <c r="BT28" i="23"/>
  <c r="BN52" i="23"/>
  <c r="BN64" i="23"/>
  <c r="BN76" i="23"/>
  <c r="BN88" i="23"/>
  <c r="BN100" i="23"/>
  <c r="BN4" i="23"/>
  <c r="BN40" i="23"/>
  <c r="BN112" i="23"/>
  <c r="BN16" i="23"/>
  <c r="BN28" i="23"/>
  <c r="BH64" i="23"/>
  <c r="BH100" i="23"/>
  <c r="BH52" i="23"/>
  <c r="BH76" i="23"/>
  <c r="BH88" i="23"/>
  <c r="BH4" i="23"/>
  <c r="BH112" i="23"/>
  <c r="BH16" i="23"/>
  <c r="BH40" i="23"/>
  <c r="BH28" i="23"/>
  <c r="BB76" i="23"/>
  <c r="BB88" i="23"/>
  <c r="BB112" i="23"/>
  <c r="BB16" i="23"/>
  <c r="BB28" i="23"/>
  <c r="BB64" i="23"/>
  <c r="BB100" i="23"/>
  <c r="BB4" i="23"/>
  <c r="BB40" i="23"/>
  <c r="BB52" i="23"/>
  <c r="AV52" i="23"/>
  <c r="AV64" i="23"/>
  <c r="AV76" i="23"/>
  <c r="AV88" i="23"/>
  <c r="AV4" i="23"/>
  <c r="AV100" i="23"/>
  <c r="AV112" i="23"/>
  <c r="AV16" i="23"/>
  <c r="AV28" i="23"/>
  <c r="AV40" i="23"/>
  <c r="AP52" i="23"/>
  <c r="AP64" i="23"/>
  <c r="AP88" i="23"/>
  <c r="AP76" i="23"/>
  <c r="AP40" i="23"/>
  <c r="AP100" i="23"/>
  <c r="AP4" i="23"/>
  <c r="AP16" i="23"/>
  <c r="AP112" i="23"/>
  <c r="AP28" i="23"/>
  <c r="AJ52" i="23"/>
  <c r="AJ64" i="23"/>
  <c r="AJ76" i="23"/>
  <c r="AJ40" i="23"/>
  <c r="AJ88" i="23"/>
  <c r="AJ28" i="23"/>
  <c r="AJ100" i="23"/>
  <c r="AJ4" i="23"/>
  <c r="AJ112" i="23"/>
  <c r="AJ16" i="23"/>
  <c r="AD100" i="23"/>
  <c r="AD4" i="23"/>
  <c r="AD40" i="23"/>
  <c r="AD64" i="23"/>
  <c r="AD76" i="23"/>
  <c r="AD112" i="23"/>
  <c r="AD16" i="23"/>
  <c r="AD28" i="23"/>
  <c r="AD52" i="23"/>
  <c r="AD88" i="23"/>
  <c r="X64" i="23"/>
  <c r="X76" i="23"/>
  <c r="X4" i="23"/>
  <c r="X88" i="23"/>
  <c r="X100" i="23"/>
  <c r="X112" i="23"/>
  <c r="X16" i="23"/>
  <c r="X28" i="23"/>
  <c r="X40" i="23"/>
  <c r="X52" i="23"/>
  <c r="R76" i="23"/>
  <c r="R100" i="23"/>
  <c r="R112" i="23"/>
  <c r="R16" i="23"/>
  <c r="R88" i="23"/>
  <c r="R4" i="23"/>
  <c r="R28" i="23"/>
  <c r="R40" i="23"/>
  <c r="R52" i="23"/>
  <c r="R64" i="23"/>
  <c r="L76" i="23"/>
  <c r="L88" i="23"/>
  <c r="L52" i="23"/>
  <c r="L100" i="23"/>
  <c r="L4" i="23"/>
  <c r="L40" i="23"/>
  <c r="L112" i="23"/>
  <c r="L16" i="23"/>
  <c r="L28" i="23"/>
  <c r="L64" i="23"/>
  <c r="F100" i="23"/>
  <c r="F112" i="23"/>
  <c r="F76" i="23"/>
  <c r="F88" i="23"/>
  <c r="F52" i="23"/>
  <c r="F64" i="23"/>
  <c r="F28" i="23"/>
  <c r="F40" i="23"/>
  <c r="F4" i="23"/>
  <c r="F16" i="23"/>
  <c r="G45" i="27"/>
  <c r="G60" i="5"/>
  <c r="F60" i="36"/>
  <c r="M13" i="3"/>
  <c r="K12" i="3"/>
  <c r="N12" i="3" s="1"/>
  <c r="I45" i="27"/>
  <c r="D60" i="5"/>
  <c r="D45" i="27" s="1"/>
  <c r="B61" i="4"/>
  <c r="O57" i="4"/>
  <c r="H82" i="4" s="1"/>
  <c r="CR79" i="23" l="1"/>
  <c r="CR83" i="23" s="1"/>
  <c r="CR65" i="23"/>
  <c r="CR69" i="23" s="1"/>
  <c r="CR91" i="23"/>
  <c r="CR95" i="23" s="1"/>
  <c r="CR77" i="23"/>
  <c r="CR81" i="23" s="1"/>
  <c r="CR103" i="23"/>
  <c r="CR107" i="23" s="1"/>
  <c r="CR89" i="23"/>
  <c r="CR93" i="23" s="1"/>
  <c r="CR7" i="23"/>
  <c r="CR11" i="23" s="1"/>
  <c r="CR115" i="23"/>
  <c r="CR119" i="23" s="1"/>
  <c r="CR101" i="23"/>
  <c r="CR105" i="23" s="1"/>
  <c r="CR19" i="23"/>
  <c r="CR23" i="23" s="1"/>
  <c r="CR5" i="23"/>
  <c r="CR9" i="23" s="1"/>
  <c r="CR43" i="23"/>
  <c r="CR47" i="23" s="1"/>
  <c r="CR113" i="23"/>
  <c r="CR117" i="23" s="1"/>
  <c r="CR31" i="23"/>
  <c r="CR35" i="23" s="1"/>
  <c r="CR17" i="23"/>
  <c r="CR21" i="23" s="1"/>
  <c r="CR29" i="23"/>
  <c r="CR33" i="23" s="1"/>
  <c r="CR55" i="23"/>
  <c r="CR59" i="23" s="1"/>
  <c r="CR41" i="23"/>
  <c r="CR45" i="23" s="1"/>
  <c r="CR67" i="23"/>
  <c r="CR71" i="23" s="1"/>
  <c r="CR53" i="23"/>
  <c r="CR57" i="23" s="1"/>
  <c r="CL79" i="23"/>
  <c r="CL83" i="23" s="1"/>
  <c r="CL65" i="23"/>
  <c r="CL69" i="23" s="1"/>
  <c r="CL91" i="23"/>
  <c r="CL95" i="23" s="1"/>
  <c r="CL77" i="23"/>
  <c r="CL81" i="23" s="1"/>
  <c r="CL103" i="23"/>
  <c r="CL107" i="23" s="1"/>
  <c r="CL89" i="23"/>
  <c r="CL93" i="23" s="1"/>
  <c r="CL7" i="23"/>
  <c r="CL11" i="23" s="1"/>
  <c r="CL115" i="23"/>
  <c r="CL119" i="23" s="1"/>
  <c r="CL101" i="23"/>
  <c r="CL105" i="23" s="1"/>
  <c r="CL19" i="23"/>
  <c r="CL23" i="23" s="1"/>
  <c r="CL5" i="23"/>
  <c r="CL9" i="23" s="1"/>
  <c r="CL29" i="23"/>
  <c r="CL33" i="23" s="1"/>
  <c r="CL113" i="23"/>
  <c r="CL117" i="23" s="1"/>
  <c r="CL31" i="23"/>
  <c r="CL35" i="23" s="1"/>
  <c r="CL17" i="23"/>
  <c r="CL21" i="23" s="1"/>
  <c r="CL43" i="23"/>
  <c r="CL47" i="23" s="1"/>
  <c r="CL67" i="23"/>
  <c r="CL71" i="23" s="1"/>
  <c r="CL55" i="23"/>
  <c r="CL59" i="23" s="1"/>
  <c r="CL41" i="23"/>
  <c r="CL45" i="23" s="1"/>
  <c r="CL53" i="23"/>
  <c r="CL57" i="23" s="1"/>
  <c r="CF79" i="23"/>
  <c r="CF83" i="23" s="1"/>
  <c r="CF65" i="23"/>
  <c r="CF69" i="23" s="1"/>
  <c r="CF67" i="23"/>
  <c r="CF71" i="23" s="1"/>
  <c r="CF91" i="23"/>
  <c r="CF95" i="23" s="1"/>
  <c r="CF77" i="23"/>
  <c r="CF81" i="23" s="1"/>
  <c r="CF103" i="23"/>
  <c r="CF107" i="23" s="1"/>
  <c r="CF89" i="23"/>
  <c r="CF93" i="23" s="1"/>
  <c r="CF7" i="23"/>
  <c r="CF11" i="23" s="1"/>
  <c r="CF115" i="23"/>
  <c r="CF119" i="23" s="1"/>
  <c r="CF101" i="23"/>
  <c r="CF105" i="23" s="1"/>
  <c r="CF19" i="23"/>
  <c r="CF23" i="23" s="1"/>
  <c r="CF5" i="23"/>
  <c r="CF9" i="23" s="1"/>
  <c r="CF113" i="23"/>
  <c r="CF117" i="23" s="1"/>
  <c r="CF31" i="23"/>
  <c r="CF35" i="23" s="1"/>
  <c r="CF17" i="23"/>
  <c r="CF21" i="23" s="1"/>
  <c r="CF41" i="23"/>
  <c r="CF45" i="23" s="1"/>
  <c r="CF43" i="23"/>
  <c r="CF47" i="23" s="1"/>
  <c r="CF29" i="23"/>
  <c r="CF33" i="23" s="1"/>
  <c r="CF55" i="23"/>
  <c r="CF59" i="23" s="1"/>
  <c r="CF53" i="23"/>
  <c r="CF57" i="23" s="1"/>
  <c r="BZ91" i="23"/>
  <c r="BZ95" i="23" s="1"/>
  <c r="BZ77" i="23"/>
  <c r="BZ81" i="23" s="1"/>
  <c r="BZ31" i="23"/>
  <c r="BZ35" i="23" s="1"/>
  <c r="BZ17" i="23"/>
  <c r="BZ21" i="23" s="1"/>
  <c r="BZ103" i="23"/>
  <c r="BZ107" i="23" s="1"/>
  <c r="BZ89" i="23"/>
  <c r="BZ93" i="23" s="1"/>
  <c r="BZ7" i="23"/>
  <c r="BZ11" i="23" s="1"/>
  <c r="BZ113" i="23"/>
  <c r="BZ117" i="23" s="1"/>
  <c r="BZ79" i="23"/>
  <c r="BZ83" i="23" s="1"/>
  <c r="BZ115" i="23"/>
  <c r="BZ119" i="23" s="1"/>
  <c r="BZ101" i="23"/>
  <c r="BZ105" i="23" s="1"/>
  <c r="BZ19" i="23"/>
  <c r="BZ23" i="23" s="1"/>
  <c r="BZ25" i="23" s="1"/>
  <c r="O234" i="23" s="1"/>
  <c r="BZ5" i="23"/>
  <c r="BZ9" i="23" s="1"/>
  <c r="BZ65" i="23"/>
  <c r="BZ69" i="23" s="1"/>
  <c r="BZ43" i="23"/>
  <c r="BZ47" i="23" s="1"/>
  <c r="BZ29" i="23"/>
  <c r="BZ33" i="23" s="1"/>
  <c r="BZ55" i="23"/>
  <c r="BZ59" i="23" s="1"/>
  <c r="BZ41" i="23"/>
  <c r="BZ45" i="23" s="1"/>
  <c r="BZ67" i="23"/>
  <c r="BZ71" i="23" s="1"/>
  <c r="BZ53" i="23"/>
  <c r="BZ57" i="23" s="1"/>
  <c r="BT79" i="23"/>
  <c r="BT83" i="23" s="1"/>
  <c r="BT65" i="23"/>
  <c r="BT69" i="23" s="1"/>
  <c r="BT5" i="23"/>
  <c r="BT9" i="23" s="1"/>
  <c r="BT29" i="23"/>
  <c r="BT33" i="23" s="1"/>
  <c r="BT67" i="23"/>
  <c r="BT71" i="23" s="1"/>
  <c r="BT91" i="23"/>
  <c r="BT95" i="23" s="1"/>
  <c r="BT77" i="23"/>
  <c r="BT81" i="23" s="1"/>
  <c r="BT19" i="23"/>
  <c r="BT23" i="23" s="1"/>
  <c r="BT103" i="23"/>
  <c r="BT107" i="23" s="1"/>
  <c r="BT89" i="23"/>
  <c r="BT93" i="23" s="1"/>
  <c r="BT7" i="23"/>
  <c r="BT11" i="23" s="1"/>
  <c r="BT115" i="23"/>
  <c r="BT119" i="23" s="1"/>
  <c r="BT101" i="23"/>
  <c r="BT105" i="23" s="1"/>
  <c r="BT53" i="23"/>
  <c r="BT57" i="23" s="1"/>
  <c r="BT113" i="23"/>
  <c r="BT117" i="23" s="1"/>
  <c r="BT31" i="23"/>
  <c r="BT35" i="23" s="1"/>
  <c r="BT17" i="23"/>
  <c r="BT21" i="23" s="1"/>
  <c r="BT43" i="23"/>
  <c r="BT47" i="23" s="1"/>
  <c r="BT55" i="23"/>
  <c r="BT59" i="23" s="1"/>
  <c r="BT41" i="23"/>
  <c r="BT45" i="23" s="1"/>
  <c r="BN79" i="23"/>
  <c r="BN83" i="23" s="1"/>
  <c r="BN65" i="23"/>
  <c r="BN69" i="23" s="1"/>
  <c r="BN91" i="23"/>
  <c r="BN95" i="23" s="1"/>
  <c r="BN77" i="23"/>
  <c r="BN81" i="23" s="1"/>
  <c r="BN103" i="23"/>
  <c r="BN107" i="23" s="1"/>
  <c r="BN89" i="23"/>
  <c r="BN93" i="23" s="1"/>
  <c r="BN7" i="23"/>
  <c r="BN11" i="23" s="1"/>
  <c r="BN5" i="23"/>
  <c r="BN9" i="23" s="1"/>
  <c r="BN41" i="23"/>
  <c r="BN45" i="23" s="1"/>
  <c r="BN53" i="23"/>
  <c r="BN57" i="23" s="1"/>
  <c r="BN115" i="23"/>
  <c r="BN119" i="23" s="1"/>
  <c r="BN101" i="23"/>
  <c r="BN105" i="23" s="1"/>
  <c r="BN19" i="23"/>
  <c r="BN23" i="23" s="1"/>
  <c r="BN113" i="23"/>
  <c r="BN117" i="23" s="1"/>
  <c r="BN31" i="23"/>
  <c r="BN35" i="23" s="1"/>
  <c r="BN17" i="23"/>
  <c r="BN21" i="23" s="1"/>
  <c r="BN67" i="23"/>
  <c r="BN71" i="23" s="1"/>
  <c r="BN43" i="23"/>
  <c r="BN47" i="23" s="1"/>
  <c r="BN29" i="23"/>
  <c r="BN33" i="23" s="1"/>
  <c r="BN55" i="23"/>
  <c r="BN59" i="23" s="1"/>
  <c r="BH91" i="23"/>
  <c r="BH95" i="23" s="1"/>
  <c r="BH77" i="23"/>
  <c r="BH81" i="23" s="1"/>
  <c r="BH101" i="23"/>
  <c r="BH105" i="23" s="1"/>
  <c r="BH19" i="23"/>
  <c r="BH23" i="23" s="1"/>
  <c r="BH17" i="23"/>
  <c r="BH21" i="23" s="1"/>
  <c r="BH103" i="23"/>
  <c r="BH107" i="23" s="1"/>
  <c r="BH89" i="23"/>
  <c r="BH93" i="23" s="1"/>
  <c r="BH7" i="23"/>
  <c r="BH11" i="23" s="1"/>
  <c r="BH115" i="23"/>
  <c r="BH119" i="23" s="1"/>
  <c r="BH5" i="23"/>
  <c r="BH9" i="23" s="1"/>
  <c r="BH113" i="23"/>
  <c r="BH117" i="23" s="1"/>
  <c r="BH31" i="23"/>
  <c r="BH35" i="23" s="1"/>
  <c r="BH65" i="23"/>
  <c r="BH69" i="23" s="1"/>
  <c r="BH43" i="23"/>
  <c r="BH47" i="23" s="1"/>
  <c r="BH29" i="23"/>
  <c r="BH33" i="23" s="1"/>
  <c r="BH67" i="23"/>
  <c r="BH71" i="23" s="1"/>
  <c r="BH53" i="23"/>
  <c r="BH57" i="23" s="1"/>
  <c r="BH55" i="23"/>
  <c r="BH59" i="23" s="1"/>
  <c r="BH41" i="23"/>
  <c r="BH45" i="23" s="1"/>
  <c r="BH79" i="23"/>
  <c r="BH83" i="23" s="1"/>
  <c r="BB91" i="23"/>
  <c r="BB95" i="23" s="1"/>
  <c r="BB103" i="23"/>
  <c r="BB107" i="23" s="1"/>
  <c r="BB89" i="23"/>
  <c r="BB93" i="23" s="1"/>
  <c r="BB7" i="23"/>
  <c r="BB11" i="23" s="1"/>
  <c r="BB115" i="23"/>
  <c r="BB119" i="23" s="1"/>
  <c r="BB101" i="23"/>
  <c r="BB105" i="23" s="1"/>
  <c r="BB19" i="23"/>
  <c r="BB23" i="23" s="1"/>
  <c r="BB5" i="23"/>
  <c r="BB9" i="23" s="1"/>
  <c r="BB43" i="23"/>
  <c r="BB47" i="23" s="1"/>
  <c r="BB29" i="23"/>
  <c r="BB33" i="23" s="1"/>
  <c r="BB55" i="23"/>
  <c r="BB59" i="23" s="1"/>
  <c r="BB41" i="23"/>
  <c r="BB45" i="23" s="1"/>
  <c r="BB113" i="23"/>
  <c r="BB117" i="23" s="1"/>
  <c r="BB31" i="23"/>
  <c r="BB35" i="23" s="1"/>
  <c r="BB17" i="23"/>
  <c r="BB21" i="23" s="1"/>
  <c r="BB77" i="23"/>
  <c r="BB81" i="23" s="1"/>
  <c r="BB67" i="23"/>
  <c r="BB71" i="23" s="1"/>
  <c r="BB53" i="23"/>
  <c r="BB57" i="23" s="1"/>
  <c r="BB79" i="23"/>
  <c r="BB83" i="23" s="1"/>
  <c r="BB65" i="23"/>
  <c r="BB69" i="23" s="1"/>
  <c r="AV79" i="23"/>
  <c r="AV83" i="23" s="1"/>
  <c r="AV65" i="23"/>
  <c r="AV69" i="23" s="1"/>
  <c r="AV91" i="23"/>
  <c r="AV95" i="23" s="1"/>
  <c r="AV103" i="23"/>
  <c r="AV107" i="23" s="1"/>
  <c r="AV89" i="23"/>
  <c r="AV93" i="23" s="1"/>
  <c r="AV7" i="23"/>
  <c r="AV11" i="23" s="1"/>
  <c r="AV53" i="23"/>
  <c r="AV57" i="23" s="1"/>
  <c r="AV77" i="23"/>
  <c r="AV81" i="23" s="1"/>
  <c r="AV115" i="23"/>
  <c r="AV119" i="23" s="1"/>
  <c r="AV101" i="23"/>
  <c r="AV105" i="23" s="1"/>
  <c r="AV19" i="23"/>
  <c r="AV23" i="23" s="1"/>
  <c r="AV5" i="23"/>
  <c r="AV9" i="23" s="1"/>
  <c r="AV113" i="23"/>
  <c r="AV117" i="23" s="1"/>
  <c r="AV31" i="23"/>
  <c r="AV35" i="23" s="1"/>
  <c r="AV17" i="23"/>
  <c r="AV21" i="23" s="1"/>
  <c r="AV43" i="23"/>
  <c r="AV47" i="23" s="1"/>
  <c r="AV29" i="23"/>
  <c r="AV33" i="23" s="1"/>
  <c r="AV55" i="23"/>
  <c r="AV59" i="23" s="1"/>
  <c r="AV41" i="23"/>
  <c r="AV45" i="23" s="1"/>
  <c r="AV67" i="23"/>
  <c r="AV71" i="23" s="1"/>
  <c r="AP79" i="23"/>
  <c r="AP83" i="23" s="1"/>
  <c r="AP65" i="23"/>
  <c r="AP69" i="23" s="1"/>
  <c r="AP7" i="23"/>
  <c r="AP11" i="23" s="1"/>
  <c r="AP91" i="23"/>
  <c r="AP95" i="23" s="1"/>
  <c r="AP77" i="23"/>
  <c r="AP81" i="23" s="1"/>
  <c r="AP67" i="23"/>
  <c r="AP71" i="23" s="1"/>
  <c r="AP103" i="23"/>
  <c r="AP107" i="23" s="1"/>
  <c r="AP89" i="23"/>
  <c r="AP93" i="23" s="1"/>
  <c r="AP19" i="23"/>
  <c r="AP23" i="23" s="1"/>
  <c r="AP53" i="23"/>
  <c r="AP57" i="23" s="1"/>
  <c r="AP115" i="23"/>
  <c r="AP119" i="23" s="1"/>
  <c r="AP101" i="23"/>
  <c r="AP105" i="23" s="1"/>
  <c r="AP5" i="23"/>
  <c r="AP9" i="23" s="1"/>
  <c r="AP113" i="23"/>
  <c r="AP117" i="23" s="1"/>
  <c r="AP31" i="23"/>
  <c r="AP35" i="23" s="1"/>
  <c r="AP17" i="23"/>
  <c r="AP21" i="23" s="1"/>
  <c r="AP43" i="23"/>
  <c r="AP47" i="23" s="1"/>
  <c r="AP29" i="23"/>
  <c r="AP33" i="23" s="1"/>
  <c r="AP55" i="23"/>
  <c r="AP59" i="23" s="1"/>
  <c r="AP41" i="23"/>
  <c r="AP45" i="23" s="1"/>
  <c r="AJ79" i="23"/>
  <c r="AJ83" i="23" s="1"/>
  <c r="AJ65" i="23"/>
  <c r="AJ69" i="23" s="1"/>
  <c r="AJ41" i="23"/>
  <c r="AJ45" i="23" s="1"/>
  <c r="AJ67" i="23"/>
  <c r="AJ71" i="23" s="1"/>
  <c r="AJ91" i="23"/>
  <c r="AJ95" i="23" s="1"/>
  <c r="AJ77" i="23"/>
  <c r="AJ81" i="23" s="1"/>
  <c r="AJ55" i="23"/>
  <c r="AJ59" i="23" s="1"/>
  <c r="AJ103" i="23"/>
  <c r="AJ107" i="23" s="1"/>
  <c r="AJ89" i="23"/>
  <c r="AJ93" i="23" s="1"/>
  <c r="AJ7" i="23"/>
  <c r="AJ11" i="23" s="1"/>
  <c r="AJ115" i="23"/>
  <c r="AJ119" i="23" s="1"/>
  <c r="AJ101" i="23"/>
  <c r="AJ105" i="23" s="1"/>
  <c r="AJ19" i="23"/>
  <c r="AJ23" i="23" s="1"/>
  <c r="AJ5" i="23"/>
  <c r="AJ9" i="23" s="1"/>
  <c r="AJ113" i="23"/>
  <c r="AJ117" i="23" s="1"/>
  <c r="AJ31" i="23"/>
  <c r="AJ35" i="23" s="1"/>
  <c r="AJ17" i="23"/>
  <c r="AJ21" i="23" s="1"/>
  <c r="AJ53" i="23"/>
  <c r="AJ57" i="23" s="1"/>
  <c r="AJ43" i="23"/>
  <c r="AJ47" i="23" s="1"/>
  <c r="AJ49" i="23" s="1"/>
  <c r="H236" i="23" s="1"/>
  <c r="AJ29" i="23"/>
  <c r="AJ33" i="23" s="1"/>
  <c r="AD113" i="23"/>
  <c r="AD117" i="23" s="1"/>
  <c r="AD31" i="23"/>
  <c r="AD35" i="23" s="1"/>
  <c r="AD17" i="23"/>
  <c r="AD21" i="23" s="1"/>
  <c r="AD67" i="23"/>
  <c r="AD71" i="23" s="1"/>
  <c r="AD65" i="23"/>
  <c r="AD69" i="23" s="1"/>
  <c r="AD103" i="23"/>
  <c r="AD107" i="23" s="1"/>
  <c r="AD101" i="23"/>
  <c r="AD105" i="23" s="1"/>
  <c r="AD5" i="23"/>
  <c r="AD9" i="23" s="1"/>
  <c r="AD43" i="23"/>
  <c r="AD47" i="23" s="1"/>
  <c r="AD29" i="23"/>
  <c r="AD33" i="23" s="1"/>
  <c r="AD53" i="23"/>
  <c r="AD57" i="23" s="1"/>
  <c r="AD79" i="23"/>
  <c r="AD83" i="23" s="1"/>
  <c r="AD77" i="23"/>
  <c r="AD81" i="23" s="1"/>
  <c r="AD115" i="23"/>
  <c r="AD119" i="23" s="1"/>
  <c r="AD19" i="23"/>
  <c r="AD23" i="23" s="1"/>
  <c r="AD55" i="23"/>
  <c r="AD59" i="23" s="1"/>
  <c r="AD41" i="23"/>
  <c r="AD45" i="23" s="1"/>
  <c r="AD91" i="23"/>
  <c r="AD95" i="23" s="1"/>
  <c r="AD89" i="23"/>
  <c r="AD93" i="23" s="1"/>
  <c r="AD7" i="23"/>
  <c r="AD11" i="23" s="1"/>
  <c r="X91" i="23"/>
  <c r="X95" i="23" s="1"/>
  <c r="X77" i="23"/>
  <c r="X81" i="23" s="1"/>
  <c r="X103" i="23"/>
  <c r="X107" i="23" s="1"/>
  <c r="X89" i="23"/>
  <c r="X93" i="23" s="1"/>
  <c r="X7" i="23"/>
  <c r="X11" i="23" s="1"/>
  <c r="X113" i="23"/>
  <c r="X117" i="23" s="1"/>
  <c r="X31" i="23"/>
  <c r="X35" i="23" s="1"/>
  <c r="X43" i="23"/>
  <c r="X47" i="23" s="1"/>
  <c r="X29" i="23"/>
  <c r="X33" i="23" s="1"/>
  <c r="X79" i="23"/>
  <c r="X83" i="23" s="1"/>
  <c r="X85" i="23" s="1"/>
  <c r="F239" i="23" s="1"/>
  <c r="X115" i="23"/>
  <c r="X119" i="23" s="1"/>
  <c r="X101" i="23"/>
  <c r="X105" i="23" s="1"/>
  <c r="X19" i="23"/>
  <c r="X23" i="23" s="1"/>
  <c r="X5" i="23"/>
  <c r="X9" i="23" s="1"/>
  <c r="X17" i="23"/>
  <c r="X21" i="23" s="1"/>
  <c r="X65" i="23"/>
  <c r="X69" i="23" s="1"/>
  <c r="X55" i="23"/>
  <c r="X59" i="23" s="1"/>
  <c r="X41" i="23"/>
  <c r="X45" i="23" s="1"/>
  <c r="X67" i="23"/>
  <c r="X71" i="23" s="1"/>
  <c r="X53" i="23"/>
  <c r="X57" i="23" s="1"/>
  <c r="R103" i="23"/>
  <c r="R107" i="23" s="1"/>
  <c r="R89" i="23"/>
  <c r="R93" i="23" s="1"/>
  <c r="R7" i="23"/>
  <c r="R11" i="23" s="1"/>
  <c r="R17" i="23"/>
  <c r="R21" i="23" s="1"/>
  <c r="R29" i="23"/>
  <c r="R33" i="23" s="1"/>
  <c r="R79" i="23"/>
  <c r="R83" i="23" s="1"/>
  <c r="R91" i="23"/>
  <c r="R95" i="23" s="1"/>
  <c r="R77" i="23"/>
  <c r="R81" i="23" s="1"/>
  <c r="R115" i="23"/>
  <c r="R119" i="23" s="1"/>
  <c r="R101" i="23"/>
  <c r="R105" i="23" s="1"/>
  <c r="R19" i="23"/>
  <c r="R23" i="23" s="1"/>
  <c r="R5" i="23"/>
  <c r="R9" i="23" s="1"/>
  <c r="R113" i="23"/>
  <c r="R117" i="23" s="1"/>
  <c r="R31" i="23"/>
  <c r="R35" i="23" s="1"/>
  <c r="R43" i="23"/>
  <c r="R47" i="23" s="1"/>
  <c r="R65" i="23"/>
  <c r="R69" i="23" s="1"/>
  <c r="R55" i="23"/>
  <c r="R59" i="23" s="1"/>
  <c r="R41" i="23"/>
  <c r="R45" i="23" s="1"/>
  <c r="R67" i="23"/>
  <c r="R71" i="23" s="1"/>
  <c r="R53" i="23"/>
  <c r="R57" i="23" s="1"/>
  <c r="L103" i="23"/>
  <c r="L107" i="23" s="1"/>
  <c r="L89" i="23"/>
  <c r="L93" i="23" s="1"/>
  <c r="L7" i="23"/>
  <c r="L11" i="23" s="1"/>
  <c r="L115" i="23"/>
  <c r="L119" i="23" s="1"/>
  <c r="L101" i="23"/>
  <c r="L105" i="23" s="1"/>
  <c r="L19" i="23"/>
  <c r="L23" i="23" s="1"/>
  <c r="L5" i="23"/>
  <c r="L9" i="23" s="1"/>
  <c r="L79" i="23"/>
  <c r="L83" i="23" s="1"/>
  <c r="L77" i="23"/>
  <c r="L81" i="23" s="1"/>
  <c r="L113" i="23"/>
  <c r="L117" i="23" s="1"/>
  <c r="L31" i="23"/>
  <c r="L35" i="23" s="1"/>
  <c r="L17" i="23"/>
  <c r="L21" i="23" s="1"/>
  <c r="L43" i="23"/>
  <c r="L47" i="23" s="1"/>
  <c r="L29" i="23"/>
  <c r="L33" i="23" s="1"/>
  <c r="L67" i="23"/>
  <c r="L71" i="23" s="1"/>
  <c r="L55" i="23"/>
  <c r="L59" i="23" s="1"/>
  <c r="L41" i="23"/>
  <c r="L45" i="23" s="1"/>
  <c r="L53" i="23"/>
  <c r="L57" i="23" s="1"/>
  <c r="L65" i="23"/>
  <c r="L69" i="23" s="1"/>
  <c r="L91" i="23"/>
  <c r="L95" i="23" s="1"/>
  <c r="Q16" i="2"/>
  <c r="H1" i="37"/>
  <c r="B67" i="5"/>
  <c r="B67" i="36"/>
  <c r="BT13" i="23" l="1"/>
  <c r="N233" i="23" s="1"/>
  <c r="CR121" i="23"/>
  <c r="R242" i="23" s="1"/>
  <c r="CR13" i="23"/>
  <c r="R233" i="23" s="1"/>
  <c r="AD85" i="23"/>
  <c r="G239" i="23" s="1"/>
  <c r="AD73" i="23"/>
  <c r="G238" i="23" s="1"/>
  <c r="AV73" i="23"/>
  <c r="J238" i="23" s="1"/>
  <c r="H227" i="23" s="1"/>
  <c r="BH85" i="23"/>
  <c r="L239" i="23" s="1"/>
  <c r="CR49" i="23"/>
  <c r="R236" i="23" s="1"/>
  <c r="CF73" i="23"/>
  <c r="P238" i="23" s="1"/>
  <c r="CR73" i="23"/>
  <c r="R238" i="23" s="1"/>
  <c r="BN49" i="23"/>
  <c r="M236" i="23" s="1"/>
  <c r="CL73" i="23"/>
  <c r="Q238" i="23" s="1"/>
  <c r="CL109" i="23"/>
  <c r="Q241" i="23" s="1"/>
  <c r="CR61" i="23"/>
  <c r="R237" i="23" s="1"/>
  <c r="CR85" i="23"/>
  <c r="R239" i="23" s="1"/>
  <c r="CR37" i="23"/>
  <c r="R235" i="23" s="1"/>
  <c r="CR109" i="23"/>
  <c r="R241" i="23" s="1"/>
  <c r="CL49" i="23"/>
  <c r="Q236" i="23" s="1"/>
  <c r="CL121" i="23"/>
  <c r="Q242" i="23" s="1"/>
  <c r="BZ13" i="23"/>
  <c r="O233" i="23" s="1"/>
  <c r="CL13" i="23"/>
  <c r="Q233" i="23" s="1"/>
  <c r="CR97" i="23"/>
  <c r="R240" i="23" s="1"/>
  <c r="CL37" i="23"/>
  <c r="Q235" i="23" s="1"/>
  <c r="CR25" i="23"/>
  <c r="R234" i="23" s="1"/>
  <c r="CF13" i="23"/>
  <c r="P233" i="23" s="1"/>
  <c r="CL97" i="23"/>
  <c r="Q240" i="23" s="1"/>
  <c r="BZ121" i="23"/>
  <c r="O242" i="23" s="1"/>
  <c r="CF37" i="23"/>
  <c r="P235" i="23" s="1"/>
  <c r="CF109" i="23"/>
  <c r="P241" i="23" s="1"/>
  <c r="CL61" i="23"/>
  <c r="Q237" i="23" s="1"/>
  <c r="CL25" i="23"/>
  <c r="Q234" i="23" s="1"/>
  <c r="CL85" i="23"/>
  <c r="Q239" i="23" s="1"/>
  <c r="CF97" i="23"/>
  <c r="P240" i="23" s="1"/>
  <c r="CF61" i="23"/>
  <c r="P237" i="23" s="1"/>
  <c r="CF25" i="23"/>
  <c r="P234" i="23" s="1"/>
  <c r="CF49" i="23"/>
  <c r="P236" i="23" s="1"/>
  <c r="CF121" i="23"/>
  <c r="P242" i="23" s="1"/>
  <c r="CF85" i="23"/>
  <c r="P239" i="23" s="1"/>
  <c r="BH73" i="23"/>
  <c r="L238" i="23" s="1"/>
  <c r="BT37" i="23"/>
  <c r="N235" i="23" s="1"/>
  <c r="BT121" i="23"/>
  <c r="N242" i="23" s="1"/>
  <c r="BZ109" i="23"/>
  <c r="O241" i="23" s="1"/>
  <c r="BZ49" i="23"/>
  <c r="O236" i="23" s="1"/>
  <c r="BN61" i="23"/>
  <c r="M237" i="23" s="1"/>
  <c r="BZ73" i="23"/>
  <c r="O238" i="23" s="1"/>
  <c r="BZ37" i="23"/>
  <c r="O235" i="23" s="1"/>
  <c r="BZ61" i="23"/>
  <c r="O237" i="23" s="1"/>
  <c r="BZ85" i="23"/>
  <c r="O239" i="23" s="1"/>
  <c r="BZ97" i="23"/>
  <c r="O240" i="23" s="1"/>
  <c r="BT25" i="23"/>
  <c r="N234" i="23" s="1"/>
  <c r="BN121" i="23"/>
  <c r="M242" i="23" s="1"/>
  <c r="BT97" i="23"/>
  <c r="N240" i="23" s="1"/>
  <c r="BT73" i="23"/>
  <c r="N238" i="23" s="1"/>
  <c r="AP61" i="23"/>
  <c r="I237" i="23" s="1"/>
  <c r="BN73" i="23"/>
  <c r="M238" i="23" s="1"/>
  <c r="BN37" i="23"/>
  <c r="M235" i="23" s="1"/>
  <c r="BN13" i="23"/>
  <c r="M233" i="23" s="1"/>
  <c r="BT61" i="23"/>
  <c r="N237" i="23" s="1"/>
  <c r="R37" i="23"/>
  <c r="E235" i="23" s="1"/>
  <c r="BT49" i="23"/>
  <c r="N236" i="23" s="1"/>
  <c r="BN109" i="23"/>
  <c r="M241" i="23" s="1"/>
  <c r="BT109" i="23"/>
  <c r="N241" i="23" s="1"/>
  <c r="BT85" i="23"/>
  <c r="N239" i="23" s="1"/>
  <c r="BN25" i="23"/>
  <c r="M234" i="23" s="1"/>
  <c r="BH13" i="23"/>
  <c r="L233" i="23" s="1"/>
  <c r="BN97" i="23"/>
  <c r="M240" i="23" s="1"/>
  <c r="BH49" i="23"/>
  <c r="L236" i="23" s="1"/>
  <c r="BH109" i="23"/>
  <c r="L241" i="23" s="1"/>
  <c r="BN85" i="23"/>
  <c r="M239" i="23" s="1"/>
  <c r="BH37" i="23"/>
  <c r="L235" i="23" s="1"/>
  <c r="BH25" i="23"/>
  <c r="L234" i="23" s="1"/>
  <c r="BB37" i="23"/>
  <c r="K235" i="23" s="1"/>
  <c r="BH61" i="23"/>
  <c r="L237" i="23" s="1"/>
  <c r="BH121" i="23"/>
  <c r="L242" i="23" s="1"/>
  <c r="BH97" i="23"/>
  <c r="L240" i="23" s="1"/>
  <c r="AV109" i="23"/>
  <c r="J241" i="23" s="1"/>
  <c r="K227" i="23" s="1"/>
  <c r="BB25" i="23"/>
  <c r="K234" i="23" s="1"/>
  <c r="BB121" i="23"/>
  <c r="K242" i="23" s="1"/>
  <c r="AV49" i="23"/>
  <c r="J236" i="23" s="1"/>
  <c r="F227" i="23" s="1"/>
  <c r="BB13" i="23"/>
  <c r="K233" i="23" s="1"/>
  <c r="BB85" i="23"/>
  <c r="K239" i="23" s="1"/>
  <c r="BB61" i="23"/>
  <c r="K237" i="23" s="1"/>
  <c r="AV37" i="23"/>
  <c r="J235" i="23" s="1"/>
  <c r="E227" i="23" s="1"/>
  <c r="AV13" i="23"/>
  <c r="J233" i="23" s="1"/>
  <c r="BB109" i="23"/>
  <c r="K241" i="23" s="1"/>
  <c r="BB73" i="23"/>
  <c r="K238" i="23" s="1"/>
  <c r="BB49" i="23"/>
  <c r="K236" i="23" s="1"/>
  <c r="BB97" i="23"/>
  <c r="K240" i="23" s="1"/>
  <c r="AP37" i="23"/>
  <c r="I235" i="23" s="1"/>
  <c r="AP109" i="23"/>
  <c r="I241" i="23" s="1"/>
  <c r="AV25" i="23"/>
  <c r="J234" i="23" s="1"/>
  <c r="D227" i="23" s="1"/>
  <c r="AV97" i="23"/>
  <c r="J240" i="23" s="1"/>
  <c r="J227" i="23" s="1"/>
  <c r="AD121" i="23"/>
  <c r="G242" i="23" s="1"/>
  <c r="AP73" i="23"/>
  <c r="I238" i="23" s="1"/>
  <c r="AV61" i="23"/>
  <c r="J237" i="23" s="1"/>
  <c r="G227" i="23" s="1"/>
  <c r="AV121" i="23"/>
  <c r="J242" i="23" s="1"/>
  <c r="L227" i="23" s="1"/>
  <c r="AV85" i="23"/>
  <c r="J239" i="23" s="1"/>
  <c r="I227" i="23" s="1"/>
  <c r="AJ73" i="23"/>
  <c r="H238" i="23" s="1"/>
  <c r="AD109" i="23"/>
  <c r="G241" i="23" s="1"/>
  <c r="AJ37" i="23"/>
  <c r="H235" i="23" s="1"/>
  <c r="AJ109" i="23"/>
  <c r="H241" i="23" s="1"/>
  <c r="AP97" i="23"/>
  <c r="I240" i="23" s="1"/>
  <c r="AJ61" i="23"/>
  <c r="H237" i="23" s="1"/>
  <c r="AP121" i="23"/>
  <c r="I242" i="23" s="1"/>
  <c r="AP13" i="23"/>
  <c r="I233" i="23" s="1"/>
  <c r="AJ25" i="23"/>
  <c r="H234" i="23" s="1"/>
  <c r="AJ97" i="23"/>
  <c r="H240" i="23" s="1"/>
  <c r="AP49" i="23"/>
  <c r="I236" i="23" s="1"/>
  <c r="AP25" i="23"/>
  <c r="I234" i="23" s="1"/>
  <c r="AP85" i="23"/>
  <c r="I239" i="23" s="1"/>
  <c r="AD97" i="23"/>
  <c r="G240" i="23" s="1"/>
  <c r="AD61" i="23"/>
  <c r="G237" i="23" s="1"/>
  <c r="AD25" i="23"/>
  <c r="G234" i="23" s="1"/>
  <c r="AJ121" i="23"/>
  <c r="H242" i="23" s="1"/>
  <c r="AJ13" i="23"/>
  <c r="H233" i="23" s="1"/>
  <c r="AJ85" i="23"/>
  <c r="H239" i="23" s="1"/>
  <c r="X49" i="23"/>
  <c r="F236" i="23" s="1"/>
  <c r="AD13" i="23"/>
  <c r="G233" i="23" s="1"/>
  <c r="X37" i="23"/>
  <c r="F235" i="23" s="1"/>
  <c r="AD37" i="23"/>
  <c r="G235" i="23" s="1"/>
  <c r="X25" i="23"/>
  <c r="F234" i="23" s="1"/>
  <c r="AD49" i="23"/>
  <c r="G236" i="23" s="1"/>
  <c r="X13" i="23"/>
  <c r="F233" i="23" s="1"/>
  <c r="R49" i="23"/>
  <c r="E236" i="23" s="1"/>
  <c r="R97" i="23"/>
  <c r="E240" i="23" s="1"/>
  <c r="X73" i="23"/>
  <c r="F238" i="23" s="1"/>
  <c r="X121" i="23"/>
  <c r="F242" i="23" s="1"/>
  <c r="X109" i="23"/>
  <c r="F241" i="23" s="1"/>
  <c r="X61" i="23"/>
  <c r="F237" i="23" s="1"/>
  <c r="X97" i="23"/>
  <c r="F240" i="23" s="1"/>
  <c r="L85" i="23"/>
  <c r="D239" i="23" s="1"/>
  <c r="R85" i="23"/>
  <c r="E239" i="23" s="1"/>
  <c r="R73" i="23"/>
  <c r="E238" i="23" s="1"/>
  <c r="R25" i="23"/>
  <c r="E234" i="23" s="1"/>
  <c r="R13" i="23"/>
  <c r="E233" i="23" s="1"/>
  <c r="R61" i="23"/>
  <c r="E237" i="23" s="1"/>
  <c r="R121" i="23"/>
  <c r="E242" i="23" s="1"/>
  <c r="R109" i="23"/>
  <c r="E241" i="23" s="1"/>
  <c r="L73" i="23"/>
  <c r="D238" i="23" s="1"/>
  <c r="L25" i="23"/>
  <c r="D234" i="23" s="1"/>
  <c r="L49" i="23"/>
  <c r="D236" i="23" s="1"/>
  <c r="L61" i="23"/>
  <c r="D237" i="23" s="1"/>
  <c r="L97" i="23"/>
  <c r="D240" i="23" s="1"/>
  <c r="L121" i="23"/>
  <c r="D242" i="23" s="1"/>
  <c r="L37" i="23"/>
  <c r="D235" i="23" s="1"/>
  <c r="L13" i="23"/>
  <c r="D233" i="23" s="1"/>
  <c r="L109" i="23"/>
  <c r="D241" i="23" s="1"/>
  <c r="F115" i="23"/>
  <c r="F119" i="23" s="1"/>
  <c r="F113" i="23"/>
  <c r="F117" i="23" s="1"/>
  <c r="F101" i="23"/>
  <c r="F105" i="23" s="1"/>
  <c r="F103" i="23"/>
  <c r="F107" i="23" s="1"/>
  <c r="F91" i="23"/>
  <c r="F95" i="23" s="1"/>
  <c r="F89" i="23"/>
  <c r="F93" i="23" s="1"/>
  <c r="F77" i="23"/>
  <c r="F81" i="23" s="1"/>
  <c r="F79" i="23"/>
  <c r="F83" i="23" s="1"/>
  <c r="F67" i="23"/>
  <c r="F71" i="23" s="1"/>
  <c r="F65" i="23"/>
  <c r="F69" i="23" s="1"/>
  <c r="F55" i="23"/>
  <c r="F59" i="23" s="1"/>
  <c r="F53" i="23"/>
  <c r="F57" i="23" s="1"/>
  <c r="F43" i="23"/>
  <c r="F47" i="23" s="1"/>
  <c r="F41" i="23"/>
  <c r="F45" i="23" s="1"/>
  <c r="F19" i="23"/>
  <c r="F23" i="23" s="1"/>
  <c r="F31" i="23"/>
  <c r="F35" i="23" s="1"/>
  <c r="F29" i="23"/>
  <c r="F33" i="23" s="1"/>
  <c r="F17" i="23"/>
  <c r="F21" i="23" s="1"/>
  <c r="F5" i="23"/>
  <c r="F9" i="23" s="1"/>
  <c r="F7" i="23"/>
  <c r="F11" i="23" s="1"/>
  <c r="E228" i="23" l="1"/>
  <c r="L228" i="23"/>
  <c r="C227" i="23"/>
  <c r="D228" i="23"/>
  <c r="G228" i="23"/>
  <c r="H228" i="23"/>
  <c r="F228" i="23"/>
  <c r="K228" i="23"/>
  <c r="I228" i="23"/>
  <c r="J228" i="23"/>
  <c r="F109" i="23"/>
  <c r="C241" i="23" s="1"/>
  <c r="F85" i="23"/>
  <c r="C239" i="23" s="1"/>
  <c r="F121" i="23"/>
  <c r="C242" i="23" s="1"/>
  <c r="F97" i="23"/>
  <c r="C240" i="23" s="1"/>
  <c r="F73" i="23"/>
  <c r="C238" i="23" s="1"/>
  <c r="F61" i="23"/>
  <c r="C237" i="23" s="1"/>
  <c r="F13" i="23"/>
  <c r="C233" i="23" s="1"/>
  <c r="F49" i="23"/>
  <c r="C236" i="23" s="1"/>
  <c r="F37" i="23"/>
  <c r="C235" i="23" s="1"/>
  <c r="F25" i="23"/>
  <c r="C234" i="23" s="1"/>
  <c r="R6" i="2"/>
  <c r="H2" i="2" s="1"/>
  <c r="C228" i="23" l="1"/>
  <c r="C244" i="23"/>
  <c r="F10" i="3" s="1"/>
  <c r="H10" i="3" s="1"/>
  <c r="P34" i="2"/>
  <c r="E33" i="22"/>
  <c r="A2" i="4"/>
  <c r="A2" i="5" s="1"/>
  <c r="K10" i="3" l="1"/>
  <c r="N10" i="3" s="1"/>
  <c r="N17" i="3" s="1"/>
  <c r="M10" i="3"/>
  <c r="M17" i="3" s="1"/>
  <c r="E37" i="22"/>
  <c r="E39" i="22" s="1"/>
  <c r="A2" i="27"/>
  <c r="A2" i="36"/>
  <c r="N18" i="3" l="1"/>
  <c r="N19" i="3" s="1"/>
  <c r="N20" i="3" s="1"/>
  <c r="O20" i="3" s="1"/>
  <c r="P20" i="3" s="1"/>
  <c r="P61" i="4" s="1"/>
  <c r="I60" i="5" s="1"/>
  <c r="E45" i="22"/>
  <c r="E42" i="22"/>
  <c r="J54" i="4" l="1"/>
  <c r="Q20" i="3"/>
  <c r="M60" i="36" s="1"/>
  <c r="I60" i="36"/>
  <c r="A42" i="22"/>
  <c r="A119" i="2" s="1"/>
  <c r="P36" i="2" s="1"/>
  <c r="L60" i="5" l="1"/>
  <c r="L45" i="27" s="1"/>
  <c r="B72" i="4"/>
  <c r="B75" i="36" s="1"/>
  <c r="B60" i="27" l="1"/>
  <c r="B7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ismail - [2010]</author>
    <author>ALIENWARE</author>
    <author>PC-Zaen</author>
    <author>Windows 8.1</author>
  </authors>
  <commentList>
    <comment ref="H16" authorId="0" shapeId="0" xr:uid="{00000000-0006-0000-01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N2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P27" authorId="2" shapeId="0" xr:uid="{F5254900-FE85-4A2B-AF82-D417CB7FA678}">
      <text>
        <r>
          <rPr>
            <sz val="9"/>
            <color indexed="81"/>
            <rFont val="Tahoma"/>
            <family val="2"/>
          </rPr>
          <t xml:space="preserve">NC isi disini
</t>
        </r>
      </text>
    </comment>
    <comment ref="F37" authorId="3" shapeId="0" xr:uid="{00000000-0006-0000-01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A41" authorId="0" shapeId="0" xr:uid="{00000000-0006-0000-01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G41" authorId="0" shapeId="0" xr:uid="{00000000-0006-0000-01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A114" authorId="4" shapeId="0" xr:uid="{AD000BE9-62B3-4507-91A0-3398EBC7985B}">
      <text>
        <r>
          <rPr>
            <b/>
            <sz val="9"/>
            <color indexed="81"/>
            <rFont val="Tahoma"/>
            <family val="2"/>
          </rPr>
          <t>SUHU 2023:</t>
        </r>
        <r>
          <rPr>
            <sz val="9"/>
            <color indexed="81"/>
            <rFont val="Tahoma"/>
            <family val="2"/>
          </rPr>
          <t xml:space="preserve">
No HIOKI, just DELETE </t>
        </r>
      </text>
    </comment>
    <comment ref="N118" authorId="5" shapeId="0" xr:uid="{00000000-0006-0000-0100-000006000000}">
      <text>
        <r>
          <rPr>
            <b/>
            <sz val="9"/>
            <rFont val="Tahoma"/>
            <family val="2"/>
          </rPr>
          <t>Windows 8.1:</t>
        </r>
        <r>
          <rPr>
            <sz val="9"/>
            <rFont val="Tahoma"/>
            <family val="2"/>
          </rPr>
          <t xml:space="preserve">
tolong diganti rumusnya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67" authorId="0" shapeId="0" xr:uid="{53CC7578-CD83-4D17-A5D2-11AA04313961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71" authorId="0" shapeId="0" xr:uid="{EDC25D32-01E4-492F-90DD-915A32B47174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71" authorId="0" shapeId="0" xr:uid="{B5096D33-4D04-4A9E-AF6C-CC54E2A684ED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F6C4E541-D7C7-4061-96CC-43DC3A5AA4DC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2B4C3903-4B68-451C-AF4C-D8F5F368E8C5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<sst xmlns="http://schemas.openxmlformats.org/spreadsheetml/2006/main" count="2504" uniqueCount="598">
  <si>
    <t>Nomor Sertifikat / Nomor Surat Keterangan : 67  / ………… / …........ - 23 / E - …................DL</t>
  </si>
  <si>
    <t>Merek</t>
  </si>
  <si>
    <t>:</t>
  </si>
  <si>
    <t xml:space="preserve">Model/Tipe                    </t>
  </si>
  <si>
    <t xml:space="preserve">No. Seri                          </t>
  </si>
  <si>
    <t>Resolusi</t>
  </si>
  <si>
    <t>(  Digital  /  Analog  )</t>
  </si>
  <si>
    <t>Tanggal Penerimaan Alat</t>
  </si>
  <si>
    <t>I.Kondisi ruang</t>
  </si>
  <si>
    <t>Awal</t>
  </si>
  <si>
    <t>Akhir</t>
  </si>
  <si>
    <t>Skor</t>
  </si>
  <si>
    <t>1. Suhu</t>
  </si>
  <si>
    <r>
      <rPr>
        <sz val="12"/>
        <rFont val="Calibri"/>
        <family val="2"/>
      </rPr>
      <t>°</t>
    </r>
    <r>
      <rPr>
        <sz val="12"/>
        <rFont val="Arial"/>
        <family val="2"/>
      </rPr>
      <t>C</t>
    </r>
  </si>
  <si>
    <t xml:space="preserve">2. Kelembaban </t>
  </si>
  <si>
    <t>%RH</t>
  </si>
  <si>
    <t>3. Tegangan jala-jala</t>
  </si>
  <si>
    <t>II. Pemeriksaan Kondisi Fisik dan Fungsi Komponen Alat</t>
  </si>
  <si>
    <t>1. Fisik</t>
  </si>
  <si>
    <t>: Baik / Tidak baik</t>
  </si>
  <si>
    <t>(Pilih salah satu dan coret yang tidak perlu)</t>
  </si>
  <si>
    <t>2. Fungsi</t>
  </si>
  <si>
    <t>III. Hasil 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</si>
  <si>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</si>
  <si>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</si>
  <si>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</si>
  <si>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</si>
  <si>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</si>
  <si>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</si>
  <si>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≥ 2 MΩ</t>
  </si>
  <si>
    <t>Resistansi Pembumian Protektif</t>
  </si>
  <si>
    <t>Ω</t>
  </si>
  <si>
    <t>≤ 0.2 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</si>
  <si>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</si>
  <si>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</si>
  <si>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</si>
  <si>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</si>
  <si>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</si>
  <si>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</si>
  <si>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 xml:space="preserve">IV. Hasil Pengukuran </t>
  </si>
  <si>
    <t>(  Single Opening Unit  /  Double Opening Unit  )</t>
  </si>
  <si>
    <t>Set-point (°C)</t>
  </si>
  <si>
    <t>Posisi Termokopel</t>
  </si>
  <si>
    <t>Pembacaan Alat Standar (°C)</t>
  </si>
  <si>
    <t>Toleransi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</si>
  <si>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</si>
  <si>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</si>
  <si>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</si>
  <si>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</si>
  <si>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</si>
  <si>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</si>
  <si>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</si>
  <si>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</si>
  <si>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</si>
  <si>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</si>
  <si>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t1</t>
  </si>
  <si>
    <t xml:space="preserve"> Akurasi ≤ -25°C                                           Variasi Spasial ≤ 2°C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</si>
  <si>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</si>
  <si>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</si>
  <si>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</si>
  <si>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</si>
  <si>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</si>
  <si>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</si>
  <si>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</si>
  <si>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</si>
  <si>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</si>
  <si>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 Keterangan</t>
  </si>
  <si>
    <t>Ketidakpastian pengukuran dilaporkan pada tingkat kepercayaan 95% dengan faktor cakupan k=2</t>
  </si>
  <si>
    <t>VI. Alat Ukur yang digunakan</t>
  </si>
  <si>
    <t>Thermocouple Data Logger,  Merek : Madgetech, Model : Oct Temp 2000, SN :  P40270 / P41878</t>
  </si>
  <si>
    <t>Mobile Corder, Merek : Yokogawa, Model : GP 10, SN : S5T810599</t>
  </si>
  <si>
    <t>Temperature Recorder (Monitor) : Merek : HIOKI, Model : LR 8410, SN : 200812984, 200812985</t>
  </si>
  <si>
    <t>Temperature Recorder (Monitor) : Merek : HIOKI, Model : LR 8410, SN :  210368322, 210368323, 210368324</t>
  </si>
  <si>
    <t>Wireless Temperature Recorder (Modul) : Merek : HIOKI, Model : LR 8510, SN : 200936000, 200936001</t>
  </si>
  <si>
    <t>Wireless Temperature Recorder (Modul) : Merek : HIOKI, Model : LR 8510, SN : 210411983, 210411984, 210411985</t>
  </si>
  <si>
    <t>Wireless Temperature Recorder (Modul) : Merek : HIOKI, Model : LR 8510, SN : 210746054, 210746055, 210746056</t>
  </si>
  <si>
    <t>Wireless Temperature Recorder (Modul) : Merek : HIOKI, Model : LR 8510, SN :  200821396, 200821397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</si>
  <si>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</si>
  <si>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</si>
  <si>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</si>
  <si>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</si>
  <si>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</si>
  <si>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</si>
  <si>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</si>
  <si>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VII. Petugas Pengujian</t>
  </si>
  <si>
    <t>……………………………………………</t>
  </si>
  <si>
    <t>Akurasi suhu             ≥ -25 °C                             Variasi Spasial            ≤ 2 °C</t>
  </si>
  <si>
    <t>No.</t>
  </si>
  <si>
    <t>Tanggal</t>
  </si>
  <si>
    <t>Revisi</t>
  </si>
  <si>
    <t>Nama</t>
  </si>
  <si>
    <t>28.12.2022</t>
  </si>
  <si>
    <t>Update Sertifkat dan drift (APPA 948, HIKOI 396)</t>
  </si>
  <si>
    <t>Done</t>
  </si>
  <si>
    <t>Diman</t>
  </si>
  <si>
    <t xml:space="preserve"> Suhu terkoreksi (di sheet Data Standar)                                                                                 FORECAST(C313,$C$273:$C$281,$B$273:$B$281)+C313</t>
  </si>
  <si>
    <t>(FORECAST(C313,OFFSET($C$274:$C$281,MATCH(C313,$B$274:$B$281,1)-1,0,2),OFFSET($B$274:$B$281,MATCH(C313,$B$274:$B$281,1)-1,0,2)))+C313</t>
  </si>
  <si>
    <t>2 AP auto pada ketidakpastian LHK</t>
  </si>
  <si>
    <t>diman</t>
  </si>
  <si>
    <t>Koreksi auto mengikuti digit ketidakpastian</t>
  </si>
  <si>
    <t>12.6.2023</t>
  </si>
  <si>
    <t>-</t>
  </si>
  <si>
    <t>Update Sertifikat, standar, ESA, Thermo</t>
  </si>
  <si>
    <t>dimna</t>
  </si>
  <si>
    <t>gambar tipe</t>
  </si>
  <si>
    <t>Rev 2 :</t>
  </si>
  <si>
    <t>3.7.2023</t>
  </si>
  <si>
    <t>1 / VI - 23 / E - 123 DL</t>
  </si>
  <si>
    <t xml:space="preserve">Merek                                     </t>
  </si>
  <si>
    <t>GEA</t>
  </si>
  <si>
    <t xml:space="preserve">Model/Tipe                         </t>
  </si>
  <si>
    <t>AB - 375 LT</t>
  </si>
  <si>
    <t xml:space="preserve">No. Seri                                  </t>
  </si>
  <si>
    <t>110663750217</t>
  </si>
  <si>
    <t>Nomor Sertifikat : 67 /</t>
  </si>
  <si>
    <t>Alat yang dikalibrasi dalam batas toleransi dan dinyatakan LAIK PAKAI, dimana hasil atau skor akhir sama dengan atau melampaui 70% berdasarkan Keputusan Direktur Jenderal Pelayanan Kesehatan No : HK.02.02/V/5771/2018</t>
  </si>
  <si>
    <r>
      <t>°</t>
    </r>
    <r>
      <rPr>
        <sz val="12"/>
        <rFont val="Arial"/>
        <family val="2"/>
      </rPr>
      <t>C</t>
    </r>
  </si>
  <si>
    <t>Digital</t>
  </si>
  <si>
    <t>res</t>
  </si>
  <si>
    <t>Nomor Surat Keterangan : 67 /</t>
  </si>
  <si>
    <t>Alat yang dikalibrasi melebihi batas toleransi dan dinyatakan TIDAK LAIK PAKAI, dimana hasil atau skor akhir dibawah 70% berdasarkan Keputusan Direktur Jenderal Pelayanan Kesehatan No : HK.02.02/V/5771/2018</t>
  </si>
  <si>
    <t>21 Desember 2022</t>
  </si>
  <si>
    <t>penunjukan alat</t>
  </si>
  <si>
    <t>Analog</t>
  </si>
  <si>
    <t>CEK LAGI BOSS !!!!!</t>
  </si>
  <si>
    <t xml:space="preserve">Tempat Pengujian                              </t>
  </si>
  <si>
    <t>Laboratorium Mikrobiologi</t>
  </si>
  <si>
    <t xml:space="preserve">Nama Ruang                                         </t>
  </si>
  <si>
    <t xml:space="preserve">    </t>
  </si>
  <si>
    <t xml:space="preserve">Metode Kerja                    </t>
  </si>
  <si>
    <t>MK.031-18</t>
  </si>
  <si>
    <t>I. Kondisi Ruang</t>
  </si>
  <si>
    <t>Rata-rata</t>
  </si>
  <si>
    <t>deviasi</t>
  </si>
  <si>
    <t>°C</t>
  </si>
  <si>
    <t>Volt</t>
  </si>
  <si>
    <t>Resistansi pembumian protektif (kabel dapat dilepas)</t>
  </si>
  <si>
    <t>Arus bocor peralatan untuk peralatan elektromedik kelas II</t>
  </si>
  <si>
    <t>Resistansi pembumian protektif (kabel tidak dapat dilepas)</t>
  </si>
  <si>
    <t>II. Pemeriksaan Kondisi Fisik dan Fungsi Alat</t>
  </si>
  <si>
    <t xml:space="preserve">1. Fisik             </t>
  </si>
  <si>
    <t>Baik</t>
  </si>
  <si>
    <t>G</t>
  </si>
  <si>
    <t xml:space="preserve">2. Fungsi        </t>
  </si>
  <si>
    <t>NG</t>
  </si>
  <si>
    <t>Tidak Baik</t>
  </si>
  <si>
    <t>III. Pengujian Keselamatan Listrik</t>
  </si>
  <si>
    <t>NC</t>
  </si>
  <si>
    <t>&gt; 2 MΩ</t>
  </si>
  <si>
    <t>IV. Pengujian Kinerja</t>
  </si>
  <si>
    <t>a. Volume Enclosure</t>
  </si>
  <si>
    <t>Panjang (m)</t>
  </si>
  <si>
    <t>Lebar                         (m)</t>
  </si>
  <si>
    <t>Tinggi    (m)</t>
  </si>
  <si>
    <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</si>
  <si>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Vol</t>
  </si>
  <si>
    <t xml:space="preserve">G R A D I N G   F A C T O R </t>
  </si>
  <si>
    <t>b. Jumlah Titik Ukur</t>
  </si>
  <si>
    <t>fm</t>
  </si>
  <si>
    <t>D = 30</t>
  </si>
  <si>
    <t>D = 100</t>
  </si>
  <si>
    <t>D = 300</t>
  </si>
  <si>
    <t>D = 1000</t>
  </si>
  <si>
    <t>Δt                              (°C)</t>
  </si>
  <si>
    <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</si>
  <si>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</si>
  <si>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</si>
  <si>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</si>
  <si>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Titik Uji</t>
  </si>
  <si>
    <t>a. Tipe Medical Freezer :</t>
  </si>
  <si>
    <t>Double Opening Unit</t>
  </si>
  <si>
    <t>b. Kalibrasi Akurasi Suhu</t>
  </si>
  <si>
    <t>Penunjukkan Standar   (°C)</t>
  </si>
  <si>
    <t>Penunjukkan Indikator</t>
  </si>
  <si>
    <t>Suhu Ruang</t>
  </si>
  <si>
    <t>stdev (°C)</t>
  </si>
  <si>
    <t>diff (°C)</t>
  </si>
  <si>
    <t>Rata-Rata (°C)</t>
  </si>
  <si>
    <t>diff                (°C)</t>
  </si>
  <si>
    <t>midrange               (°C)</t>
  </si>
  <si>
    <t>midrange terkoreksi     (°C)</t>
  </si>
  <si>
    <t>Koreksi</t>
  </si>
  <si>
    <t>Suhu refrigerator dari penunjukkan indikator</t>
  </si>
  <si>
    <t>Suhu refrigerator dari pengukuran</t>
  </si>
  <si>
    <t>Variasi suhu spasial</t>
  </si>
  <si>
    <t>Variasi suhu temporal</t>
  </si>
  <si>
    <t>Variasi Total</t>
  </si>
  <si>
    <t>Kestabilan</t>
  </si>
  <si>
    <t>Akurasi</t>
  </si>
  <si>
    <t xml:space="preserve">Tidak terdapat grounding </t>
  </si>
  <si>
    <t>Wireless Temperature Recorder, Merek : HIOKI, Model : LR 8510, SN : 210411984</t>
  </si>
  <si>
    <t>Tidak dilakukan pengujian keselamatan listrik karena alat tidak boleh dalam kondisi off</t>
  </si>
  <si>
    <t>Temperature Recorder, Merek : HIOKI, Model : LR 8410, SN : 210368322</t>
  </si>
  <si>
    <t>Alat tidak boleh digunakan pada instalasi tanpa dilengkapi grounding</t>
  </si>
  <si>
    <t>Electrical Safety Analyzer, Merek : Fluke, Model : ESA 615, SN : 3148908</t>
  </si>
  <si>
    <t>Thermohygrolight, Merek : EXTECH, Model : SD700, SN : A.100616</t>
  </si>
  <si>
    <t>VII. Kesimpulan</t>
  </si>
  <si>
    <t>Vikki Akhsanudin Nurkholis</t>
  </si>
  <si>
    <t>IX. Tanggal pembuatan laporan</t>
  </si>
  <si>
    <t xml:space="preserve">                                            </t>
  </si>
  <si>
    <t>Single Opening Unit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</si>
  <si>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</si>
  <si>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</si>
  <si>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</si>
  <si>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</si>
  <si>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</si>
  <si>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</si>
  <si>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</si>
  <si>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</si>
  <si>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</si>
  <si>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</si>
  <si>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</si>
  <si>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</si>
  <si>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</si>
  <si>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</si>
  <si>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</si>
  <si>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Sertifikat Standar TC-K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</si>
  <si>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</si>
  <si>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</si>
  <si>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>2. Drift Std.</t>
  </si>
  <si>
    <t>Rect</t>
  </si>
  <si>
    <t>3. Resolusi Alat</t>
  </si>
  <si>
    <t>4. Variasi Spasial</t>
  </si>
  <si>
    <t>5. Variasi Temporal</t>
  </si>
  <si>
    <t>6. Variasi Total</t>
  </si>
  <si>
    <t>6. Variasi Penunjukkan Indikator</t>
  </si>
  <si>
    <t>KTP Gabungan Uc</t>
  </si>
  <si>
    <t>Derajat kebebasan effektif</t>
  </si>
  <si>
    <t>Faktor cakupan pada veff dan 95%</t>
  </si>
  <si>
    <t>Hasil U95</t>
  </si>
  <si>
    <t>Desimal</t>
  </si>
  <si>
    <t>Hasil 2-SD</t>
  </si>
  <si>
    <t>KTP U(95) = k x uc</t>
  </si>
  <si>
    <t>V A L I D A S I</t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</si>
  <si>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</si>
  <si>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</si>
  <si>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</si>
  <si>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v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</si>
  <si>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vertAlign val="superscript"/>
        <sz val="11"/>
        <color rgb="FFFF0000"/>
        <rFont val="Calibri"/>
        <family val="2"/>
      </rPr>
      <t>2</t>
    </r>
  </si>
  <si>
    <r>
      <rPr>
        <sz val="11"/>
        <color rgb="FFFF0000"/>
        <rFont val="Calibri"/>
        <family val="2"/>
      </rPr>
      <t>(u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)</t>
    </r>
    <r>
      <rPr>
        <vertAlign val="superscript"/>
        <sz val="11"/>
        <color rgb="FFFF0000"/>
        <rFont val="Calibri"/>
        <family val="2"/>
      </rPr>
      <t>4</t>
    </r>
    <r>
      <rPr>
        <sz val="11"/>
        <color rgb="FFFF0000"/>
        <rFont val="Calibri"/>
        <family val="2"/>
      </rPr>
      <t>/v</t>
    </r>
    <r>
      <rPr>
        <vertAlign val="subscript"/>
        <sz val="11"/>
        <color rgb="FFFF0000"/>
        <rFont val="Calibri"/>
        <family val="2"/>
      </rPr>
      <t>i</t>
    </r>
  </si>
  <si>
    <r>
      <rPr>
        <vertAlign val="superscript"/>
        <sz val="11"/>
        <color rgb="FFFF0000"/>
        <rFont val="Calibri"/>
        <family val="2"/>
      </rPr>
      <t>○</t>
    </r>
    <r>
      <rPr>
        <sz val="11"/>
        <color rgb="FFFF0000"/>
        <rFont val="Calibri"/>
        <family val="2"/>
      </rPr>
      <t>C</t>
    </r>
  </si>
  <si>
    <t xml:space="preserve">Merek                                 </t>
  </si>
  <si>
    <t xml:space="preserve">Model/Tipe                        </t>
  </si>
  <si>
    <t xml:space="preserve">No. Seri                               </t>
  </si>
  <si>
    <t>Terkoreksi</t>
  </si>
  <si>
    <t>Tidak terdapat grounding di ruangan</t>
  </si>
  <si>
    <t>Kelas I</t>
  </si>
  <si>
    <t>Input NC</t>
  </si>
  <si>
    <t>Resistansi pembumian protektif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</si>
  <si>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</si>
  <si>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</si>
  <si>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</si>
  <si>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</si>
  <si>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</si>
  <si>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</si>
  <si>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I.</t>
  </si>
  <si>
    <t>Kondisi Ruang</t>
  </si>
  <si>
    <t xml:space="preserve">1. Suhu                            </t>
  </si>
  <si>
    <t xml:space="preserve">2. Kelembaban Relatif </t>
  </si>
  <si>
    <t>II.</t>
  </si>
  <si>
    <t xml:space="preserve">1. Fisik          </t>
  </si>
  <si>
    <t xml:space="preserve">2. Fungsi      </t>
  </si>
  <si>
    <t>Parameter</t>
  </si>
  <si>
    <t>III.</t>
  </si>
  <si>
    <t>Fisik</t>
  </si>
  <si>
    <t>Fungsi</t>
  </si>
  <si>
    <t>IV.</t>
  </si>
  <si>
    <t>Penunjukan Alat           (°C)</t>
  </si>
  <si>
    <t>Penunjukan Standar          (°C)</t>
  </si>
  <si>
    <t>Hasil Pengukuran   (°C)</t>
  </si>
  <si>
    <t>Koreksi    (°C)</t>
  </si>
  <si>
    <t>Toleransi              (°C)</t>
  </si>
  <si>
    <t>Ketidakpastian  Pengukuran (°C)</t>
  </si>
  <si>
    <t>Variasi spasial</t>
  </si>
  <si>
    <t>Variasi temporal</t>
  </si>
  <si>
    <r>
      <t xml:space="preserve">Akurasi Suhu      </t>
    </r>
    <r>
      <rPr>
        <sz val="12"/>
        <rFont val="Calibri"/>
        <family val="2"/>
      </rPr>
      <t>≤</t>
    </r>
    <r>
      <rPr>
        <sz val="12"/>
        <rFont val="Arial"/>
        <family val="2"/>
      </rPr>
      <t xml:space="preserve"> -25°C                                                 Variasi Spasial       ≤ 2 °C</t>
    </r>
  </si>
  <si>
    <t xml:space="preserve">Akurasi </t>
  </si>
  <si>
    <t>Variasi Spasial</t>
  </si>
  <si>
    <t>V.</t>
  </si>
  <si>
    <t>Keterangan</t>
  </si>
  <si>
    <t>SKORING</t>
  </si>
  <si>
    <t>koreksi</t>
  </si>
  <si>
    <t>Alat</t>
  </si>
  <si>
    <t>VI.</t>
  </si>
  <si>
    <t>Alat Ukur yang digunakan</t>
  </si>
  <si>
    <t>VII.</t>
  </si>
  <si>
    <t>Kesimpulan</t>
  </si>
  <si>
    <t>VIII.</t>
  </si>
  <si>
    <t>Paraf</t>
  </si>
  <si>
    <t>Presentase</t>
  </si>
  <si>
    <t>Dibuat :</t>
  </si>
  <si>
    <t>Diperiksa :</t>
  </si>
  <si>
    <t xml:space="preserve">Merek                            </t>
  </si>
  <si>
    <t xml:space="preserve">No. Seri                         </t>
  </si>
  <si>
    <t xml:space="preserve">Tanggal Pengujian                                </t>
  </si>
  <si>
    <t xml:space="preserve">Metode Kerja                </t>
  </si>
  <si>
    <t xml:space="preserve">I. </t>
  </si>
  <si>
    <t>2. Kelembaban</t>
  </si>
  <si>
    <t>µ</t>
  </si>
  <si>
    <t>Pemeriksaan Kondisi Fisik dan Fungsi Komponen Alat</t>
  </si>
  <si>
    <t xml:space="preserve">1. Fisik         </t>
  </si>
  <si>
    <t>Dimensi Enclosure</t>
  </si>
  <si>
    <t xml:space="preserve">Panjang    </t>
  </si>
  <si>
    <t xml:space="preserve"> m</t>
  </si>
  <si>
    <t xml:space="preserve">Lebar       </t>
  </si>
  <si>
    <t xml:space="preserve">Tinggi       </t>
  </si>
  <si>
    <t xml:space="preserve">Volume    </t>
  </si>
  <si>
    <t xml:space="preserve"> m3</t>
  </si>
  <si>
    <t>Δt</t>
  </si>
  <si>
    <t>R0 = 2Δt</t>
  </si>
  <si>
    <t>Penunjukan Alat (°C)</t>
  </si>
  <si>
    <t>Penunjukkan Standar (°C)</t>
  </si>
  <si>
    <t>Koreksi (°C)</t>
  </si>
  <si>
    <t>Ketidakpastian Pengukuran (°C)</t>
  </si>
  <si>
    <r>
      <t xml:space="preserve">Akurasi Suhu       </t>
    </r>
    <r>
      <rPr>
        <sz val="12"/>
        <rFont val="Calibri"/>
        <family val="2"/>
      </rPr>
      <t>≤</t>
    </r>
    <r>
      <rPr>
        <sz val="11"/>
        <rFont val="Arial"/>
        <family val="2"/>
      </rPr>
      <t xml:space="preserve"> -25°C                                                                                                                                               Variasi Spasial            ≤ 2 °C</t>
    </r>
  </si>
  <si>
    <t xml:space="preserve">VI. </t>
  </si>
  <si>
    <t xml:space="preserve">VII. </t>
  </si>
  <si>
    <t>Menyetujui 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</si>
  <si>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</si>
  <si>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</si>
  <si>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</si>
  <si>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</si>
  <si>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</si>
  <si>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</si>
  <si>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</si>
  <si>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 xml:space="preserve">Tanggal Pengujian                                 </t>
  </si>
  <si>
    <t xml:space="preserve">Tempat Pengujian                                </t>
  </si>
  <si>
    <t>±</t>
  </si>
  <si>
    <t>V</t>
  </si>
  <si>
    <t>Resistansi Pembumian  Protektif</t>
  </si>
  <si>
    <t>Penunjukan Standar           (°C)</t>
  </si>
  <si>
    <t>Koreksi        (°C)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</si>
  <si>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</si>
  <si>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</si>
  <si>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</si>
  <si>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</si>
  <si>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</si>
  <si>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</si>
  <si>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</si>
  <si>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</si>
  <si>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</si>
  <si>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</si>
  <si>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</si>
  <si>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</si>
  <si>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</si>
  <si>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</si>
  <si>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</si>
  <si>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</si>
  <si>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</si>
  <si>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</si>
  <si>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</si>
  <si>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</si>
  <si>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 xml:space="preserve">D R I F T  S T A N D A R </t>
  </si>
  <si>
    <t>CH 1</t>
  </si>
  <si>
    <t>Thermocouple Data Logger, Merek : MADGETECH, Model : OctTemp 2000, SN : P40270</t>
  </si>
  <si>
    <t>Interpolasi</t>
  </si>
  <si>
    <t>Thermocouple Data Logger, Merek : MADGETECH, Model : OctTemp 2000, SN : P41878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</si>
  <si>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</si>
  <si>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</si>
  <si>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</si>
  <si>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</si>
  <si>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</si>
  <si>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</si>
  <si>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</si>
  <si>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</si>
  <si>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</si>
  <si>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</si>
  <si>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</si>
  <si>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</si>
  <si>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</si>
  <si>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</si>
  <si>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U95</t>
  </si>
  <si>
    <t>CH 11</t>
  </si>
  <si>
    <t>CH 12</t>
  </si>
  <si>
    <t>DATA STANDAR</t>
  </si>
  <si>
    <t>Drifft</t>
  </si>
  <si>
    <t>D R I F T</t>
  </si>
  <si>
    <t>Kumpulan DRIFT</t>
  </si>
  <si>
    <t>Drift Max</t>
  </si>
  <si>
    <t>U95 max</t>
  </si>
  <si>
    <t>INTERPOLASI MIN 1</t>
  </si>
  <si>
    <t>Suhu Terukur</t>
  </si>
  <si>
    <t>Suhu Terkoreksi</t>
  </si>
  <si>
    <t>Validasi</t>
  </si>
  <si>
    <t>INTERPOLASI MAX 1</t>
  </si>
  <si>
    <t>Sensor 1</t>
  </si>
  <si>
    <t>x</t>
  </si>
  <si>
    <t>Sensor 2</t>
  </si>
  <si>
    <t>y</t>
  </si>
  <si>
    <t>Sensor 3</t>
  </si>
  <si>
    <t>x1</t>
  </si>
  <si>
    <t>Sensor 4</t>
  </si>
  <si>
    <t>x2</t>
  </si>
  <si>
    <t>Sensor 5</t>
  </si>
  <si>
    <t>y1</t>
  </si>
  <si>
    <t>Sensor 6</t>
  </si>
  <si>
    <t>y2</t>
  </si>
  <si>
    <t>Sensor 7</t>
  </si>
  <si>
    <t>Sensor 8</t>
  </si>
  <si>
    <t>Sensor 9</t>
  </si>
  <si>
    <t>Sensor 10</t>
  </si>
  <si>
    <t>INTERPOLASI MIN 2</t>
  </si>
  <si>
    <t>INTERPOLASI MAX 2</t>
  </si>
  <si>
    <t>INTERPOLASI MIN 3</t>
  </si>
  <si>
    <t>INTERPOLASI MAX 3</t>
  </si>
  <si>
    <t>INTERPOLASI MIN 4</t>
  </si>
  <si>
    <t>INTERPOLASI MAX 4</t>
  </si>
  <si>
    <t>INTERPOLASI MIN 5</t>
  </si>
  <si>
    <t>INTERPOLASI MAX 5</t>
  </si>
  <si>
    <t>Hasil pengujian kinerja suhu tertelusur ke Satuan SI melalui PT. Kaliman ( LK-032-IDN )</t>
  </si>
  <si>
    <t>Azhar Alamsyah</t>
  </si>
  <si>
    <t>Hasil pengujian kinerja suhu tertelusur ke Satuan SI melalui Laboratorium SNSU-BSN</t>
  </si>
  <si>
    <t>Choirul Huda</t>
  </si>
  <si>
    <t>Dewi Nofitasari</t>
  </si>
  <si>
    <t>Donny Martha</t>
  </si>
  <si>
    <t>Wireless Temperature Recorder, Merek : HIOKI, Model : LR 8510, SN : 200936000</t>
  </si>
  <si>
    <t>Fatimah Novrianisa</t>
  </si>
  <si>
    <t>Wireless Temperature Recorder, Merek : HIOKI, Model : LR 8510, SN : 200936001</t>
  </si>
  <si>
    <t>Gusti Arya Dinata</t>
  </si>
  <si>
    <t>Wireless Temperature Recorder, Merek : HIOKI, Model : LR 8510, SN : 200821397</t>
  </si>
  <si>
    <t>Hamdan Syarif</t>
  </si>
  <si>
    <t>Wireless Temperature Recorder, Merek : HIOKI, Model : LR 8510, SN : 210411983</t>
  </si>
  <si>
    <t>Hary Ernanto</t>
  </si>
  <si>
    <t>Isra Mahensa</t>
  </si>
  <si>
    <t>Wireless Temperature Recorder, Merek : HIOKI, Model : LR 8510, SN : 210411985</t>
  </si>
  <si>
    <t>Muhammad Alpian Hadi</t>
  </si>
  <si>
    <t>Wireless Temperature Recorder, Merek : HIOKI, Model : LR 8510, SN : 210746054</t>
  </si>
  <si>
    <t>Muhammad Arrizal Septiawan</t>
  </si>
  <si>
    <t>Wireless Temperature Recorder, Merek : HIOKI, Model : LR 8510, SN : 210746055</t>
  </si>
  <si>
    <t>Muhammad Ihsan Ilyas</t>
  </si>
  <si>
    <t>Wireless Temperature Recorder, Merek : HIOKI, Model : LR 8510, SN : 210746056</t>
  </si>
  <si>
    <t>Muhammad Iqbal Saiful Rahman</t>
  </si>
  <si>
    <t>Wireless Temperature Recorder, Merek : HIOKI, Model : LR 8510, SN : 200821396</t>
  </si>
  <si>
    <t>Muhammad Irfan Husnuzhzhan</t>
  </si>
  <si>
    <t>Temperature Recorder, Merek : HIOKI, Model : LR 8410, SN : 200812984</t>
  </si>
  <si>
    <t>Muhammad Zaenuri Sugiasmoro</t>
  </si>
  <si>
    <t>Temperature Recorder, Merek : HIOKI, Model : LR 8410, SN : 200812985</t>
  </si>
  <si>
    <t>Rangga Setya Hantoko</t>
  </si>
  <si>
    <t>Ryan Rama Chaesar R</t>
  </si>
  <si>
    <t>Temperature Recorder, Merek : HIOKI, Model : LR 8410, SN : 210368323</t>
  </si>
  <si>
    <t>Septia Khairunnisa</t>
  </si>
  <si>
    <t>Temperature Recorder, Merek : HIOKI, Model : LR 8410, SN : 210368324</t>
  </si>
  <si>
    <t>Sholihatussa'diah</t>
  </si>
  <si>
    <t>Siti Fathul Jannah</t>
  </si>
  <si>
    <t>Taufik Priawan</t>
  </si>
  <si>
    <t>Venna Filosofia</t>
  </si>
  <si>
    <t>Wardimanul Abrar</t>
  </si>
  <si>
    <t>Yurdha Algifari</t>
  </si>
  <si>
    <t xml:space="preserve">Nomor Sertifikat : 30 /      /      -       / E - </t>
  </si>
  <si>
    <t xml:space="preserve">Nomor Surat Keterangan : 30 /        /        -      / E - </t>
  </si>
  <si>
    <t>Alat yang diuji dalam batas toleransi dan dinyatakan LAIK PAKAI, dimana hasil atau skor akhir sama dengan atau melampaui 70% berdasarkan Keputusan Direktur Jenderal Pelayanan Kesehatan No : HK.02.02/V/0412/2020</t>
  </si>
  <si>
    <t>Alat yang diuji melebihi batas toleransi dan dinyatakan TIDAK LAIK PAKAI, dimana hasil atau skor akhir dibawah 70% berdasarkan Keputusan Direktur Jenderal Pelayanan Kesehatan No : HK.02.02/V/0412/2020</t>
  </si>
  <si>
    <t>OK</t>
  </si>
  <si>
    <t>JOSS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</si>
  <si>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</si>
  <si>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</si>
  <si>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</si>
  <si>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</si>
  <si>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</si>
  <si>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</si>
  <si>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</si>
  <si>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</si>
  <si>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</si>
  <si>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</si>
  <si>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</si>
  <si>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</si>
  <si>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</si>
  <si>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</si>
  <si>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</si>
  <si>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</si>
  <si>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</si>
  <si>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</si>
  <si>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</si>
  <si>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</si>
  <si>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</si>
  <si>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</si>
  <si>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</si>
  <si>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</si>
  <si>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</si>
  <si>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</si>
  <si>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</si>
  <si>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</si>
  <si>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</si>
  <si>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</si>
  <si>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</si>
  <si>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</si>
  <si>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</si>
  <si>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</si>
  <si>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</si>
  <si>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</si>
  <si>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</si>
  <si>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</si>
  <si>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</si>
  <si>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</si>
  <si>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</si>
  <si>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</si>
  <si>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</si>
  <si>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</si>
  <si>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</si>
  <si>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</si>
  <si>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</si>
  <si>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</si>
  <si>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</si>
  <si>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</si>
  <si>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</si>
  <si>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</si>
  <si>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</si>
  <si>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</si>
  <si>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</si>
  <si>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</si>
  <si>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</si>
  <si>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</si>
  <si>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</si>
  <si>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</si>
  <si>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</si>
  <si>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</si>
  <si>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</si>
  <si>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</si>
  <si>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</si>
  <si>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</si>
  <si>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</si>
  <si>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</si>
  <si>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</si>
  <si>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</si>
  <si>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</si>
  <si>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</si>
  <si>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</si>
  <si>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</si>
  <si>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</si>
  <si>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</si>
  <si>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</si>
  <si>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</si>
  <si>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</si>
  <si>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</si>
  <si>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</si>
  <si>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</si>
  <si>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</si>
  <si>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</si>
  <si>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</si>
  <si>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</si>
  <si>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I</t>
  </si>
  <si>
    <t>ESA 615 (4670010)</t>
  </si>
  <si>
    <t>J</t>
  </si>
  <si>
    <t>K</t>
  </si>
  <si>
    <t>L</t>
  </si>
  <si>
    <t>No. Urut</t>
  </si>
  <si>
    <t>II</t>
  </si>
  <si>
    <t>III</t>
  </si>
  <si>
    <t>IV</t>
  </si>
  <si>
    <t>VI</t>
  </si>
  <si>
    <t>Koreksi Tegangan Jala jala</t>
  </si>
  <si>
    <t>Koreksi Resistansi Isolasi</t>
  </si>
  <si>
    <t>Koreksi Resistansi Pembumian</t>
  </si>
  <si>
    <t>Koreksi Arus Bocor (NO)</t>
  </si>
  <si>
    <t>Pembacaan Standar</t>
  </si>
  <si>
    <t>Pembacaan terkoreksi</t>
  </si>
  <si>
    <t>Hasil</t>
  </si>
  <si>
    <t>Koreksi Arus bocor (NC)</t>
  </si>
  <si>
    <t>U95 Jala-jala</t>
  </si>
  <si>
    <t>NO</t>
  </si>
  <si>
    <t xml:space="preserve"> Volt</t>
  </si>
  <si>
    <t>Electrical Safety Analyzer, Merek : Fluke, Model : ESA 620, SN : 1837056</t>
  </si>
  <si>
    <t>Hasil pengukuran keselamatan listrik tertelusur ke Satuan SI melalui PT. Kaliman ( LK-032-IDN 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</si>
  <si>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</si>
  <si>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</si>
  <si>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</si>
  <si>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</si>
  <si>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</si>
  <si>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</si>
  <si>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</si>
  <si>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</si>
  <si>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</si>
  <si>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</si>
  <si>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Jalan ABC</t>
  </si>
  <si>
    <t>Medical Freezer</t>
  </si>
  <si>
    <t>&gt; 2</t>
  </si>
  <si>
    <t>Setting</t>
  </si>
  <si>
    <t>30 September 2023</t>
  </si>
  <si>
    <t>INPUT DATA MEDICAL FREEZER</t>
  </si>
  <si>
    <t>Hasil Pengujian Medical Freezer</t>
  </si>
  <si>
    <t>Hasil Kalibrasi Medical Freezer</t>
  </si>
  <si>
    <t>Tempat</t>
  </si>
  <si>
    <t>Petugas</t>
  </si>
  <si>
    <t>Tanggal penerimaan alat</t>
  </si>
  <si>
    <t xml:space="preserve">Nama ruang                                    </t>
  </si>
  <si>
    <t>LEMBAR KERJA MEDICAL FREEZER</t>
  </si>
  <si>
    <t xml:space="preserve">Tanggal kalibrasi                          </t>
  </si>
  <si>
    <t>Tempat kalibrasi</t>
  </si>
  <si>
    <t xml:space="preserve">Nama ruang                                   </t>
  </si>
  <si>
    <t>Kondisi ruang</t>
  </si>
  <si>
    <t>Pemeriksaan kondisi fisik dan fungsi alat</t>
  </si>
  <si>
    <t>Pengujian keselamatan listrik</t>
  </si>
  <si>
    <t>Pengujian kinerja</t>
  </si>
  <si>
    <t>Alat ukur yang digunakan</t>
  </si>
  <si>
    <t>Pemeriksaan kondisi fisik dan fungsi komponen alat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</si>
  <si>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</si>
  <si>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</si>
  <si>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[-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</si>
</sst>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164" formatCode="0.000"/>
    <numFmt numFmtId="165" formatCode="0.00000000000"/>
    <numFmt numFmtId="166" formatCode="0.0"/>
    <numFmt numFmtId="167" formatCode="0.0000"/>
    <numFmt numFmtId="168" formatCode="0.0\ \ &quot;%RH&quot;"/>
    <numFmt numFmtId="169" formatCode="0.00000"/>
    <numFmt numFmtId="170" formatCode="&quot;±&quot;\ 0.0"/>
    <numFmt numFmtId="171" formatCode="0.00_ "/>
    <numFmt numFmtId="172" formatCode="0_ "/>
    <numFmt numFmtId="173" formatCode="0.0\ \ \ \ \ &quot;±&quot;"/>
    <numFmt numFmtId="174" formatCode="0.0\ \ \ \ \ \ \ &quot;±&quot;"/>
    <numFmt numFmtId="175" formatCode="0.0\ \ &quot;°&quot;\C"/>
    <numFmt numFmtId="176" formatCode="0.000%"/>
    <numFmt numFmtId="177" formatCode="0.0\ \V\o\l\t"/>
    <numFmt numFmtId="178" formatCode="0.0_ "/>
    <numFmt numFmtId="179" formatCode="0.00000000"/>
    <numFmt numFmtId="180" formatCode="0.000_ "/>
    <numFmt numFmtId="181" formatCode="0.0000000000000"/>
    <numFmt numFmtId="182" formatCode="\±\ 0.0"/>
    <numFmt numFmtId="183" formatCode="0.0\ \ &quot;MΩ&quot;"/>
    <numFmt numFmtId="184" formatCode="0.000\ \ &quot;Ω&quot;"/>
    <numFmt numFmtId="185" formatCode="0.0\ \ &quot;µA&quot;"/>
    <numFmt numFmtId="186" formatCode="0.000\ "/>
    <numFmt numFmtId="187" formatCode="\≤\ 0\ \ &quot;µA&quot;"/>
    <numFmt numFmtId="188" formatCode="[$-421]dd\ mmmm\ yyyy;@"/>
    <numFmt numFmtId="189" formatCode="0.0000000000"/>
    <numFmt numFmtId="190" formatCode="0.000000"/>
    <numFmt numFmtId="191" formatCode="0.000000000"/>
    <numFmt numFmtId="193" formatCode="0.000\ \ \ \ \ \ \ &quot;±&quot;"/>
    <numFmt numFmtId="194" formatCode="0\ \ &quot;°&quot;\C"/>
    <numFmt numFmtId="195" formatCode="yyyy\-mm\-dd;@"/>
    <numFmt numFmtId="196" formatCode="\-0.00"/>
    <numFmt numFmtId="197" formatCode="\≤\ 0\ \µ\A"/>
    <numFmt numFmtId="198" formatCode="\≤\ 0.000\ &quot;Ω&quot;"/>
    <numFmt numFmtId="199" formatCode="\≤\ 0.0\ &quot;Ω&quot;"/>
    <numFmt numFmtId="200" formatCode="&quot;±&quot;\ 0.00"/>
    <numFmt numFmtId="201" formatCode="[$-C09]d\ mmmm\ yyyy;@"/>
    <numFmt numFmtId="202" formatCode="\≤\ 0.0"/>
    <numFmt numFmtId="203" formatCode="\≤\ 0"/>
    <numFmt numFmtId="204" formatCode="\V\I\I\I.\ "/>
  </numFmts>
  <fonts count="116">
    <font>
      <sz val="10"/>
      <name val="Arial"/>
      <charset val="134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sz val="12"/>
      <color rgb="FFFFFFFF"/>
      <name val="Courier New"/>
      <family val="3"/>
    </font>
    <font>
      <b/>
      <sz val="10"/>
      <name val="Calibri"/>
      <family val="2"/>
      <scheme val="minor"/>
    </font>
    <font>
      <b/>
      <sz val="22"/>
      <name val="Calibri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Times New Roman"/>
      <family val="1"/>
    </font>
    <font>
      <u/>
      <sz val="10"/>
      <name val="Calibri"/>
      <family val="2"/>
    </font>
    <font>
      <vertAlign val="subscript"/>
      <sz val="12"/>
      <name val="Arial"/>
      <family val="2"/>
    </font>
    <font>
      <vertAlign val="subscript"/>
      <sz val="11"/>
      <name val="Calibri"/>
      <family val="2"/>
    </font>
    <font>
      <vertAlign val="subscript"/>
      <sz val="11"/>
      <color rgb="FFFF0000"/>
      <name val="Calibri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u/>
      <sz val="8"/>
      <name val="Arial"/>
      <family val="2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u/>
      <sz val="24"/>
      <name val="Times New Roman"/>
      <family val="1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sz val="12"/>
      <color theme="0" tint="-0.14999847407452621"/>
      <name val="Arial"/>
      <family val="2"/>
    </font>
    <font>
      <b/>
      <sz val="14"/>
      <color rgb="FFFFFF00"/>
      <name val="Arial"/>
      <family val="2"/>
    </font>
    <font>
      <b/>
      <sz val="16"/>
      <color rgb="FFFFFF00"/>
      <name val="Arial"/>
      <family val="2"/>
    </font>
    <font>
      <b/>
      <sz val="10"/>
      <color rgb="FFFF0000"/>
      <name val="Arial"/>
      <family val="2"/>
    </font>
    <font>
      <sz val="16"/>
      <name val="Calibri"/>
      <family val="2"/>
      <scheme val="minor"/>
    </font>
    <font>
      <b/>
      <sz val="30"/>
      <name val="Calibri"/>
      <family val="2"/>
      <scheme val="minor"/>
    </font>
    <font>
      <sz val="24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sz val="10"/>
      <color theme="0" tint="-0.49998474074526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8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60" fillId="0" borderId="0">
      <protection locked="0"/>
    </xf>
    <xf numFmtId="0" fontId="60" fillId="0" borderId="0">
      <protection locked="0"/>
    </xf>
    <xf numFmtId="0" fontId="67" fillId="17" borderId="0" applyNumberFormat="0" applyBorder="0" applyAlignment="0" applyProtection="0"/>
    <xf numFmtId="0" fontId="77" fillId="26" borderId="0" applyNumberFormat="0" applyBorder="0" applyAlignment="0" applyProtection="0"/>
    <xf numFmtId="0" fontId="60" fillId="0" borderId="0"/>
    <xf numFmtId="0" fontId="60" fillId="0" borderId="0"/>
  </cellStyleXfs>
  <cellXfs count="1347">
    <xf numFmtId="0" fontId="0" fillId="0" borderId="0" xfId="0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25" fillId="0" borderId="0" xfId="0" applyFont="1">
      <alignment vertical="center"/>
    </xf>
    <xf numFmtId="2" fontId="25" fillId="0" borderId="3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left" vertical="center"/>
      <protection locked="0"/>
    </xf>
    <xf numFmtId="0" fontId="25" fillId="11" borderId="0" xfId="0" applyFont="1" applyFill="1" applyAlignment="1" applyProtection="1">
      <alignment horizontal="left" vertical="center"/>
      <protection locked="0"/>
    </xf>
    <xf numFmtId="0" fontId="25" fillId="0" borderId="0" xfId="0" applyFo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164" fontId="25" fillId="0" borderId="0" xfId="0" applyNumberFormat="1" applyFont="1" applyAlignment="1" applyProtection="1">
      <alignment horizontal="right" vertical="center"/>
      <protection locked="0"/>
    </xf>
    <xf numFmtId="0" fontId="25" fillId="11" borderId="0" xfId="0" applyFont="1" applyFill="1" applyProtection="1">
      <alignment vertical="center"/>
      <protection locked="0"/>
    </xf>
    <xf numFmtId="166" fontId="25" fillId="0" borderId="0" xfId="0" applyNumberFormat="1" applyFont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4" fillId="11" borderId="0" xfId="0" applyFont="1" applyFill="1" applyProtection="1">
      <alignment vertical="center"/>
      <protection locked="0"/>
    </xf>
    <xf numFmtId="2" fontId="33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left" vertical="center"/>
    </xf>
    <xf numFmtId="0" fontId="2" fillId="11" borderId="0" xfId="0" applyFont="1" applyFill="1">
      <alignment vertical="center"/>
    </xf>
    <xf numFmtId="0" fontId="33" fillId="11" borderId="0" xfId="0" applyFont="1" applyFill="1">
      <alignment vertical="center"/>
    </xf>
    <xf numFmtId="166" fontId="33" fillId="0" borderId="0" xfId="0" applyNumberFormat="1" applyFont="1">
      <alignment vertical="center"/>
    </xf>
    <xf numFmtId="166" fontId="2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center" wrapText="1"/>
    </xf>
    <xf numFmtId="167" fontId="33" fillId="0" borderId="0" xfId="0" applyNumberFormat="1" applyFont="1" applyAlignment="1">
      <alignment horizontal="center" vertical="center"/>
    </xf>
    <xf numFmtId="167" fontId="33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66" fontId="33" fillId="0" borderId="0" xfId="0" applyNumberFormat="1" applyFont="1" applyAlignment="1" applyProtection="1">
      <alignment horizontal="center" vertical="center"/>
      <protection locked="0"/>
    </xf>
    <xf numFmtId="164" fontId="33" fillId="0" borderId="0" xfId="0" applyNumberFormat="1" applyFont="1" applyAlignment="1">
      <alignment horizontal="right" vertical="center"/>
    </xf>
    <xf numFmtId="166" fontId="33" fillId="0" borderId="0" xfId="0" applyNumberFormat="1" applyFont="1" applyAlignment="1">
      <alignment horizontal="right" vertical="center"/>
    </xf>
    <xf numFmtId="0" fontId="29" fillId="0" borderId="0" xfId="0" applyFont="1" applyAlignment="1" applyProtection="1">
      <alignment horizontal="right"/>
      <protection locked="0"/>
    </xf>
    <xf numFmtId="0" fontId="39" fillId="0" borderId="0" xfId="0" applyFont="1">
      <alignment vertical="center"/>
    </xf>
    <xf numFmtId="0" fontId="22" fillId="0" borderId="0" xfId="0" applyFont="1">
      <alignment vertical="center"/>
    </xf>
    <xf numFmtId="0" fontId="33" fillId="11" borderId="0" xfId="0" applyFont="1" applyFill="1" applyAlignment="1">
      <alignment horizontal="right" vertical="center"/>
    </xf>
    <xf numFmtId="0" fontId="4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0" borderId="30" xfId="0" applyFont="1" applyBorder="1">
      <alignment vertical="center"/>
    </xf>
    <xf numFmtId="2" fontId="33" fillId="0" borderId="3" xfId="0" applyNumberFormat="1" applyFont="1" applyBorder="1" applyAlignment="1">
      <alignment horizontal="center" vertical="center"/>
    </xf>
    <xf numFmtId="0" fontId="33" fillId="0" borderId="0" xfId="0" applyFont="1" applyProtection="1">
      <alignment vertical="center"/>
      <protection locked="0"/>
    </xf>
    <xf numFmtId="0" fontId="33" fillId="11" borderId="0" xfId="0" applyFont="1" applyFill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11" borderId="0" xfId="0" applyFont="1" applyFill="1" applyProtection="1">
      <alignment vertical="center"/>
      <protection locked="0"/>
    </xf>
    <xf numFmtId="0" fontId="33" fillId="11" borderId="0" xfId="0" applyFont="1" applyFill="1" applyProtection="1">
      <alignment vertical="center"/>
      <protection locked="0"/>
    </xf>
    <xf numFmtId="9" fontId="33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Protection="1">
      <alignment vertical="center"/>
      <protection locked="0"/>
    </xf>
    <xf numFmtId="0" fontId="40" fillId="0" borderId="0" xfId="0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166" fontId="33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9" fontId="33" fillId="0" borderId="0" xfId="0" applyNumberFormat="1" applyFont="1" applyAlignment="1">
      <alignment horizontal="center" vertical="center"/>
    </xf>
    <xf numFmtId="0" fontId="46" fillId="0" borderId="0" xfId="0" applyFont="1">
      <alignment vertical="center"/>
    </xf>
    <xf numFmtId="164" fontId="40" fillId="0" borderId="0" xfId="0" applyNumberFormat="1" applyFont="1">
      <alignment vertical="center"/>
    </xf>
    <xf numFmtId="0" fontId="40" fillId="0" borderId="0" xfId="0" applyFont="1">
      <alignment vertical="center"/>
    </xf>
    <xf numFmtId="9" fontId="33" fillId="0" borderId="0" xfId="0" applyNumberFormat="1" applyFont="1">
      <alignment vertical="center"/>
    </xf>
    <xf numFmtId="0" fontId="47" fillId="0" borderId="0" xfId="0" applyFont="1" applyProtection="1">
      <alignment vertical="center"/>
      <protection locked="0"/>
    </xf>
    <xf numFmtId="167" fontId="47" fillId="0" borderId="0" xfId="0" applyNumberFormat="1" applyFont="1" applyProtection="1">
      <alignment vertical="center"/>
      <protection locked="0"/>
    </xf>
    <xf numFmtId="167" fontId="47" fillId="0" borderId="0" xfId="0" applyNumberFormat="1" applyFont="1">
      <alignment vertical="center"/>
    </xf>
    <xf numFmtId="164" fontId="39" fillId="0" borderId="0" xfId="0" applyNumberFormat="1" applyFont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6" fillId="0" borderId="0" xfId="0" applyFont="1">
      <alignment vertical="center"/>
    </xf>
    <xf numFmtId="0" fontId="30" fillId="0" borderId="0" xfId="0" applyFont="1">
      <alignment vertical="center"/>
    </xf>
    <xf numFmtId="0" fontId="48" fillId="12" borderId="0" xfId="0" applyFont="1" applyFill="1">
      <alignment vertical="center"/>
    </xf>
    <xf numFmtId="0" fontId="30" fillId="11" borderId="0" xfId="0" applyFont="1" applyFill="1">
      <alignment vertical="center"/>
    </xf>
    <xf numFmtId="0" fontId="16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 vertical="center"/>
    </xf>
    <xf numFmtId="164" fontId="16" fillId="0" borderId="0" xfId="0" applyNumberFormat="1" applyFont="1">
      <alignment vertical="center"/>
    </xf>
    <xf numFmtId="0" fontId="51" fillId="5" borderId="0" xfId="0" applyFont="1" applyFill="1">
      <alignment vertical="center"/>
    </xf>
    <xf numFmtId="0" fontId="51" fillId="5" borderId="0" xfId="0" applyFont="1" applyFill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0" fontId="51" fillId="5" borderId="29" xfId="0" applyFont="1" applyFill="1" applyBorder="1">
      <alignment vertical="center"/>
    </xf>
    <xf numFmtId="0" fontId="51" fillId="5" borderId="30" xfId="0" applyFont="1" applyFill="1" applyBorder="1">
      <alignment vertical="center"/>
    </xf>
    <xf numFmtId="0" fontId="51" fillId="5" borderId="41" xfId="0" applyFont="1" applyFill="1" applyBorder="1">
      <alignment vertical="center"/>
    </xf>
    <xf numFmtId="0" fontId="52" fillId="5" borderId="46" xfId="0" applyFont="1" applyFill="1" applyBorder="1" applyAlignment="1">
      <alignment horizontal="center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2" fillId="5" borderId="68" xfId="0" applyFont="1" applyFill="1" applyBorder="1" applyAlignment="1">
      <alignment horizontal="center" vertical="center"/>
    </xf>
    <xf numFmtId="0" fontId="51" fillId="5" borderId="25" xfId="0" applyFont="1" applyFill="1" applyBorder="1" applyAlignment="1">
      <alignment horizontal="center" vertical="center"/>
    </xf>
    <xf numFmtId="0" fontId="16" fillId="5" borderId="0" xfId="0" applyFont="1" applyFill="1">
      <alignment vertical="center"/>
    </xf>
    <xf numFmtId="164" fontId="16" fillId="5" borderId="0" xfId="0" applyNumberFormat="1" applyFont="1" applyFill="1">
      <alignment vertical="center"/>
    </xf>
    <xf numFmtId="2" fontId="16" fillId="0" borderId="0" xfId="0" applyNumberFormat="1" applyFont="1" applyAlignment="1">
      <alignment horizontal="center" vertical="center"/>
    </xf>
    <xf numFmtId="2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2" fontId="30" fillId="11" borderId="0" xfId="0" applyNumberFormat="1" applyFont="1" applyFill="1" applyAlignment="1">
      <alignment horizontal="center" vertical="center"/>
    </xf>
    <xf numFmtId="0" fontId="19" fillId="0" borderId="0" xfId="0" applyFont="1">
      <alignment vertical="center"/>
    </xf>
    <xf numFmtId="1" fontId="37" fillId="0" borderId="3" xfId="0" applyNumberFormat="1" applyFont="1" applyBorder="1" applyAlignment="1">
      <alignment horizontal="center" vertical="center"/>
    </xf>
    <xf numFmtId="169" fontId="37" fillId="0" borderId="3" xfId="0" applyNumberFormat="1" applyFont="1" applyBorder="1" applyAlignment="1">
      <alignment horizontal="center" vertical="center"/>
    </xf>
    <xf numFmtId="167" fontId="37" fillId="0" borderId="3" xfId="0" applyNumberFormat="1" applyFont="1" applyBorder="1">
      <alignment vertical="center"/>
    </xf>
    <xf numFmtId="169" fontId="37" fillId="0" borderId="3" xfId="0" applyNumberFormat="1" applyFont="1" applyBorder="1">
      <alignment vertical="center"/>
    </xf>
    <xf numFmtId="2" fontId="37" fillId="0" borderId="3" xfId="0" applyNumberFormat="1" applyFont="1" applyBorder="1">
      <alignment vertical="center"/>
    </xf>
    <xf numFmtId="1" fontId="8" fillId="0" borderId="3" xfId="0" applyNumberFormat="1" applyFont="1" applyBorder="1" applyAlignment="1">
      <alignment horizontal="right"/>
    </xf>
    <xf numFmtId="2" fontId="19" fillId="0" borderId="3" xfId="0" applyNumberFormat="1" applyFont="1" applyBorder="1">
      <alignment vertical="center"/>
    </xf>
    <xf numFmtId="2" fontId="54" fillId="2" borderId="3" xfId="0" applyNumberFormat="1" applyFont="1" applyFill="1" applyBorder="1">
      <alignment vertical="center"/>
    </xf>
    <xf numFmtId="0" fontId="53" fillId="5" borderId="0" xfId="0" applyFont="1" applyFill="1">
      <alignment vertical="center"/>
    </xf>
    <xf numFmtId="1" fontId="51" fillId="5" borderId="3" xfId="0" applyNumberFormat="1" applyFont="1" applyFill="1" applyBorder="1" applyAlignment="1">
      <alignment horizontal="center" vertical="center"/>
    </xf>
    <xf numFmtId="169" fontId="51" fillId="0" borderId="3" xfId="0" applyNumberFormat="1" applyFont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0" fontId="52" fillId="5" borderId="25" xfId="0" applyFont="1" applyFill="1" applyBorder="1" applyAlignment="1">
      <alignment horizontal="center" vertical="center"/>
    </xf>
    <xf numFmtId="167" fontId="51" fillId="0" borderId="12" xfId="0" applyNumberFormat="1" applyFont="1" applyBorder="1">
      <alignment vertical="center"/>
    </xf>
    <xf numFmtId="167" fontId="51" fillId="0" borderId="14" xfId="0" applyNumberFormat="1" applyFont="1" applyBorder="1">
      <alignment vertical="center"/>
    </xf>
    <xf numFmtId="0" fontId="51" fillId="5" borderId="18" xfId="0" applyFont="1" applyFill="1" applyBorder="1">
      <alignment vertical="center"/>
    </xf>
    <xf numFmtId="167" fontId="51" fillId="0" borderId="23" xfId="0" applyNumberFormat="1" applyFont="1" applyBorder="1">
      <alignment vertical="center"/>
    </xf>
    <xf numFmtId="2" fontId="51" fillId="5" borderId="18" xfId="0" applyNumberFormat="1" applyFont="1" applyFill="1" applyBorder="1">
      <alignment vertical="center"/>
    </xf>
    <xf numFmtId="1" fontId="55" fillId="0" borderId="23" xfId="0" applyNumberFormat="1" applyFont="1" applyBorder="1" applyAlignment="1">
      <alignment horizontal="right"/>
    </xf>
    <xf numFmtId="2" fontId="53" fillId="5" borderId="24" xfId="0" applyNumberFormat="1" applyFont="1" applyFill="1" applyBorder="1">
      <alignment vertical="center"/>
    </xf>
    <xf numFmtId="2" fontId="53" fillId="2" borderId="26" xfId="0" applyNumberFormat="1" applyFont="1" applyFill="1" applyBorder="1">
      <alignment vertical="center"/>
    </xf>
    <xf numFmtId="2" fontId="16" fillId="0" borderId="0" xfId="0" applyNumberFormat="1" applyFont="1">
      <alignment vertical="center"/>
    </xf>
    <xf numFmtId="2" fontId="30" fillId="0" borderId="0" xfId="0" applyNumberFormat="1" applyFont="1" applyAlignment="1">
      <alignment horizontal="center" vertical="center"/>
    </xf>
    <xf numFmtId="2" fontId="16" fillId="11" borderId="0" xfId="0" applyNumberFormat="1" applyFont="1" applyFill="1">
      <alignment vertical="center"/>
    </xf>
    <xf numFmtId="0" fontId="30" fillId="11" borderId="0" xfId="0" applyFont="1" applyFill="1" applyAlignment="1">
      <alignment horizontal="center" vertical="center"/>
    </xf>
    <xf numFmtId="0" fontId="16" fillId="11" borderId="0" xfId="0" applyFont="1" applyFill="1">
      <alignment vertical="center"/>
    </xf>
    <xf numFmtId="165" fontId="30" fillId="0" borderId="0" xfId="0" applyNumberFormat="1" applyFont="1">
      <alignment vertical="center"/>
    </xf>
    <xf numFmtId="0" fontId="56" fillId="0" borderId="0" xfId="0" applyFont="1">
      <alignment vertical="center"/>
    </xf>
    <xf numFmtId="0" fontId="2" fillId="11" borderId="0" xfId="0" applyFont="1" applyFill="1" applyAlignment="1">
      <alignment horizontal="center" vertical="center"/>
    </xf>
    <xf numFmtId="0" fontId="33" fillId="0" borderId="50" xfId="0" applyFont="1" applyBorder="1">
      <alignment vertical="center"/>
    </xf>
    <xf numFmtId="0" fontId="33" fillId="0" borderId="56" xfId="0" applyFont="1" applyBorder="1">
      <alignment vertical="center"/>
    </xf>
    <xf numFmtId="0" fontId="33" fillId="0" borderId="0" xfId="0" applyFont="1" applyAlignment="1">
      <alignment horizontal="left" vertical="center"/>
    </xf>
    <xf numFmtId="0" fontId="44" fillId="11" borderId="0" xfId="0" applyFont="1" applyFill="1" applyAlignment="1" applyProtection="1">
      <alignment horizontal="center" vertical="center"/>
      <protection locked="0"/>
    </xf>
    <xf numFmtId="0" fontId="33" fillId="0" borderId="0" xfId="0" applyFont="1" applyAlignment="1"/>
    <xf numFmtId="0" fontId="33" fillId="11" borderId="0" xfId="0" applyFont="1" applyFill="1" applyAlignment="1"/>
    <xf numFmtId="0" fontId="33" fillId="11" borderId="0" xfId="0" applyFont="1" applyFill="1" applyAlignment="1">
      <alignment horizontal="right"/>
    </xf>
    <xf numFmtId="0" fontId="33" fillId="0" borderId="51" xfId="0" applyFont="1" applyBorder="1" applyAlignment="1"/>
    <xf numFmtId="0" fontId="33" fillId="11" borderId="51" xfId="0" applyFont="1" applyFill="1" applyBorder="1" applyAlignment="1"/>
    <xf numFmtId="0" fontId="33" fillId="11" borderId="51" xfId="0" applyFont="1" applyFill="1" applyBorder="1" applyAlignment="1">
      <alignment horizontal="right"/>
    </xf>
    <xf numFmtId="0" fontId="33" fillId="0" borderId="54" xfId="0" applyFont="1" applyBorder="1" applyAlignment="1"/>
    <xf numFmtId="0" fontId="33" fillId="11" borderId="54" xfId="0" applyFont="1" applyFill="1" applyBorder="1" applyAlignment="1"/>
    <xf numFmtId="0" fontId="33" fillId="11" borderId="54" xfId="0" applyFont="1" applyFill="1" applyBorder="1" applyAlignment="1">
      <alignment horizontal="right"/>
    </xf>
    <xf numFmtId="0" fontId="33" fillId="11" borderId="54" xfId="0" applyFont="1" applyFill="1" applyBorder="1">
      <alignment vertical="center"/>
    </xf>
    <xf numFmtId="0" fontId="33" fillId="11" borderId="54" xfId="0" applyFont="1" applyFill="1" applyBorder="1" applyAlignment="1">
      <alignment horizontal="right" vertical="center"/>
    </xf>
    <xf numFmtId="0" fontId="2" fillId="11" borderId="0" xfId="0" applyFont="1" applyFill="1" applyAlignment="1"/>
    <xf numFmtId="0" fontId="33" fillId="0" borderId="0" xfId="0" applyFont="1" applyAlignment="1">
      <alignment horizontal="right"/>
    </xf>
    <xf numFmtId="0" fontId="33" fillId="11" borderId="0" xfId="0" applyFont="1" applyFill="1" applyAlignment="1">
      <alignment horizontal="left"/>
    </xf>
    <xf numFmtId="0" fontId="2" fillId="0" borderId="0" xfId="0" applyFont="1" applyAlignment="1"/>
    <xf numFmtId="0" fontId="4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52" xfId="0" applyFont="1" applyBorder="1" applyAlignment="1">
      <alignment horizontal="center"/>
    </xf>
    <xf numFmtId="0" fontId="33" fillId="0" borderId="53" xfId="0" applyFont="1" applyBorder="1">
      <alignment vertical="center"/>
    </xf>
    <xf numFmtId="0" fontId="33" fillId="0" borderId="54" xfId="0" applyFont="1" applyBorder="1" applyAlignment="1">
      <alignment horizontal="center"/>
    </xf>
    <xf numFmtId="0" fontId="33" fillId="0" borderId="60" xfId="0" applyFont="1" applyBorder="1" applyAlignment="1"/>
    <xf numFmtId="0" fontId="33" fillId="0" borderId="53" xfId="0" applyFont="1" applyBorder="1" applyAlignment="1"/>
    <xf numFmtId="0" fontId="33" fillId="0" borderId="55" xfId="0" applyFont="1" applyBorder="1" applyAlignment="1">
      <alignment horizontal="center"/>
    </xf>
    <xf numFmtId="0" fontId="33" fillId="0" borderId="57" xfId="0" applyFont="1" applyBorder="1" applyAlignment="1"/>
    <xf numFmtId="0" fontId="33" fillId="0" borderId="57" xfId="0" applyFont="1" applyBorder="1" applyAlignment="1">
      <alignment horizontal="center"/>
    </xf>
    <xf numFmtId="0" fontId="33" fillId="0" borderId="61" xfId="0" applyFont="1" applyBorder="1" applyAlignment="1"/>
    <xf numFmtId="0" fontId="33" fillId="0" borderId="56" xfId="0" applyFont="1" applyBorder="1" applyAlignment="1"/>
    <xf numFmtId="0" fontId="33" fillId="0" borderId="49" xfId="0" applyFont="1" applyBorder="1" applyAlignment="1">
      <alignment horizontal="center"/>
    </xf>
    <xf numFmtId="0" fontId="33" fillId="0" borderId="51" xfId="0" applyFont="1" applyBorder="1" applyAlignment="1">
      <alignment horizontal="center"/>
    </xf>
    <xf numFmtId="0" fontId="33" fillId="0" borderId="59" xfId="0" applyFont="1" applyBorder="1" applyAlignment="1"/>
    <xf numFmtId="0" fontId="33" fillId="0" borderId="50" xfId="0" applyFont="1" applyBorder="1" applyAlignment="1"/>
    <xf numFmtId="1" fontId="33" fillId="0" borderId="55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7" fontId="33" fillId="0" borderId="0" xfId="0" applyNumberFormat="1" applyFont="1" applyAlignment="1">
      <alignment horizontal="center"/>
    </xf>
    <xf numFmtId="0" fontId="33" fillId="0" borderId="60" xfId="0" applyFont="1" applyBorder="1" applyAlignment="1">
      <alignment horizontal="center" vertical="center"/>
    </xf>
    <xf numFmtId="0" fontId="33" fillId="0" borderId="6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73" xfId="0" applyFont="1" applyBorder="1" applyAlignment="1">
      <alignment horizontal="center" vertical="center"/>
    </xf>
    <xf numFmtId="0" fontId="33" fillId="0" borderId="74" xfId="0" applyFont="1" applyBorder="1" applyAlignment="1"/>
    <xf numFmtId="164" fontId="33" fillId="0" borderId="0" xfId="0" applyNumberFormat="1" applyFont="1" applyAlignment="1">
      <alignment horizontal="right"/>
    </xf>
    <xf numFmtId="166" fontId="33" fillId="0" borderId="0" xfId="0" applyNumberFormat="1" applyFont="1" applyAlignment="1"/>
    <xf numFmtId="0" fontId="33" fillId="0" borderId="75" xfId="0" applyFont="1" applyBorder="1" applyAlignment="1"/>
    <xf numFmtId="166" fontId="33" fillId="0" borderId="0" xfId="0" applyNumberFormat="1" applyFont="1" applyAlignment="1">
      <alignment horizontal="left"/>
    </xf>
    <xf numFmtId="0" fontId="44" fillId="11" borderId="0" xfId="0" applyFont="1" applyFill="1" applyAlignment="1">
      <alignment horizontal="center"/>
    </xf>
    <xf numFmtId="167" fontId="51" fillId="0" borderId="3" xfId="0" applyNumberFormat="1" applyFont="1" applyBorder="1" applyAlignment="1">
      <alignment horizontal="center" vertical="center"/>
    </xf>
    <xf numFmtId="167" fontId="37" fillId="0" borderId="3" xfId="0" applyNumberFormat="1" applyFont="1" applyBorder="1" applyAlignment="1">
      <alignment horizontal="center" vertical="center"/>
    </xf>
    <xf numFmtId="167" fontId="51" fillId="5" borderId="3" xfId="0" applyNumberFormat="1" applyFont="1" applyFill="1" applyBorder="1" applyAlignment="1">
      <alignment horizontal="center" vertical="center"/>
    </xf>
    <xf numFmtId="167" fontId="51" fillId="10" borderId="3" xfId="0" applyNumberFormat="1" applyFont="1" applyFill="1" applyBorder="1" applyAlignment="1">
      <alignment horizontal="center" vertical="center"/>
    </xf>
    <xf numFmtId="167" fontId="51" fillId="5" borderId="25" xfId="0" applyNumberFormat="1" applyFont="1" applyFill="1" applyBorder="1" applyAlignment="1">
      <alignment horizontal="center" vertical="center"/>
    </xf>
    <xf numFmtId="181" fontId="37" fillId="0" borderId="3" xfId="0" applyNumberFormat="1" applyFont="1" applyBorder="1" applyAlignment="1">
      <alignment horizontal="center" vertical="center"/>
    </xf>
    <xf numFmtId="179" fontId="37" fillId="0" borderId="3" xfId="0" applyNumberFormat="1" applyFont="1" applyBorder="1">
      <alignment vertical="center"/>
    </xf>
    <xf numFmtId="0" fontId="33" fillId="0" borderId="0" xfId="0" applyFont="1" applyAlignment="1" applyProtection="1">
      <alignment horizontal="center" vertical="center"/>
      <protection locked="0"/>
    </xf>
    <xf numFmtId="166" fontId="33" fillId="0" borderId="0" xfId="0" applyNumberFormat="1" applyFont="1" applyAlignment="1" applyProtection="1">
      <alignment horizontal="left" vertical="center"/>
      <protection locked="0"/>
    </xf>
    <xf numFmtId="0" fontId="1" fillId="11" borderId="0" xfId="0" applyFont="1" applyFill="1">
      <alignment vertical="center"/>
    </xf>
    <xf numFmtId="0" fontId="40" fillId="11" borderId="0" xfId="0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 wrapText="1"/>
    </xf>
    <xf numFmtId="0" fontId="33" fillId="0" borderId="38" xfId="0" applyFont="1" applyBorder="1">
      <alignment vertical="center"/>
    </xf>
    <xf numFmtId="9" fontId="33" fillId="0" borderId="3" xfId="0" applyNumberFormat="1" applyFont="1" applyBorder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63" xfId="0" applyFont="1" applyBorder="1">
      <alignment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3" xfId="0" applyFont="1" applyBorder="1">
      <alignment vertical="center"/>
    </xf>
    <xf numFmtId="0" fontId="33" fillId="0" borderId="3" xfId="0" applyFont="1" applyBorder="1" applyAlignment="1">
      <alignment horizontal="right" vertical="center"/>
    </xf>
    <xf numFmtId="176" fontId="33" fillId="0" borderId="3" xfId="0" applyNumberFormat="1" applyFont="1" applyBorder="1">
      <alignment vertical="center"/>
    </xf>
    <xf numFmtId="171" fontId="33" fillId="0" borderId="3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166" fontId="33" fillId="0" borderId="0" xfId="0" applyNumberFormat="1" applyFont="1" applyProtection="1">
      <alignment vertical="center"/>
      <protection locked="0"/>
    </xf>
    <xf numFmtId="166" fontId="2" fillId="0" borderId="0" xfId="0" applyNumberFormat="1" applyFont="1" applyProtection="1">
      <alignment vertical="center"/>
      <protection locked="0"/>
    </xf>
    <xf numFmtId="166" fontId="33" fillId="0" borderId="0" xfId="0" applyNumberFormat="1" applyFont="1" applyAlignment="1" applyProtection="1">
      <alignment horizontal="left" vertical="center" wrapText="1"/>
      <protection locked="0"/>
    </xf>
    <xf numFmtId="166" fontId="2" fillId="0" borderId="0" xfId="0" applyNumberFormat="1" applyFont="1" applyAlignment="1" applyProtection="1">
      <alignment horizontal="left" vertical="center"/>
      <protection locked="0"/>
    </xf>
    <xf numFmtId="166" fontId="33" fillId="0" borderId="0" xfId="0" applyNumberFormat="1" applyFont="1" applyAlignment="1" applyProtection="1">
      <alignment horizontal="right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11" borderId="0" xfId="0" applyFont="1" applyFill="1">
      <alignment vertical="center"/>
    </xf>
    <xf numFmtId="0" fontId="34" fillId="11" borderId="0" xfId="0" applyFont="1" applyFill="1">
      <alignment vertical="center"/>
    </xf>
    <xf numFmtId="0" fontId="25" fillId="11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right"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175" fontId="25" fillId="0" borderId="0" xfId="0" applyNumberFormat="1" applyFont="1" applyAlignment="1">
      <alignment horizontal="left" vertical="center"/>
    </xf>
    <xf numFmtId="0" fontId="35" fillId="11" borderId="0" xfId="0" applyFont="1" applyFill="1">
      <alignment vertical="center"/>
    </xf>
    <xf numFmtId="174" fontId="25" fillId="11" borderId="0" xfId="0" applyNumberFormat="1" applyFont="1" applyFill="1">
      <alignment vertical="center"/>
    </xf>
    <xf numFmtId="168" fontId="25" fillId="0" borderId="0" xfId="0" applyNumberFormat="1" applyFont="1">
      <alignment vertical="center"/>
    </xf>
    <xf numFmtId="177" fontId="25" fillId="11" borderId="0" xfId="0" applyNumberFormat="1" applyFont="1" applyFill="1">
      <alignment vertical="center"/>
    </xf>
    <xf numFmtId="0" fontId="3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25" fillId="0" borderId="38" xfId="0" applyFont="1" applyBorder="1">
      <alignment vertical="center"/>
    </xf>
    <xf numFmtId="0" fontId="25" fillId="0" borderId="30" xfId="0" applyFont="1" applyBorder="1">
      <alignment vertical="center"/>
    </xf>
    <xf numFmtId="0" fontId="25" fillId="0" borderId="46" xfId="0" applyFont="1" applyBorder="1">
      <alignment vertical="center"/>
    </xf>
    <xf numFmtId="1" fontId="25" fillId="0" borderId="49" xfId="0" applyNumberFormat="1" applyFont="1" applyBorder="1" applyAlignment="1">
      <alignment horizontal="center" vertical="center"/>
    </xf>
    <xf numFmtId="0" fontId="25" fillId="0" borderId="50" xfId="0" applyFont="1" applyBorder="1" applyAlignment="1">
      <alignment horizontal="left" vertical="center"/>
    </xf>
    <xf numFmtId="0" fontId="25" fillId="0" borderId="51" xfId="0" applyFont="1" applyBorder="1" applyAlignment="1">
      <alignment horizontal="left" vertical="center"/>
    </xf>
    <xf numFmtId="0" fontId="25" fillId="0" borderId="51" xfId="0" applyFont="1" applyBorder="1">
      <alignment vertical="center"/>
    </xf>
    <xf numFmtId="0" fontId="25" fillId="0" borderId="59" xfId="0" applyFont="1" applyBorder="1" applyAlignment="1">
      <alignment horizontal="left" vertical="center"/>
    </xf>
    <xf numFmtId="166" fontId="25" fillId="0" borderId="50" xfId="0" applyNumberFormat="1" applyFont="1" applyBorder="1" applyAlignment="1">
      <alignment horizontal="right" vertical="center"/>
    </xf>
    <xf numFmtId="1" fontId="25" fillId="0" borderId="5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left" vertical="center"/>
    </xf>
    <xf numFmtId="0" fontId="25" fillId="0" borderId="54" xfId="0" applyFont="1" applyBorder="1" applyAlignment="1">
      <alignment horizontal="left" vertical="center"/>
    </xf>
    <xf numFmtId="0" fontId="25" fillId="0" borderId="54" xfId="0" applyFont="1" applyBorder="1">
      <alignment vertical="center"/>
    </xf>
    <xf numFmtId="0" fontId="25" fillId="0" borderId="60" xfId="0" applyFont="1" applyBorder="1" applyAlignment="1">
      <alignment horizontal="left" vertical="center"/>
    </xf>
    <xf numFmtId="166" fontId="25" fillId="0" borderId="53" xfId="0" applyNumberFormat="1" applyFont="1" applyBorder="1" applyAlignment="1">
      <alignment horizontal="right" vertical="center"/>
    </xf>
    <xf numFmtId="1" fontId="25" fillId="0" borderId="55" xfId="0" applyNumberFormat="1" applyFont="1" applyBorder="1" applyAlignment="1">
      <alignment horizontal="center" vertical="center"/>
    </xf>
    <xf numFmtId="0" fontId="25" fillId="0" borderId="56" xfId="0" applyFont="1" applyBorder="1" applyAlignment="1">
      <alignment horizontal="left" vertical="center"/>
    </xf>
    <xf numFmtId="0" fontId="25" fillId="0" borderId="57" xfId="0" applyFont="1" applyBorder="1" applyAlignment="1">
      <alignment horizontal="left" vertical="center"/>
    </xf>
    <xf numFmtId="0" fontId="25" fillId="0" borderId="57" xfId="0" applyFont="1" applyBorder="1">
      <alignment vertical="center"/>
    </xf>
    <xf numFmtId="0" fontId="25" fillId="0" borderId="61" xfId="0" applyFont="1" applyBorder="1" applyAlignment="1">
      <alignment horizontal="left" vertical="center"/>
    </xf>
    <xf numFmtId="166" fontId="25" fillId="0" borderId="56" xfId="0" applyNumberFormat="1" applyFont="1" applyBorder="1" applyAlignment="1">
      <alignment horizontal="right" vertical="center"/>
    </xf>
    <xf numFmtId="1" fontId="25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25" fillId="0" borderId="44" xfId="0" applyFont="1" applyBorder="1">
      <alignment vertical="center"/>
    </xf>
    <xf numFmtId="2" fontId="25" fillId="0" borderId="38" xfId="0" applyNumberFormat="1" applyFont="1" applyBorder="1">
      <alignment vertical="center"/>
    </xf>
    <xf numFmtId="166" fontId="25" fillId="0" borderId="46" xfId="0" applyNumberFormat="1" applyFont="1" applyBorder="1">
      <alignment vertical="center"/>
    </xf>
    <xf numFmtId="166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34" fillId="0" borderId="0" xfId="0" applyFont="1" applyProtection="1">
      <alignment vertical="center"/>
      <protection locked="0"/>
    </xf>
    <xf numFmtId="0" fontId="25" fillId="11" borderId="0" xfId="0" applyFont="1" applyFill="1" applyAlignment="1" applyProtection="1">
      <alignment horizontal="center" vertical="center"/>
      <protection locked="0"/>
    </xf>
    <xf numFmtId="0" fontId="38" fillId="11" borderId="0" xfId="0" applyFont="1" applyFill="1" applyAlignment="1" applyProtection="1">
      <alignment horizontal="center" vertical="center"/>
      <protection locked="0"/>
    </xf>
    <xf numFmtId="166" fontId="25" fillId="0" borderId="0" xfId="0" applyNumberFormat="1" applyFont="1" applyAlignment="1" applyProtection="1">
      <alignment horizontal="left" vertical="center"/>
      <protection locked="0"/>
    </xf>
    <xf numFmtId="164" fontId="25" fillId="0" borderId="0" xfId="0" applyNumberFormat="1" applyFont="1" applyAlignment="1" applyProtection="1">
      <alignment horizontal="center" vertical="center"/>
      <protection locked="0"/>
    </xf>
    <xf numFmtId="166" fontId="25" fillId="0" borderId="0" xfId="0" applyNumberFormat="1" applyFont="1" applyProtection="1">
      <alignment vertical="center"/>
      <protection locked="0"/>
    </xf>
    <xf numFmtId="166" fontId="34" fillId="0" borderId="0" xfId="0" applyNumberFormat="1" applyFont="1" applyProtection="1">
      <alignment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166" fontId="25" fillId="0" borderId="0" xfId="0" applyNumberFormat="1" applyFont="1" applyAlignment="1" applyProtection="1">
      <alignment horizontal="left" vertical="center" wrapText="1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167" fontId="34" fillId="0" borderId="0" xfId="0" applyNumberFormat="1" applyFont="1" applyProtection="1">
      <alignment vertical="center"/>
      <protection locked="0"/>
    </xf>
    <xf numFmtId="164" fontId="25" fillId="0" borderId="0" xfId="0" applyNumberFormat="1" applyFont="1" applyProtection="1">
      <alignment vertical="center"/>
      <protection locked="0"/>
    </xf>
    <xf numFmtId="167" fontId="34" fillId="0" borderId="0" xfId="0" applyNumberFormat="1" applyFont="1" applyAlignment="1" applyProtection="1">
      <alignment horizontal="center" vertical="center"/>
      <protection locked="0"/>
    </xf>
    <xf numFmtId="167" fontId="25" fillId="0" borderId="0" xfId="0" applyNumberFormat="1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2" fontId="33" fillId="0" borderId="0" xfId="0" applyNumberFormat="1" applyFont="1">
      <alignment vertical="center"/>
    </xf>
    <xf numFmtId="182" fontId="33" fillId="0" borderId="0" xfId="0" applyNumberFormat="1" applyFont="1">
      <alignment vertical="center"/>
    </xf>
    <xf numFmtId="182" fontId="33" fillId="0" borderId="0" xfId="0" applyNumberFormat="1" applyFont="1" applyAlignment="1">
      <alignment horizontal="center" vertical="center"/>
    </xf>
    <xf numFmtId="9" fontId="22" fillId="0" borderId="0" xfId="0" applyNumberFormat="1" applyFont="1">
      <alignment vertical="center"/>
    </xf>
    <xf numFmtId="0" fontId="33" fillId="16" borderId="0" xfId="2" applyFont="1" applyFill="1">
      <protection locked="0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6" xfId="0" applyFont="1" applyBorder="1" applyAlignment="1">
      <alignment horizontal="left" vertical="center"/>
    </xf>
    <xf numFmtId="166" fontId="33" fillId="0" borderId="3" xfId="0" applyNumberFormat="1" applyFont="1" applyBorder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3" fillId="3" borderId="0" xfId="0" applyFont="1" applyFill="1" applyProtection="1">
      <alignment vertical="center"/>
      <protection locked="0"/>
    </xf>
    <xf numFmtId="2" fontId="0" fillId="0" borderId="0" xfId="0" applyNumberFormat="1" applyAlignment="1">
      <alignment horizontal="center" vertical="center"/>
    </xf>
    <xf numFmtId="2" fontId="60" fillId="0" borderId="0" xfId="0" applyNumberFormat="1" applyFon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0" fillId="3" borderId="45" xfId="0" applyNumberFormat="1" applyFont="1" applyFill="1" applyBorder="1" applyAlignment="1">
      <alignment horizontal="center" vertical="center"/>
    </xf>
    <xf numFmtId="2" fontId="10" fillId="3" borderId="34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1" fontId="37" fillId="0" borderId="0" xfId="0" applyNumberFormat="1" applyFont="1" applyAlignment="1">
      <alignment horizontal="center" vertical="center"/>
    </xf>
    <xf numFmtId="166" fontId="25" fillId="0" borderId="38" xfId="0" applyNumberFormat="1" applyFont="1" applyBorder="1" applyAlignment="1">
      <alignment horizontal="right" vertical="center"/>
    </xf>
    <xf numFmtId="175" fontId="33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 wrapText="1"/>
    </xf>
    <xf numFmtId="176" fontId="33" fillId="0" borderId="44" xfId="0" applyNumberFormat="1" applyFont="1" applyBorder="1">
      <alignment vertical="center"/>
    </xf>
    <xf numFmtId="0" fontId="33" fillId="0" borderId="58" xfId="0" applyFont="1" applyBorder="1">
      <alignment vertical="center"/>
    </xf>
    <xf numFmtId="0" fontId="25" fillId="0" borderId="0" xfId="0" applyFont="1" applyAlignment="1" applyProtection="1">
      <alignment horizontal="right" vertical="center"/>
      <protection locked="0"/>
    </xf>
    <xf numFmtId="0" fontId="2" fillId="3" borderId="0" xfId="0" applyFont="1" applyFill="1" applyProtection="1">
      <alignment vertical="center"/>
      <protection locked="0"/>
    </xf>
    <xf numFmtId="175" fontId="25" fillId="0" borderId="0" xfId="0" applyNumberFormat="1" applyFont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3" xfId="0" applyFont="1" applyBorder="1" applyAlignment="1">
      <alignment horizontal="left" vertical="center"/>
    </xf>
    <xf numFmtId="0" fontId="76" fillId="0" borderId="38" xfId="0" applyFont="1" applyBorder="1" applyAlignment="1">
      <alignment horizontal="left" vertical="center"/>
    </xf>
    <xf numFmtId="188" fontId="76" fillId="0" borderId="3" xfId="0" applyNumberFormat="1" applyFont="1" applyBorder="1" applyAlignment="1">
      <alignment horizontal="center" vertical="center"/>
    </xf>
    <xf numFmtId="0" fontId="76" fillId="0" borderId="3" xfId="0" applyFont="1" applyBorder="1" applyAlignment="1">
      <alignment horizontal="left" vertical="center" wrapText="1"/>
    </xf>
    <xf numFmtId="0" fontId="60" fillId="25" borderId="3" xfId="0" applyFont="1" applyFill="1" applyBorder="1" applyAlignment="1" applyProtection="1">
      <alignment vertical="top" wrapText="1"/>
      <protection hidden="1"/>
    </xf>
    <xf numFmtId="0" fontId="60" fillId="25" borderId="38" xfId="0" applyFont="1" applyFill="1" applyBorder="1" applyAlignment="1" applyProtection="1">
      <alignment vertical="top" wrapText="1"/>
      <protection hidden="1"/>
    </xf>
    <xf numFmtId="0" fontId="76" fillId="0" borderId="3" xfId="0" applyFont="1" applyBorder="1" applyAlignment="1">
      <alignment wrapText="1"/>
    </xf>
    <xf numFmtId="0" fontId="76" fillId="0" borderId="0" xfId="0" applyFont="1" applyAlignment="1"/>
    <xf numFmtId="0" fontId="76" fillId="0" borderId="3" xfId="0" applyFont="1" applyBorder="1" applyAlignment="1">
      <alignment horizontal="center"/>
    </xf>
    <xf numFmtId="0" fontId="76" fillId="0" borderId="3" xfId="0" applyFont="1" applyBorder="1" applyAlignment="1" applyProtection="1">
      <alignment horizontal="left" vertical="center" wrapText="1"/>
      <protection locked="0"/>
    </xf>
    <xf numFmtId="0" fontId="76" fillId="0" borderId="16" xfId="0" applyFont="1" applyBorder="1">
      <alignment vertical="center"/>
    </xf>
    <xf numFmtId="0" fontId="76" fillId="0" borderId="33" xfId="0" applyFont="1" applyBorder="1">
      <alignment vertical="center"/>
    </xf>
    <xf numFmtId="0" fontId="76" fillId="0" borderId="21" xfId="0" applyFont="1" applyBorder="1">
      <alignment vertical="center"/>
    </xf>
    <xf numFmtId="0" fontId="60" fillId="0" borderId="0" xfId="0" applyFont="1" applyAlignmen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7" fillId="0" borderId="3" xfId="0" quotePrefix="1" applyFont="1" applyBorder="1">
      <alignment vertical="center"/>
    </xf>
    <xf numFmtId="0" fontId="0" fillId="18" borderId="0" xfId="0" applyFill="1">
      <alignment vertical="center"/>
    </xf>
    <xf numFmtId="2" fontId="0" fillId="0" borderId="2" xfId="0" applyNumberFormat="1" applyBorder="1" applyAlignment="1"/>
    <xf numFmtId="2" fontId="7" fillId="4" borderId="26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4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4" borderId="3" xfId="0" applyNumberFormat="1" applyFill="1" applyBorder="1" applyAlignment="1">
      <alignment horizontal="center"/>
    </xf>
    <xf numFmtId="2" fontId="60" fillId="4" borderId="3" xfId="0" quotePrefix="1" applyNumberFormat="1" applyFont="1" applyFill="1" applyBorder="1" applyAlignment="1">
      <alignment horizontal="center"/>
    </xf>
    <xf numFmtId="2" fontId="10" fillId="0" borderId="0" xfId="0" applyNumberFormat="1" applyFont="1" applyAlignment="1"/>
    <xf numFmtId="2" fontId="0" fillId="3" borderId="0" xfId="0" applyNumberFormat="1" applyFill="1" applyAlignment="1"/>
    <xf numFmtId="2" fontId="10" fillId="2" borderId="6" xfId="0" applyNumberFormat="1" applyFont="1" applyFill="1" applyBorder="1" applyAlignment="1"/>
    <xf numFmtId="2" fontId="10" fillId="3" borderId="43" xfId="0" applyNumberFormat="1" applyFont="1" applyFill="1" applyBorder="1" applyAlignment="1">
      <alignment horizontal="center" vertical="center"/>
    </xf>
    <xf numFmtId="2" fontId="10" fillId="3" borderId="33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Alignment="1"/>
    <xf numFmtId="2" fontId="10" fillId="3" borderId="3" xfId="0" applyNumberFormat="1" applyFont="1" applyFill="1" applyBorder="1" applyAlignment="1">
      <alignment horizontal="center" vertical="center"/>
    </xf>
    <xf numFmtId="2" fontId="10" fillId="3" borderId="4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3" borderId="4" xfId="0" applyNumberFormat="1" applyFont="1" applyFill="1" applyBorder="1" applyAlignment="1"/>
    <xf numFmtId="0" fontId="77" fillId="26" borderId="0" xfId="4" applyAlignment="1">
      <alignment vertical="center"/>
    </xf>
    <xf numFmtId="2" fontId="0" fillId="0" borderId="0" xfId="0" applyNumberFormat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0" fontId="25" fillId="11" borderId="0" xfId="0" applyFont="1" applyFill="1" applyAlignment="1">
      <alignment horizontal="left" vertical="center"/>
    </xf>
    <xf numFmtId="2" fontId="7" fillId="27" borderId="18" xfId="0" applyNumberFormat="1" applyFont="1" applyFill="1" applyBorder="1" applyAlignment="1">
      <alignment horizontal="center" vertical="center"/>
    </xf>
    <xf numFmtId="2" fontId="7" fillId="4" borderId="2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2" fontId="60" fillId="4" borderId="3" xfId="0" applyNumberFormat="1" applyFont="1" applyFill="1" applyBorder="1" applyAlignment="1">
      <alignment horizontal="center" vertical="center"/>
    </xf>
    <xf numFmtId="2" fontId="60" fillId="27" borderId="3" xfId="0" applyNumberFormat="1" applyFont="1" applyFill="1" applyBorder="1" applyAlignment="1">
      <alignment horizontal="center"/>
    </xf>
    <xf numFmtId="2" fontId="60" fillId="4" borderId="3" xfId="0" quotePrefix="1" applyNumberFormat="1" applyFont="1" applyFill="1" applyBorder="1" applyAlignment="1">
      <alignment horizontal="center" vertical="center"/>
    </xf>
    <xf numFmtId="2" fontId="7" fillId="27" borderId="2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/>
    <xf numFmtId="2" fontId="0" fillId="0" borderId="9" xfId="0" applyNumberFormat="1" applyBorder="1" applyAlignment="1"/>
    <xf numFmtId="2" fontId="0" fillId="4" borderId="3" xfId="0" applyNumberForma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60" fillId="3" borderId="0" xfId="0" quotePrefix="1" applyNumberFormat="1" applyFont="1" applyFill="1" applyAlignment="1">
      <alignment horizontal="center"/>
    </xf>
    <xf numFmtId="2" fontId="60" fillId="3" borderId="0" xfId="0" applyNumberFormat="1" applyFont="1" applyFill="1" applyAlignment="1">
      <alignment horizontal="center"/>
    </xf>
    <xf numFmtId="1" fontId="5" fillId="4" borderId="3" xfId="0" quotePrefix="1" applyNumberFormat="1" applyFont="1" applyFill="1" applyBorder="1" applyAlignment="1">
      <alignment horizontal="center" vertical="center"/>
    </xf>
    <xf numFmtId="1" fontId="5" fillId="27" borderId="3" xfId="0" applyNumberFormat="1" applyFont="1" applyFill="1" applyBorder="1" applyAlignment="1">
      <alignment horizontal="center" vertical="center"/>
    </xf>
    <xf numFmtId="2" fontId="60" fillId="4" borderId="3" xfId="0" applyNumberFormat="1" applyFont="1" applyFill="1" applyBorder="1" applyAlignment="1">
      <alignment horizontal="center"/>
    </xf>
    <xf numFmtId="2" fontId="60" fillId="0" borderId="0" xfId="0" applyNumberFormat="1" applyFont="1" applyAlignment="1">
      <alignment horizontal="center"/>
    </xf>
    <xf numFmtId="2" fontId="60" fillId="0" borderId="0" xfId="0" quotePrefix="1" applyNumberFormat="1" applyFont="1" applyAlignment="1">
      <alignment horizontal="center"/>
    </xf>
    <xf numFmtId="1" fontId="0" fillId="0" borderId="0" xfId="0" applyNumberFormat="1" applyAlignment="1"/>
    <xf numFmtId="2" fontId="10" fillId="27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0" fillId="27" borderId="3" xfId="0" applyNumberFormat="1" applyFont="1" applyFill="1" applyBorder="1" applyAlignment="1">
      <alignment horizontal="center"/>
    </xf>
    <xf numFmtId="2" fontId="10" fillId="27" borderId="23" xfId="0" applyNumberFormat="1" applyFont="1" applyFill="1" applyBorder="1" applyAlignment="1">
      <alignment horizontal="center"/>
    </xf>
    <xf numFmtId="2" fontId="7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7" fillId="5" borderId="26" xfId="0" applyNumberFormat="1" applyFont="1" applyFill="1" applyBorder="1" applyAlignment="1">
      <alignment horizontal="center"/>
    </xf>
    <xf numFmtId="2" fontId="10" fillId="27" borderId="25" xfId="0" applyNumberFormat="1" applyFont="1" applyFill="1" applyBorder="1" applyAlignment="1">
      <alignment horizontal="center"/>
    </xf>
    <xf numFmtId="2" fontId="10" fillId="27" borderId="26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/>
    <xf numFmtId="2" fontId="10" fillId="3" borderId="33" xfId="0" applyNumberFormat="1" applyFont="1" applyFill="1" applyBorder="1" applyAlignment="1">
      <alignment horizontal="center"/>
    </xf>
    <xf numFmtId="2" fontId="10" fillId="3" borderId="34" xfId="0" applyNumberFormat="1" applyFont="1" applyFill="1" applyBorder="1" applyAlignment="1">
      <alignment horizontal="center"/>
    </xf>
    <xf numFmtId="2" fontId="10" fillId="27" borderId="13" xfId="0" applyNumberFormat="1" applyFont="1" applyFill="1" applyBorder="1" applyAlignment="1">
      <alignment horizontal="center"/>
    </xf>
    <xf numFmtId="2" fontId="10" fillId="27" borderId="14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2" fontId="10" fillId="27" borderId="26" xfId="0" applyNumberFormat="1" applyFont="1" applyFill="1" applyBorder="1" applyAlignment="1">
      <alignment horizontal="center" vertical="center"/>
    </xf>
    <xf numFmtId="2" fontId="10" fillId="27" borderId="14" xfId="0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60" fillId="0" borderId="24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0" fillId="4" borderId="23" xfId="0" applyNumberForma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60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0" fillId="27" borderId="3" xfId="0" applyNumberFormat="1" applyFont="1" applyFill="1" applyBorder="1">
      <alignment vertical="center"/>
    </xf>
    <xf numFmtId="1" fontId="10" fillId="27" borderId="3" xfId="0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33" fillId="0" borderId="23" xfId="0" applyNumberFormat="1" applyFont="1" applyBorder="1" applyAlignment="1">
      <alignment horizontal="left" vertical="center"/>
    </xf>
    <xf numFmtId="2" fontId="10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0" fillId="27" borderId="3" xfId="0" applyNumberFormat="1" applyFont="1" applyFill="1" applyBorder="1" applyAlignment="1">
      <alignment horizontal="left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7" fillId="0" borderId="0" xfId="0" applyNumberFormat="1" applyFont="1" applyAlignment="1"/>
    <xf numFmtId="2" fontId="0" fillId="3" borderId="4" xfId="0" applyNumberFormat="1" applyFill="1" applyBorder="1" applyAlignment="1"/>
    <xf numFmtId="2" fontId="2" fillId="3" borderId="4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60" fillId="0" borderId="3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 wrapText="1"/>
    </xf>
    <xf numFmtId="2" fontId="60" fillId="0" borderId="0" xfId="0" quotePrefix="1" applyNumberFormat="1" applyFont="1" applyAlignment="1">
      <alignment horizontal="center" vertical="center"/>
    </xf>
    <xf numFmtId="2" fontId="60" fillId="0" borderId="4" xfId="0" applyNumberFormat="1" applyFont="1" applyBorder="1" applyAlignment="1"/>
    <xf numFmtId="2" fontId="60" fillId="0" borderId="0" xfId="0" applyNumberFormat="1" applyFont="1" applyAlignment="1"/>
    <xf numFmtId="2" fontId="60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/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60" fillId="0" borderId="3" xfId="0" applyNumberFormat="1" applyFont="1" applyBorder="1" applyAlignment="1"/>
    <xf numFmtId="2" fontId="5" fillId="24" borderId="3" xfId="0" applyNumberFormat="1" applyFont="1" applyFill="1" applyBorder="1" applyAlignment="1">
      <alignment horizontal="center" vertical="center"/>
    </xf>
    <xf numFmtId="2" fontId="60" fillId="3" borderId="3" xfId="0" applyNumberFormat="1" applyFont="1" applyFill="1" applyBorder="1" applyAlignment="1">
      <alignment horizontal="center" vertical="center" wrapText="1"/>
    </xf>
    <xf numFmtId="2" fontId="60" fillId="3" borderId="0" xfId="0" applyNumberFormat="1" applyFont="1" applyFill="1" applyAlignment="1">
      <alignment horizontal="center" vertical="center" wrapText="1"/>
    </xf>
    <xf numFmtId="2" fontId="60" fillId="3" borderId="0" xfId="0" applyNumberFormat="1" applyFont="1" applyFill="1" applyAlignment="1">
      <alignment horizontal="center" vertical="center"/>
    </xf>
    <xf numFmtId="2" fontId="60" fillId="3" borderId="0" xfId="0" applyNumberFormat="1" applyFont="1" applyFill="1" applyAlignment="1"/>
    <xf numFmtId="2" fontId="60" fillId="3" borderId="2" xfId="0" applyNumberFormat="1" applyFont="1" applyFill="1" applyBorder="1" applyAlignment="1"/>
    <xf numFmtId="2" fontId="12" fillId="3" borderId="0" xfId="0" applyNumberFormat="1" applyFont="1" applyFill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2" fontId="60" fillId="4" borderId="12" xfId="0" applyNumberFormat="1" applyFont="1" applyFill="1" applyBorder="1" applyAlignment="1">
      <alignment horizontal="center" vertical="center" wrapText="1"/>
    </xf>
    <xf numFmtId="2" fontId="10" fillId="3" borderId="37" xfId="0" applyNumberFormat="1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 wrapText="1"/>
    </xf>
    <xf numFmtId="2" fontId="60" fillId="4" borderId="18" xfId="0" applyNumberFormat="1" applyFont="1" applyFill="1" applyBorder="1" applyAlignment="1">
      <alignment horizontal="center" vertical="center" wrapText="1"/>
    </xf>
    <xf numFmtId="164" fontId="10" fillId="3" borderId="22" xfId="0" applyNumberFormat="1" applyFont="1" applyFill="1" applyBorder="1" applyAlignment="1">
      <alignment horizontal="center" vertical="center"/>
    </xf>
    <xf numFmtId="2" fontId="17" fillId="3" borderId="0" xfId="0" applyNumberFormat="1" applyFont="1" applyFill="1">
      <alignment vertical="center"/>
    </xf>
    <xf numFmtId="2" fontId="60" fillId="3" borderId="0" xfId="0" applyNumberFormat="1" applyFont="1" applyFill="1" applyAlignment="1">
      <alignment horizontal="right" vertical="center"/>
    </xf>
    <xf numFmtId="2" fontId="10" fillId="3" borderId="76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2" fontId="79" fillId="4" borderId="24" xfId="0" applyNumberFormat="1" applyFont="1" applyFill="1" applyBorder="1" applyAlignment="1">
      <alignment horizontal="center" vertical="center" wrapText="1"/>
    </xf>
    <xf numFmtId="2" fontId="80" fillId="3" borderId="25" xfId="0" applyNumberFormat="1" applyFont="1" applyFill="1" applyBorder="1" applyAlignment="1">
      <alignment horizontal="center" vertical="center"/>
    </xf>
    <xf numFmtId="164" fontId="81" fillId="3" borderId="26" xfId="0" applyNumberFormat="1" applyFont="1" applyFill="1" applyBorder="1" applyAlignment="1">
      <alignment horizontal="center" vertical="center"/>
    </xf>
    <xf numFmtId="2" fontId="82" fillId="3" borderId="0" xfId="0" applyNumberFormat="1" applyFont="1" applyFill="1" applyAlignment="1">
      <alignment horizontal="center" vertical="center" wrapText="1"/>
    </xf>
    <xf numFmtId="2" fontId="83" fillId="3" borderId="0" xfId="0" applyNumberFormat="1" applyFont="1" applyFill="1" applyAlignment="1">
      <alignment horizontal="center" vertical="center"/>
    </xf>
    <xf numFmtId="2" fontId="84" fillId="3" borderId="5" xfId="0" applyNumberFormat="1" applyFont="1" applyFill="1" applyBorder="1" applyAlignment="1">
      <alignment horizontal="center" vertical="center"/>
    </xf>
    <xf numFmtId="2" fontId="82" fillId="3" borderId="0" xfId="0" applyNumberFormat="1" applyFont="1" applyFill="1" applyAlignment="1"/>
    <xf numFmtId="2" fontId="82" fillId="3" borderId="5" xfId="0" applyNumberFormat="1" applyFont="1" applyFill="1" applyBorder="1" applyAlignment="1"/>
    <xf numFmtId="2" fontId="82" fillId="3" borderId="0" xfId="0" applyNumberFormat="1" applyFont="1" applyFill="1" applyAlignment="1">
      <alignment horizontal="center" vertical="center"/>
    </xf>
    <xf numFmtId="2" fontId="0" fillId="3" borderId="5" xfId="0" applyNumberFormat="1" applyFill="1" applyBorder="1" applyAlignment="1"/>
    <xf numFmtId="2" fontId="15" fillId="3" borderId="0" xfId="0" applyNumberFormat="1" applyFont="1" applyFill="1" applyAlignment="1"/>
    <xf numFmtId="2" fontId="15" fillId="3" borderId="5" xfId="0" applyNumberFormat="1" applyFont="1" applyFill="1" applyBorder="1" applyAlignment="1"/>
    <xf numFmtId="2" fontId="15" fillId="0" borderId="0" xfId="0" applyNumberFormat="1" applyFont="1" applyAlignment="1"/>
    <xf numFmtId="2" fontId="12" fillId="3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8" fillId="24" borderId="29" xfId="0" applyNumberFormat="1" applyFont="1" applyFill="1" applyBorder="1" applyAlignment="1"/>
    <xf numFmtId="2" fontId="8" fillId="24" borderId="30" xfId="0" applyNumberFormat="1" applyFont="1" applyFill="1" applyBorder="1" applyAlignment="1">
      <alignment horizontal="center" vertical="center"/>
    </xf>
    <xf numFmtId="2" fontId="10" fillId="24" borderId="30" xfId="0" applyNumberFormat="1" applyFont="1" applyFill="1" applyBorder="1" applyAlignment="1">
      <alignment horizontal="center" vertical="center"/>
    </xf>
    <xf numFmtId="2" fontId="10" fillId="24" borderId="30" xfId="0" applyNumberFormat="1" applyFont="1" applyFill="1" applyBorder="1">
      <alignment vertical="center"/>
    </xf>
    <xf numFmtId="1" fontId="10" fillId="24" borderId="3" xfId="0" applyNumberFormat="1" applyFont="1" applyFill="1" applyBorder="1">
      <alignment vertical="center"/>
    </xf>
    <xf numFmtId="1" fontId="10" fillId="24" borderId="3" xfId="0" applyNumberFormat="1" applyFont="1" applyFill="1" applyBorder="1" applyAlignment="1">
      <alignment horizontal="center" vertical="center"/>
    </xf>
    <xf numFmtId="1" fontId="10" fillId="24" borderId="23" xfId="0" applyNumberFormat="1" applyFont="1" applyFill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2" fontId="16" fillId="0" borderId="38" xfId="0" applyNumberFormat="1" applyFont="1" applyBorder="1" applyAlignment="1"/>
    <xf numFmtId="2" fontId="16" fillId="0" borderId="30" xfId="0" applyNumberFormat="1" applyFont="1" applyBorder="1" applyAlignment="1"/>
    <xf numFmtId="2" fontId="16" fillId="0" borderId="41" xfId="0" applyNumberFormat="1" applyFont="1" applyBorder="1" applyAlignment="1"/>
    <xf numFmtId="1" fontId="10" fillId="24" borderId="3" xfId="0" applyNumberFormat="1" applyFont="1" applyFill="1" applyBorder="1" applyAlignment="1">
      <alignment horizontal="right" vertical="center"/>
    </xf>
    <xf numFmtId="2" fontId="10" fillId="24" borderId="47" xfId="0" applyNumberFormat="1" applyFont="1" applyFill="1" applyBorder="1" applyAlignment="1">
      <alignment horizontal="center" vertical="center"/>
    </xf>
    <xf numFmtId="2" fontId="10" fillId="24" borderId="47" xfId="0" applyNumberFormat="1" applyFont="1" applyFill="1" applyBorder="1">
      <alignment vertical="center"/>
    </xf>
    <xf numFmtId="2" fontId="16" fillId="0" borderId="0" xfId="0" applyNumberFormat="1" applyFont="1" applyAlignment="1"/>
    <xf numFmtId="2" fontId="16" fillId="0" borderId="5" xfId="0" applyNumberFormat="1" applyFont="1" applyBorder="1" applyAlignment="1"/>
    <xf numFmtId="2" fontId="16" fillId="4" borderId="6" xfId="0" applyNumberFormat="1" applyFont="1" applyFill="1" applyBorder="1" applyAlignment="1"/>
    <xf numFmtId="2" fontId="16" fillId="4" borderId="7" xfId="0" applyNumberFormat="1" applyFont="1" applyFill="1" applyBorder="1" applyAlignment="1"/>
    <xf numFmtId="2" fontId="16" fillId="0" borderId="7" xfId="0" applyNumberFormat="1" applyFont="1" applyBorder="1" applyAlignment="1"/>
    <xf numFmtId="2" fontId="16" fillId="0" borderId="10" xfId="0" applyNumberFormat="1" applyFont="1" applyBorder="1" applyAlignment="1"/>
    <xf numFmtId="0" fontId="60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 wrapText="1"/>
    </xf>
    <xf numFmtId="0" fontId="60" fillId="18" borderId="0" xfId="0" applyFont="1" applyFill="1">
      <alignment vertical="center"/>
    </xf>
    <xf numFmtId="0" fontId="60" fillId="0" borderId="0" xfId="5"/>
    <xf numFmtId="0" fontId="9" fillId="0" borderId="38" xfId="5" applyFont="1" applyBorder="1" applyAlignment="1">
      <alignment horizontal="left" vertical="top" wrapText="1"/>
    </xf>
    <xf numFmtId="0" fontId="9" fillId="0" borderId="46" xfId="5" applyFont="1" applyBorder="1" applyAlignment="1">
      <alignment horizontal="left" vertical="top" wrapText="1"/>
    </xf>
    <xf numFmtId="0" fontId="60" fillId="0" borderId="0" xfId="5" applyAlignment="1">
      <alignment horizontal="left" vertical="top"/>
    </xf>
    <xf numFmtId="0" fontId="9" fillId="0" borderId="46" xfId="5" applyFont="1" applyBorder="1" applyAlignment="1">
      <alignment horizontal="left" vertical="top"/>
    </xf>
    <xf numFmtId="0" fontId="9" fillId="0" borderId="0" xfId="5" applyFont="1" applyAlignment="1">
      <alignment vertical="center" wrapText="1"/>
    </xf>
    <xf numFmtId="0" fontId="9" fillId="0" borderId="0" xfId="5" applyFont="1" applyAlignment="1">
      <alignment horizontal="center" vertical="center" wrapText="1"/>
    </xf>
    <xf numFmtId="0" fontId="60" fillId="0" borderId="0" xfId="5" applyAlignment="1">
      <alignment vertical="top" wrapText="1"/>
    </xf>
    <xf numFmtId="0" fontId="9" fillId="0" borderId="38" xfId="5" applyFont="1" applyBorder="1" applyAlignment="1">
      <alignment vertical="top"/>
    </xf>
    <xf numFmtId="0" fontId="9" fillId="0" borderId="46" xfId="5" applyFont="1" applyBorder="1" applyAlignment="1" applyProtection="1">
      <alignment vertical="top" wrapText="1"/>
      <protection locked="0"/>
    </xf>
    <xf numFmtId="0" fontId="9" fillId="0" borderId="46" xfId="5" applyFont="1" applyBorder="1" applyAlignment="1" applyProtection="1">
      <alignment vertical="top"/>
      <protection locked="0"/>
    </xf>
    <xf numFmtId="0" fontId="9" fillId="0" borderId="0" xfId="5" applyFont="1" applyAlignment="1" applyProtection="1">
      <alignment horizontal="center" vertical="top" wrapText="1"/>
      <protection locked="0"/>
    </xf>
    <xf numFmtId="0" fontId="9" fillId="0" borderId="0" xfId="5" applyFont="1" applyAlignment="1">
      <alignment horizontal="center" vertical="top" wrapText="1"/>
    </xf>
    <xf numFmtId="0" fontId="9" fillId="0" borderId="0" xfId="5" applyFont="1" applyAlignment="1">
      <alignment vertical="top" wrapText="1"/>
    </xf>
    <xf numFmtId="0" fontId="9" fillId="0" borderId="0" xfId="5" applyFont="1" applyAlignment="1">
      <alignment horizontal="justify" vertical="center" wrapText="1"/>
    </xf>
    <xf numFmtId="0" fontId="60" fillId="0" borderId="1" xfId="5" applyBorder="1"/>
    <xf numFmtId="0" fontId="60" fillId="0" borderId="4" xfId="5" applyBorder="1"/>
    <xf numFmtId="0" fontId="60" fillId="0" borderId="5" xfId="5" applyBorder="1"/>
    <xf numFmtId="0" fontId="60" fillId="0" borderId="4" xfId="5" applyBorder="1" applyAlignment="1">
      <alignment wrapText="1"/>
    </xf>
    <xf numFmtId="0" fontId="60" fillId="0" borderId="5" xfId="5" applyBorder="1" applyAlignment="1">
      <alignment wrapText="1"/>
    </xf>
    <xf numFmtId="0" fontId="60" fillId="0" borderId="0" xfId="5" applyAlignment="1">
      <alignment wrapText="1"/>
    </xf>
    <xf numFmtId="188" fontId="60" fillId="0" borderId="5" xfId="5" applyNumberFormat="1" applyBorder="1"/>
    <xf numFmtId="2" fontId="20" fillId="27" borderId="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7" borderId="3" xfId="0" applyNumberFormat="1" applyFont="1" applyFill="1" applyBorder="1" applyAlignment="1">
      <alignment horizontal="center" vertical="center"/>
    </xf>
    <xf numFmtId="2" fontId="10" fillId="27" borderId="13" xfId="0" applyNumberFormat="1" applyFont="1" applyFill="1" applyBorder="1" applyAlignment="1">
      <alignment horizontal="center" vertical="center"/>
    </xf>
    <xf numFmtId="2" fontId="10" fillId="27" borderId="25" xfId="0" applyNumberFormat="1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 wrapText="1"/>
    </xf>
    <xf numFmtId="2" fontId="60" fillId="24" borderId="3" xfId="0" applyNumberFormat="1" applyFont="1" applyFill="1" applyBorder="1" applyAlignment="1">
      <alignment horizontal="center" vertical="center"/>
    </xf>
    <xf numFmtId="2" fontId="7" fillId="24" borderId="3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68" fillId="0" borderId="0" xfId="0" applyFont="1" applyProtection="1">
      <alignment vertical="center"/>
      <protection locked="0"/>
    </xf>
    <xf numFmtId="2" fontId="12" fillId="3" borderId="3" xfId="5" applyNumberFormat="1" applyFont="1" applyFill="1" applyBorder="1" applyAlignment="1">
      <alignment vertical="center"/>
    </xf>
    <xf numFmtId="2" fontId="12" fillId="3" borderId="2" xfId="5" applyNumberFormat="1" applyFont="1" applyFill="1" applyBorder="1" applyAlignment="1">
      <alignment horizontal="center" vertical="center"/>
    </xf>
    <xf numFmtId="2" fontId="4" fillId="27" borderId="3" xfId="5" applyNumberFormat="1" applyFont="1" applyFill="1" applyBorder="1" applyAlignment="1">
      <alignment horizontal="center" vertical="center"/>
    </xf>
    <xf numFmtId="1" fontId="12" fillId="3" borderId="3" xfId="5" applyNumberFormat="1" applyFont="1" applyFill="1" applyBorder="1" applyAlignment="1">
      <alignment horizontal="center" vertical="center"/>
    </xf>
    <xf numFmtId="1" fontId="12" fillId="3" borderId="12" xfId="5" applyNumberFormat="1" applyFont="1" applyFill="1" applyBorder="1" applyAlignment="1">
      <alignment horizontal="center" vertical="center"/>
    </xf>
    <xf numFmtId="2" fontId="12" fillId="3" borderId="2" xfId="5" applyNumberFormat="1" applyFont="1" applyFill="1" applyBorder="1" applyAlignment="1">
      <alignment horizontal="left" vertical="center" wrapText="1"/>
    </xf>
    <xf numFmtId="2" fontId="4" fillId="3" borderId="3" xfId="5" applyNumberFormat="1" applyFont="1" applyFill="1" applyBorder="1" applyAlignment="1">
      <alignment horizontal="center" vertical="center"/>
    </xf>
    <xf numFmtId="2" fontId="9" fillId="3" borderId="3" xfId="5" applyNumberFormat="1" applyFont="1" applyFill="1" applyBorder="1" applyAlignment="1">
      <alignment horizontal="center" vertical="center"/>
    </xf>
    <xf numFmtId="2" fontId="10" fillId="3" borderId="23" xfId="5" applyNumberFormat="1" applyFont="1" applyFill="1" applyBorder="1" applyAlignment="1">
      <alignment horizontal="center"/>
    </xf>
    <xf numFmtId="2" fontId="10" fillId="3" borderId="26" xfId="5" applyNumberFormat="1" applyFont="1" applyFill="1" applyBorder="1" applyAlignment="1">
      <alignment horizontal="center"/>
    </xf>
    <xf numFmtId="2" fontId="10" fillId="3" borderId="4" xfId="5" applyNumberFormat="1" applyFont="1" applyFill="1" applyBorder="1" applyAlignment="1">
      <alignment horizontal="center"/>
    </xf>
    <xf numFmtId="2" fontId="15" fillId="3" borderId="0" xfId="5" applyNumberFormat="1" applyFont="1" applyFill="1"/>
    <xf numFmtId="2" fontId="9" fillId="3" borderId="0" xfId="5" applyNumberFormat="1" applyFont="1" applyFill="1"/>
    <xf numFmtId="189" fontId="8" fillId="3" borderId="18" xfId="5" applyNumberFormat="1" applyFont="1" applyFill="1" applyBorder="1" applyAlignment="1">
      <alignment horizontal="center" vertical="center"/>
    </xf>
    <xf numFmtId="2" fontId="8" fillId="3" borderId="3" xfId="5" applyNumberFormat="1" applyFont="1" applyFill="1" applyBorder="1" applyAlignment="1">
      <alignment horizontal="center" vertical="center"/>
    </xf>
    <xf numFmtId="2" fontId="8" fillId="3" borderId="18" xfId="5" applyNumberFormat="1" applyFont="1" applyFill="1" applyBorder="1" applyAlignment="1">
      <alignment horizontal="center" vertical="center"/>
    </xf>
    <xf numFmtId="2" fontId="9" fillId="24" borderId="3" xfId="5" applyNumberFormat="1" applyFont="1" applyFill="1" applyBorder="1"/>
    <xf numFmtId="2" fontId="9" fillId="24" borderId="3" xfId="5" applyNumberFormat="1" applyFont="1" applyFill="1" applyBorder="1" applyAlignment="1">
      <alignment horizontal="center" vertical="center"/>
    </xf>
    <xf numFmtId="2" fontId="4" fillId="24" borderId="3" xfId="5" applyNumberFormat="1" applyFont="1" applyFill="1" applyBorder="1" applyAlignment="1">
      <alignment horizontal="center" vertical="center"/>
    </xf>
    <xf numFmtId="190" fontId="0" fillId="0" borderId="3" xfId="0" applyNumberFormat="1" applyBorder="1" applyAlignment="1">
      <alignment horizontal="center" vertical="center"/>
    </xf>
    <xf numFmtId="190" fontId="0" fillId="7" borderId="0" xfId="0" applyNumberFormat="1" applyFill="1" applyAlignment="1">
      <alignment horizontal="center"/>
    </xf>
    <xf numFmtId="190" fontId="0" fillId="20" borderId="0" xfId="0" applyNumberFormat="1" applyFill="1" applyAlignment="1">
      <alignment horizontal="center"/>
    </xf>
    <xf numFmtId="190" fontId="0" fillId="5" borderId="0" xfId="0" applyNumberFormat="1" applyFill="1" applyAlignment="1">
      <alignment horizontal="center"/>
    </xf>
    <xf numFmtId="190" fontId="0" fillId="15" borderId="21" xfId="0" applyNumberFormat="1" applyFill="1" applyBorder="1" applyAlignment="1">
      <alignment horizontal="center"/>
    </xf>
    <xf numFmtId="190" fontId="0" fillId="20" borderId="3" xfId="0" applyNumberFormat="1" applyFill="1" applyBorder="1" applyAlignment="1">
      <alignment horizontal="center" vertical="center"/>
    </xf>
    <xf numFmtId="190" fontId="0" fillId="18" borderId="0" xfId="0" applyNumberFormat="1" applyFill="1">
      <alignment vertical="center"/>
    </xf>
    <xf numFmtId="190" fontId="0" fillId="18" borderId="0" xfId="0" applyNumberFormat="1" applyFill="1" applyAlignment="1">
      <alignment horizontal="center" vertical="center"/>
    </xf>
    <xf numFmtId="190" fontId="23" fillId="18" borderId="0" xfId="0" applyNumberFormat="1" applyFont="1" applyFill="1" applyAlignment="1">
      <alignment horizontal="center" vertical="center"/>
    </xf>
    <xf numFmtId="190" fontId="23" fillId="13" borderId="3" xfId="0" applyNumberFormat="1" applyFont="1" applyFill="1" applyBorder="1" applyAlignment="1">
      <alignment horizontal="center" vertical="center" wrapText="1"/>
    </xf>
    <xf numFmtId="190" fontId="23" fillId="18" borderId="0" xfId="0" applyNumberFormat="1" applyFont="1" applyFill="1" applyAlignment="1">
      <alignment horizontal="center" vertical="center" wrapText="1"/>
    </xf>
    <xf numFmtId="190" fontId="0" fillId="0" borderId="0" xfId="0" applyNumberFormat="1">
      <alignment vertical="center"/>
    </xf>
    <xf numFmtId="190" fontId="0" fillId="6" borderId="3" xfId="0" applyNumberFormat="1" applyFill="1" applyBorder="1" applyAlignment="1">
      <alignment horizontal="center"/>
    </xf>
    <xf numFmtId="190" fontId="5" fillId="14" borderId="3" xfId="0" applyNumberFormat="1" applyFont="1" applyFill="1" applyBorder="1" applyAlignment="1"/>
    <xf numFmtId="190" fontId="24" fillId="18" borderId="0" xfId="0" applyNumberFormat="1" applyFont="1" applyFill="1" applyAlignment="1"/>
    <xf numFmtId="190" fontId="0" fillId="6" borderId="3" xfId="0" applyNumberFormat="1" applyFill="1" applyBorder="1" applyAlignment="1">
      <alignment horizontal="center" vertical="top" wrapText="1"/>
    </xf>
    <xf numFmtId="190" fontId="0" fillId="7" borderId="3" xfId="0" applyNumberFormat="1" applyFill="1" applyBorder="1" applyAlignment="1">
      <alignment horizontal="center" vertical="center"/>
    </xf>
    <xf numFmtId="190" fontId="23" fillId="18" borderId="0" xfId="0" applyNumberFormat="1" applyFont="1" applyFill="1" applyAlignment="1">
      <alignment horizontal="center"/>
    </xf>
    <xf numFmtId="190" fontId="7" fillId="18" borderId="0" xfId="0" applyNumberFormat="1" applyFont="1" applyFill="1" applyAlignment="1">
      <alignment horizontal="center"/>
    </xf>
    <xf numFmtId="190" fontId="0" fillId="18" borderId="0" xfId="0" applyNumberFormat="1" applyFill="1" applyAlignment="1">
      <alignment horizontal="center"/>
    </xf>
    <xf numFmtId="190" fontId="0" fillId="18" borderId="0" xfId="0" applyNumberFormat="1" applyFill="1" applyAlignment="1"/>
    <xf numFmtId="190" fontId="7" fillId="18" borderId="0" xfId="0" applyNumberFormat="1" applyFont="1" applyFill="1" applyAlignment="1">
      <alignment horizontal="center" vertical="center"/>
    </xf>
    <xf numFmtId="190" fontId="7" fillId="0" borderId="62" xfId="0" applyNumberFormat="1" applyFont="1" applyBorder="1" applyAlignment="1">
      <alignment horizontal="center" vertical="center"/>
    </xf>
    <xf numFmtId="190" fontId="5" fillId="14" borderId="21" xfId="0" applyNumberFormat="1" applyFont="1" applyFill="1" applyBorder="1" applyAlignment="1"/>
    <xf numFmtId="190" fontId="60" fillId="14" borderId="21" xfId="0" applyNumberFormat="1" applyFont="1" applyFill="1" applyBorder="1" applyAlignment="1">
      <alignment horizontal="center"/>
    </xf>
    <xf numFmtId="190" fontId="6" fillId="14" borderId="21" xfId="0" applyNumberFormat="1" applyFont="1" applyFill="1" applyBorder="1" applyAlignment="1">
      <alignment horizontal="center"/>
    </xf>
    <xf numFmtId="190" fontId="26" fillId="18" borderId="0" xfId="0" applyNumberFormat="1" applyFont="1" applyFill="1" applyAlignment="1"/>
    <xf numFmtId="190" fontId="28" fillId="18" borderId="0" xfId="1" applyNumberFormat="1" applyFont="1" applyFill="1" applyProtection="1"/>
    <xf numFmtId="190" fontId="28" fillId="18" borderId="0" xfId="0" applyNumberFormat="1" applyFont="1" applyFill="1">
      <alignment vertical="center"/>
    </xf>
    <xf numFmtId="190" fontId="27" fillId="18" borderId="0" xfId="0" applyNumberFormat="1" applyFont="1" applyFill="1" applyAlignment="1">
      <alignment horizontal="center" vertical="center"/>
    </xf>
    <xf numFmtId="190" fontId="26" fillId="18" borderId="0" xfId="0" applyNumberFormat="1" applyFont="1" applyFill="1" applyAlignment="1">
      <alignment horizontal="center"/>
    </xf>
    <xf numFmtId="190" fontId="26" fillId="18" borderId="0" xfId="0" applyNumberFormat="1" applyFont="1" applyFill="1" applyAlignment="1">
      <alignment horizontal="center" vertical="center"/>
    </xf>
    <xf numFmtId="190" fontId="60" fillId="18" borderId="0" xfId="0" applyNumberFormat="1" applyFont="1" applyFill="1" applyAlignment="1"/>
    <xf numFmtId="190" fontId="0" fillId="18" borderId="23" xfId="0" applyNumberFormat="1" applyFill="1" applyBorder="1" applyAlignment="1">
      <alignment horizontal="center" vertical="center"/>
    </xf>
    <xf numFmtId="190" fontId="73" fillId="19" borderId="0" xfId="0" applyNumberFormat="1" applyFont="1" applyFill="1">
      <alignment vertical="center"/>
    </xf>
    <xf numFmtId="190" fontId="0" fillId="5" borderId="21" xfId="0" applyNumberFormat="1" applyFill="1" applyBorder="1" applyAlignment="1">
      <alignment horizontal="center" vertical="center"/>
    </xf>
    <xf numFmtId="190" fontId="60" fillId="5" borderId="21" xfId="0" applyNumberFormat="1" applyFont="1" applyFill="1" applyBorder="1" applyAlignment="1">
      <alignment horizontal="left" vertical="center" wrapText="1"/>
    </xf>
    <xf numFmtId="190" fontId="0" fillId="5" borderId="21" xfId="0" applyNumberFormat="1" applyFill="1" applyBorder="1" applyAlignment="1">
      <alignment horizontal="left" vertical="center" wrapText="1"/>
    </xf>
    <xf numFmtId="190" fontId="0" fillId="5" borderId="3" xfId="0" applyNumberFormat="1" applyFill="1" applyBorder="1" applyAlignment="1">
      <alignment horizontal="left" vertical="top" wrapText="1"/>
    </xf>
    <xf numFmtId="190" fontId="0" fillId="0" borderId="0" xfId="0" applyNumberFormat="1" applyAlignment="1">
      <alignment horizontal="center" vertical="center"/>
    </xf>
    <xf numFmtId="190" fontId="23" fillId="0" borderId="0" xfId="0" applyNumberFormat="1" applyFont="1" applyAlignment="1">
      <alignment horizontal="center" vertical="center"/>
    </xf>
    <xf numFmtId="190" fontId="0" fillId="0" borderId="0" xfId="0" applyNumberFormat="1" applyAlignment="1">
      <alignment vertical="top" wrapText="1"/>
    </xf>
    <xf numFmtId="190" fontId="0" fillId="0" borderId="0" xfId="0" applyNumberFormat="1" applyAlignment="1">
      <alignment horizontal="left" vertical="top" wrapText="1"/>
    </xf>
    <xf numFmtId="190" fontId="0" fillId="0" borderId="0" xfId="0" applyNumberFormat="1" applyAlignment="1">
      <alignment horizontal="center" vertical="center" wrapText="1"/>
    </xf>
    <xf numFmtId="190" fontId="0" fillId="28" borderId="0" xfId="0" applyNumberFormat="1" applyFill="1">
      <alignment vertical="center"/>
    </xf>
    <xf numFmtId="190" fontId="0" fillId="28" borderId="21" xfId="0" applyNumberFormat="1" applyFill="1" applyBorder="1" applyAlignment="1">
      <alignment horizontal="center" vertical="center"/>
    </xf>
    <xf numFmtId="190" fontId="60" fillId="28" borderId="21" xfId="0" applyNumberFormat="1" applyFont="1" applyFill="1" applyBorder="1" applyAlignment="1">
      <alignment horizontal="left" vertical="center" wrapText="1"/>
    </xf>
    <xf numFmtId="190" fontId="60" fillId="28" borderId="58" xfId="0" applyNumberFormat="1" applyFont="1" applyFill="1" applyBorder="1" applyAlignment="1">
      <alignment horizontal="left" vertical="center" wrapText="1"/>
    </xf>
    <xf numFmtId="190" fontId="17" fillId="28" borderId="3" xfId="0" applyNumberFormat="1" applyFont="1" applyFill="1" applyBorder="1" applyAlignment="1">
      <alignment horizontal="left" vertical="center" wrapText="1"/>
    </xf>
    <xf numFmtId="190" fontId="0" fillId="28" borderId="21" xfId="0" applyNumberFormat="1" applyFill="1" applyBorder="1" applyAlignment="1">
      <alignment horizontal="left" vertical="center" wrapText="1"/>
    </xf>
    <xf numFmtId="190" fontId="0" fillId="28" borderId="3" xfId="0" applyNumberFormat="1" applyFill="1" applyBorder="1" applyAlignment="1">
      <alignment horizontal="left" vertical="top" wrapText="1"/>
    </xf>
    <xf numFmtId="190" fontId="0" fillId="28" borderId="0" xfId="0" applyNumberFormat="1" applyFill="1" applyAlignment="1">
      <alignment horizontal="center" vertical="center"/>
    </xf>
    <xf numFmtId="190" fontId="23" fillId="28" borderId="0" xfId="0" applyNumberFormat="1" applyFont="1" applyFill="1" applyAlignment="1">
      <alignment horizontal="center" vertical="center"/>
    </xf>
    <xf numFmtId="190" fontId="0" fillId="28" borderId="0" xfId="0" applyNumberFormat="1" applyFill="1" applyAlignment="1">
      <alignment vertical="top" wrapText="1"/>
    </xf>
    <xf numFmtId="190" fontId="0" fillId="28" borderId="0" xfId="0" applyNumberFormat="1" applyFill="1" applyAlignment="1">
      <alignment horizontal="left" vertical="top" wrapText="1"/>
    </xf>
    <xf numFmtId="190" fontId="0" fillId="28" borderId="0" xfId="0" applyNumberFormat="1" applyFill="1" applyAlignment="1">
      <alignment horizontal="center" vertical="center" wrapText="1"/>
    </xf>
    <xf numFmtId="190" fontId="7" fillId="0" borderId="3" xfId="0" applyNumberFormat="1" applyFont="1" applyBorder="1" applyAlignment="1">
      <alignment horizontal="center" vertical="center"/>
    </xf>
    <xf numFmtId="190" fontId="0" fillId="20" borderId="23" xfId="0" applyNumberFormat="1" applyFill="1" applyBorder="1" applyAlignment="1">
      <alignment horizontal="center" vertical="center"/>
    </xf>
    <xf numFmtId="190" fontId="0" fillId="0" borderId="0" xfId="0" applyNumberFormat="1" applyAlignment="1"/>
    <xf numFmtId="190" fontId="7" fillId="0" borderId="0" xfId="0" applyNumberFormat="1" applyFont="1" applyAlignment="1">
      <alignment horizontal="center" vertical="center"/>
    </xf>
    <xf numFmtId="190" fontId="0" fillId="18" borderId="33" xfId="0" applyNumberFormat="1" applyFill="1" applyBorder="1">
      <alignment vertical="center"/>
    </xf>
    <xf numFmtId="190" fontId="7" fillId="18" borderId="0" xfId="0" applyNumberFormat="1" applyFont="1" applyFill="1">
      <alignment vertical="center"/>
    </xf>
    <xf numFmtId="190" fontId="0" fillId="5" borderId="3" xfId="0" applyNumberFormat="1" applyFill="1" applyBorder="1" applyAlignment="1">
      <alignment horizontal="center" vertical="center"/>
    </xf>
    <xf numFmtId="190" fontId="0" fillId="5" borderId="3" xfId="0" applyNumberFormat="1" applyFill="1" applyBorder="1" applyAlignment="1">
      <alignment vertical="top" wrapText="1"/>
    </xf>
    <xf numFmtId="190" fontId="0" fillId="5" borderId="3" xfId="0" applyNumberFormat="1" applyFill="1" applyBorder="1" applyAlignment="1">
      <alignment vertical="center" wrapText="1"/>
    </xf>
    <xf numFmtId="190" fontId="60" fillId="5" borderId="3" xfId="0" applyNumberFormat="1" applyFont="1" applyFill="1" applyBorder="1" applyAlignment="1">
      <alignment horizontal="left" vertical="center" wrapText="1"/>
    </xf>
    <xf numFmtId="190" fontId="60" fillId="5" borderId="3" xfId="0" applyNumberFormat="1" applyFont="1" applyFill="1" applyBorder="1" applyAlignment="1">
      <alignment horizontal="left" vertical="top" wrapText="1"/>
    </xf>
    <xf numFmtId="190" fontId="0" fillId="5" borderId="3" xfId="0" applyNumberFormat="1" applyFill="1" applyBorder="1" applyAlignment="1">
      <alignment horizontal="center" vertical="center" wrapText="1"/>
    </xf>
    <xf numFmtId="190" fontId="0" fillId="28" borderId="3" xfId="0" applyNumberFormat="1" applyFill="1" applyBorder="1" applyAlignment="1">
      <alignment horizontal="center" vertical="center"/>
    </xf>
    <xf numFmtId="190" fontId="0" fillId="28" borderId="3" xfId="0" applyNumberFormat="1" applyFill="1" applyBorder="1" applyAlignment="1">
      <alignment vertical="top" wrapText="1"/>
    </xf>
    <xf numFmtId="190" fontId="0" fillId="28" borderId="3" xfId="0" applyNumberFormat="1" applyFill="1" applyBorder="1" applyAlignment="1">
      <alignment vertical="center" wrapText="1"/>
    </xf>
    <xf numFmtId="190" fontId="60" fillId="28" borderId="3" xfId="0" applyNumberFormat="1" applyFont="1" applyFill="1" applyBorder="1" applyAlignment="1">
      <alignment horizontal="left" vertical="center" wrapText="1"/>
    </xf>
    <xf numFmtId="190" fontId="60" fillId="28" borderId="3" xfId="0" applyNumberFormat="1" applyFont="1" applyFill="1" applyBorder="1" applyAlignment="1">
      <alignment horizontal="left" vertical="top" wrapText="1"/>
    </xf>
    <xf numFmtId="190" fontId="0" fillId="28" borderId="3" xfId="0" applyNumberFormat="1" applyFill="1" applyBorder="1" applyAlignment="1">
      <alignment horizontal="center" vertical="center" wrapText="1"/>
    </xf>
    <xf numFmtId="190" fontId="0" fillId="0" borderId="0" xfId="0" applyNumberFormat="1" applyAlignment="1">
      <alignment horizontal="center" vertical="top"/>
    </xf>
    <xf numFmtId="190" fontId="60" fillId="0" borderId="0" xfId="0" applyNumberFormat="1" applyFont="1" applyAlignment="1">
      <alignment horizontal="center" vertical="center"/>
    </xf>
    <xf numFmtId="190" fontId="0" fillId="5" borderId="3" xfId="0" applyNumberFormat="1" applyFill="1" applyBorder="1" applyAlignment="1">
      <alignment horizontal="left" vertical="center" wrapText="1"/>
    </xf>
    <xf numFmtId="190" fontId="0" fillId="28" borderId="3" xfId="0" applyNumberFormat="1" applyFill="1" applyBorder="1" applyAlignment="1">
      <alignment horizontal="left" vertical="center" wrapText="1"/>
    </xf>
    <xf numFmtId="190" fontId="0" fillId="20" borderId="3" xfId="0" applyNumberFormat="1" applyFill="1" applyBorder="1" applyAlignment="1">
      <alignment horizontal="center"/>
    </xf>
    <xf numFmtId="190" fontId="0" fillId="5" borderId="38" xfId="0" applyNumberFormat="1" applyFill="1" applyBorder="1" applyAlignment="1">
      <alignment horizontal="left" vertical="center" wrapText="1"/>
    </xf>
    <xf numFmtId="190" fontId="0" fillId="28" borderId="38" xfId="0" applyNumberFormat="1" applyFill="1" applyBorder="1" applyAlignment="1">
      <alignment horizontal="left" vertical="center" wrapText="1"/>
    </xf>
    <xf numFmtId="190" fontId="60" fillId="5" borderId="3" xfId="0" applyNumberFormat="1" applyFont="1" applyFill="1" applyBorder="1" applyAlignment="1">
      <alignment horizontal="center" vertical="center"/>
    </xf>
    <xf numFmtId="190" fontId="60" fillId="28" borderId="3" xfId="0" applyNumberFormat="1" applyFont="1" applyFill="1" applyBorder="1" applyAlignment="1">
      <alignment horizontal="center" vertical="center"/>
    </xf>
    <xf numFmtId="190" fontId="14" fillId="0" borderId="0" xfId="0" applyNumberFormat="1" applyFont="1" applyAlignment="1">
      <alignment horizontal="left" vertical="top" wrapText="1"/>
    </xf>
    <xf numFmtId="190" fontId="7" fillId="22" borderId="0" xfId="0" applyNumberFormat="1" applyFont="1" applyFill="1" applyAlignment="1">
      <alignment horizontal="center" vertical="center"/>
    </xf>
    <xf numFmtId="190" fontId="30" fillId="0" borderId="0" xfId="0" applyNumberFormat="1" applyFont="1" applyAlignment="1">
      <alignment horizontal="center" vertical="center"/>
    </xf>
    <xf numFmtId="190" fontId="33" fillId="0" borderId="0" xfId="0" applyNumberFormat="1" applyFont="1" applyAlignment="1">
      <alignment horizontal="left" vertical="center"/>
    </xf>
    <xf numFmtId="190" fontId="60" fillId="18" borderId="0" xfId="0" applyNumberFormat="1" applyFont="1" applyFill="1" applyAlignment="1">
      <alignment horizontal="center"/>
    </xf>
    <xf numFmtId="190" fontId="33" fillId="0" borderId="0" xfId="0" applyNumberFormat="1" applyFont="1">
      <alignment vertical="center"/>
    </xf>
    <xf numFmtId="190" fontId="7" fillId="0" borderId="0" xfId="0" applyNumberFormat="1" applyFont="1" applyAlignment="1">
      <alignment horizontal="center"/>
    </xf>
    <xf numFmtId="190" fontId="33" fillId="18" borderId="0" xfId="0" applyNumberFormat="1" applyFont="1" applyFill="1">
      <alignment vertical="center"/>
    </xf>
    <xf numFmtId="190" fontId="75" fillId="0" borderId="0" xfId="0" applyNumberFormat="1" applyFont="1" applyAlignment="1">
      <alignment horizontal="center" vertical="center" wrapText="1"/>
    </xf>
    <xf numFmtId="190" fontId="76" fillId="23" borderId="0" xfId="0" applyNumberFormat="1" applyFont="1" applyFill="1" applyAlignment="1">
      <alignment vertical="center" wrapText="1"/>
    </xf>
    <xf numFmtId="190" fontId="17" fillId="23" borderId="0" xfId="0" applyNumberFormat="1" applyFont="1" applyFill="1" applyAlignment="1">
      <alignment horizontal="left" vertical="center" wrapText="1"/>
    </xf>
    <xf numFmtId="190" fontId="7" fillId="0" borderId="0" xfId="0" applyNumberFormat="1" applyFont="1" applyAlignment="1">
      <alignment horizontal="center" vertical="center" wrapText="1"/>
    </xf>
    <xf numFmtId="190" fontId="76" fillId="0" borderId="0" xfId="0" applyNumberFormat="1" applyFont="1" applyAlignment="1">
      <alignment horizontal="center"/>
    </xf>
    <xf numFmtId="190" fontId="0" fillId="0" borderId="0" xfId="0" applyNumberFormat="1" applyAlignment="1">
      <alignment horizontal="center"/>
    </xf>
    <xf numFmtId="190" fontId="7" fillId="0" borderId="0" xfId="0" applyNumberFormat="1" applyFont="1" applyAlignment="1">
      <alignment horizontal="center" vertical="top" wrapText="1"/>
    </xf>
    <xf numFmtId="190" fontId="0" fillId="8" borderId="0" xfId="0" applyNumberFormat="1" applyFill="1" applyAlignment="1">
      <alignment horizontal="center" vertical="center"/>
    </xf>
    <xf numFmtId="190" fontId="0" fillId="5" borderId="0" xfId="0" applyNumberFormat="1" applyFill="1">
      <alignment vertical="center"/>
    </xf>
    <xf numFmtId="190" fontId="7" fillId="0" borderId="3" xfId="0" applyNumberFormat="1" applyFont="1" applyBorder="1" applyAlignment="1">
      <alignment horizontal="center" vertical="center" wrapText="1"/>
    </xf>
    <xf numFmtId="190" fontId="23" fillId="0" borderId="3" xfId="0" applyNumberFormat="1" applyFont="1" applyBorder="1" applyAlignment="1">
      <alignment horizontal="center" vertical="center"/>
    </xf>
    <xf numFmtId="190" fontId="0" fillId="0" borderId="3" xfId="0" applyNumberFormat="1" applyBorder="1" applyAlignment="1">
      <alignment horizontal="center"/>
    </xf>
    <xf numFmtId="190" fontId="7" fillId="18" borderId="0" xfId="0" applyNumberFormat="1" applyFont="1" applyFill="1" applyAlignment="1">
      <alignment horizontal="center" vertical="top" wrapText="1"/>
    </xf>
    <xf numFmtId="190" fontId="7" fillId="18" borderId="0" xfId="0" applyNumberFormat="1" applyFont="1" applyFill="1" applyAlignment="1">
      <alignment horizontal="center" vertical="center" wrapText="1"/>
    </xf>
    <xf numFmtId="190" fontId="23" fillId="9" borderId="0" xfId="0" applyNumberFormat="1" applyFont="1" applyFill="1" applyAlignment="1">
      <alignment horizontal="center" vertical="center"/>
    </xf>
    <xf numFmtId="190" fontId="60" fillId="0" borderId="0" xfId="2" applyNumberFormat="1">
      <protection locked="0"/>
    </xf>
    <xf numFmtId="190" fontId="31" fillId="0" borderId="0" xfId="0" applyNumberFormat="1" applyFont="1">
      <alignment vertical="center"/>
    </xf>
    <xf numFmtId="190" fontId="31" fillId="0" borderId="0" xfId="0" applyNumberFormat="1" applyFont="1" applyAlignment="1">
      <alignment horizontal="center" vertical="center"/>
    </xf>
    <xf numFmtId="190" fontId="32" fillId="0" borderId="0" xfId="0" applyNumberFormat="1" applyFont="1" applyAlignment="1" applyProtection="1">
      <alignment horizontal="center" vertical="center"/>
      <protection locked="0"/>
    </xf>
    <xf numFmtId="190" fontId="23" fillId="0" borderId="0" xfId="0" applyNumberFormat="1" applyFont="1">
      <alignment vertical="center"/>
    </xf>
    <xf numFmtId="190" fontId="32" fillId="0" borderId="0" xfId="0" applyNumberFormat="1" applyFont="1" applyAlignment="1">
      <alignment horizontal="center" vertical="center"/>
    </xf>
    <xf numFmtId="191" fontId="7" fillId="0" borderId="62" xfId="0" applyNumberFormat="1" applyFont="1" applyBorder="1" applyAlignment="1">
      <alignment horizontal="center" vertical="center"/>
    </xf>
    <xf numFmtId="190" fontId="76" fillId="18" borderId="0" xfId="0" applyNumberFormat="1" applyFont="1" applyFill="1" applyAlignment="1">
      <alignment horizontal="center" vertical="center"/>
    </xf>
    <xf numFmtId="2" fontId="23" fillId="13" borderId="3" xfId="0" applyNumberFormat="1" applyFont="1" applyFill="1" applyBorder="1" applyAlignment="1">
      <alignment horizontal="center"/>
    </xf>
    <xf numFmtId="2" fontId="0" fillId="15" borderId="21" xfId="0" applyNumberFormat="1" applyFill="1" applyBorder="1" applyAlignment="1">
      <alignment horizontal="center"/>
    </xf>
    <xf numFmtId="2" fontId="0" fillId="0" borderId="0" xfId="0" applyNumberFormat="1">
      <alignment vertical="center"/>
    </xf>
    <xf numFmtId="2" fontId="23" fillId="5" borderId="3" xfId="0" applyNumberFormat="1" applyFont="1" applyFill="1" applyBorder="1" applyAlignment="1">
      <alignment horizontal="center"/>
    </xf>
    <xf numFmtId="2" fontId="23" fillId="20" borderId="3" xfId="0" applyNumberFormat="1" applyFont="1" applyFill="1" applyBorder="1" applyAlignment="1">
      <alignment horizontal="center"/>
    </xf>
    <xf numFmtId="2" fontId="24" fillId="29" borderId="3" xfId="0" applyNumberFormat="1" applyFont="1" applyFill="1" applyBorder="1" applyAlignment="1">
      <alignment horizontal="center" vertical="center"/>
    </xf>
    <xf numFmtId="1" fontId="33" fillId="0" borderId="0" xfId="0" applyNumberFormat="1" applyFont="1" applyAlignment="1">
      <alignment horizontal="left" vertical="center"/>
    </xf>
    <xf numFmtId="1" fontId="25" fillId="0" borderId="38" xfId="0" applyNumberFormat="1" applyFont="1" applyBorder="1" applyAlignment="1">
      <alignment horizontal="right" vertical="center"/>
    </xf>
    <xf numFmtId="164" fontId="25" fillId="0" borderId="38" xfId="0" applyNumberFormat="1" applyFont="1" applyBorder="1" applyAlignment="1">
      <alignment horizontal="right" vertical="center"/>
    </xf>
    <xf numFmtId="1" fontId="25" fillId="0" borderId="38" xfId="0" applyNumberFormat="1" applyFont="1" applyBorder="1">
      <alignment vertical="center"/>
    </xf>
    <xf numFmtId="193" fontId="25" fillId="11" borderId="0" xfId="0" applyNumberFormat="1" applyFont="1" applyFill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4" fillId="0" borderId="3" xfId="5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9" fontId="0" fillId="20" borderId="3" xfId="0" applyNumberFormat="1" applyFill="1" applyBorder="1" applyAlignment="1">
      <alignment horizontal="center" vertical="center"/>
    </xf>
    <xf numFmtId="0" fontId="60" fillId="0" borderId="3" xfId="0" applyFont="1" applyBorder="1" applyAlignment="1">
      <alignment horizontal="left" vertical="center"/>
    </xf>
    <xf numFmtId="1" fontId="0" fillId="6" borderId="3" xfId="0" applyNumberFormat="1" applyFill="1" applyBorder="1" applyAlignment="1">
      <alignment horizontal="center" vertical="top" wrapText="1"/>
    </xf>
    <xf numFmtId="1" fontId="0" fillId="6" borderId="3" xfId="0" applyNumberFormat="1" applyFill="1" applyBorder="1" applyAlignment="1">
      <alignment horizont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 vertical="top" wrapText="1"/>
    </xf>
    <xf numFmtId="2" fontId="7" fillId="7" borderId="62" xfId="0" applyNumberFormat="1" applyFont="1" applyFill="1" applyBorder="1" applyAlignment="1">
      <alignment horizontal="center" vertical="center"/>
    </xf>
    <xf numFmtId="190" fontId="7" fillId="7" borderId="6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top" wrapText="1"/>
    </xf>
    <xf numFmtId="2" fontId="7" fillId="18" borderId="0" xfId="0" applyNumberFormat="1" applyFont="1" applyFill="1" applyAlignment="1">
      <alignment horizontal="center" vertical="center"/>
    </xf>
    <xf numFmtId="2" fontId="0" fillId="18" borderId="0" xfId="0" applyNumberFormat="1" applyFill="1" applyAlignment="1">
      <alignment horizontal="center" vertical="center"/>
    </xf>
    <xf numFmtId="2" fontId="0" fillId="18" borderId="0" xfId="0" applyNumberFormat="1" applyFill="1">
      <alignment vertical="center"/>
    </xf>
    <xf numFmtId="2" fontId="0" fillId="6" borderId="3" xfId="0" applyNumberFormat="1" applyFill="1" applyBorder="1" applyAlignment="1">
      <alignment horizontal="center"/>
    </xf>
    <xf numFmtId="2" fontId="5" fillId="14" borderId="3" xfId="0" applyNumberFormat="1" applyFont="1" applyFill="1" applyBorder="1" applyAlignment="1"/>
    <xf numFmtId="2" fontId="0" fillId="18" borderId="0" xfId="0" applyNumberFormat="1" applyFill="1" applyAlignment="1">
      <alignment horizontal="center"/>
    </xf>
    <xf numFmtId="2" fontId="7" fillId="18" borderId="25" xfId="0" applyNumberFormat="1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/>
    </xf>
    <xf numFmtId="179" fontId="51" fillId="0" borderId="23" xfId="0" applyNumberFormat="1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right" vertical="center"/>
    </xf>
    <xf numFmtId="166" fontId="25" fillId="11" borderId="0" xfId="0" applyNumberFormat="1" applyFont="1" applyFill="1" applyAlignment="1">
      <alignment horizontal="left" vertical="center"/>
    </xf>
    <xf numFmtId="194" fontId="25" fillId="0" borderId="0" xfId="0" applyNumberFormat="1" applyFont="1" applyAlignment="1">
      <alignment horizontal="left" vertical="center"/>
    </xf>
    <xf numFmtId="195" fontId="33" fillId="0" borderId="0" xfId="0" applyNumberFormat="1" applyFont="1" applyAlignment="1">
      <alignment horizontal="left" vertical="center"/>
    </xf>
    <xf numFmtId="2" fontId="25" fillId="0" borderId="46" xfId="0" applyNumberFormat="1" applyFont="1" applyBorder="1">
      <alignment vertical="center"/>
    </xf>
    <xf numFmtId="178" fontId="25" fillId="0" borderId="3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2" fontId="0" fillId="20" borderId="3" xfId="0" applyNumberFormat="1" applyFill="1" applyBorder="1" applyAlignment="1">
      <alignment horizontal="center" vertical="center"/>
    </xf>
    <xf numFmtId="2" fontId="60" fillId="20" borderId="3" xfId="0" applyNumberFormat="1" applyFont="1" applyFill="1" applyBorder="1" applyAlignment="1">
      <alignment horizontal="center" vertical="center"/>
    </xf>
    <xf numFmtId="190" fontId="60" fillId="18" borderId="0" xfId="0" applyNumberFormat="1" applyFont="1" applyFill="1">
      <alignment vertical="center"/>
    </xf>
    <xf numFmtId="190" fontId="60" fillId="18" borderId="0" xfId="0" applyNumberFormat="1" applyFont="1" applyFill="1" applyAlignment="1">
      <alignment horizontal="center" vertical="center"/>
    </xf>
    <xf numFmtId="0" fontId="76" fillId="0" borderId="38" xfId="0" applyFont="1" applyBorder="1" applyAlignment="1">
      <alignment horizontal="center" vertical="center"/>
    </xf>
    <xf numFmtId="1" fontId="7" fillId="31" borderId="0" xfId="0" applyNumberFormat="1" applyFont="1" applyFill="1" applyAlignment="1">
      <alignment horizontal="center"/>
    </xf>
    <xf numFmtId="169" fontId="7" fillId="32" borderId="3" xfId="0" applyNumberFormat="1" applyFont="1" applyFill="1" applyBorder="1" applyAlignment="1">
      <alignment horizontal="center" vertical="center"/>
    </xf>
    <xf numFmtId="2" fontId="0" fillId="20" borderId="3" xfId="0" applyNumberFormat="1" applyFill="1" applyBorder="1" applyAlignment="1">
      <alignment horizontal="center" vertical="top"/>
    </xf>
    <xf numFmtId="2" fontId="7" fillId="32" borderId="3" xfId="0" applyNumberFormat="1" applyFont="1" applyFill="1" applyBorder="1" applyAlignment="1">
      <alignment horizontal="center" vertical="center"/>
    </xf>
    <xf numFmtId="2" fontId="0" fillId="20" borderId="38" xfId="0" applyNumberFormat="1" applyFill="1" applyBorder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90" fontId="7" fillId="32" borderId="3" xfId="0" applyNumberFormat="1" applyFont="1" applyFill="1" applyBorder="1" applyAlignment="1">
      <alignment horizontal="center" vertical="center"/>
    </xf>
    <xf numFmtId="190" fontId="7" fillId="32" borderId="3" xfId="0" applyNumberFormat="1" applyFont="1" applyFill="1" applyBorder="1" applyAlignment="1">
      <alignment horizontal="center"/>
    </xf>
    <xf numFmtId="2" fontId="7" fillId="32" borderId="38" xfId="0" applyNumberFormat="1" applyFon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2" fontId="0" fillId="4" borderId="0" xfId="0" applyNumberFormat="1" applyFill="1">
      <alignment vertical="center"/>
    </xf>
    <xf numFmtId="190" fontId="60" fillId="0" borderId="3" xfId="0" applyNumberFormat="1" applyFont="1" applyBorder="1" applyAlignment="1">
      <alignment horizontal="center" vertical="center"/>
    </xf>
    <xf numFmtId="0" fontId="86" fillId="0" borderId="0" xfId="0" applyFont="1">
      <alignment vertical="center"/>
    </xf>
    <xf numFmtId="0" fontId="87" fillId="0" borderId="0" xfId="0" applyFont="1">
      <alignment vertical="center"/>
    </xf>
    <xf numFmtId="2" fontId="86" fillId="0" borderId="0" xfId="0" applyNumberFormat="1" applyFont="1">
      <alignment vertical="center"/>
    </xf>
    <xf numFmtId="0" fontId="25" fillId="0" borderId="3" xfId="0" applyFont="1" applyBorder="1" applyAlignment="1">
      <alignment horizontal="center" vertical="center" wrapText="1"/>
    </xf>
    <xf numFmtId="0" fontId="89" fillId="5" borderId="3" xfId="0" applyFont="1" applyFill="1" applyBorder="1" applyAlignment="1">
      <alignment horizontal="center" vertical="center"/>
    </xf>
    <xf numFmtId="2" fontId="90" fillId="0" borderId="3" xfId="0" applyNumberFormat="1" applyFont="1" applyBorder="1" applyAlignment="1">
      <alignment horizontal="center" vertical="center"/>
    </xf>
    <xf numFmtId="197" fontId="25" fillId="0" borderId="3" xfId="0" applyNumberFormat="1" applyFont="1" applyBorder="1" applyAlignment="1">
      <alignment horizontal="center" vertical="center"/>
    </xf>
    <xf numFmtId="0" fontId="60" fillId="0" borderId="38" xfId="6" applyBorder="1" applyAlignment="1">
      <alignment vertical="center"/>
    </xf>
    <xf numFmtId="0" fontId="0" fillId="0" borderId="30" xfId="0" applyBorder="1" applyAlignment="1"/>
    <xf numFmtId="0" fontId="0" fillId="0" borderId="46" xfId="0" applyBorder="1" applyAlignment="1"/>
    <xf numFmtId="0" fontId="91" fillId="0" borderId="0" xfId="0" applyFont="1">
      <alignment vertical="center"/>
    </xf>
    <xf numFmtId="0" fontId="60" fillId="0" borderId="58" xfId="6" applyBorder="1" applyAlignment="1">
      <alignment vertical="center"/>
    </xf>
    <xf numFmtId="0" fontId="0" fillId="0" borderId="48" xfId="0" applyBorder="1" applyAlignment="1"/>
    <xf numFmtId="0" fontId="0" fillId="0" borderId="62" xfId="0" applyBorder="1" applyAlignment="1"/>
    <xf numFmtId="0" fontId="90" fillId="0" borderId="3" xfId="0" applyFont="1" applyBorder="1" applyAlignment="1">
      <alignment horizontal="center" vertical="center"/>
    </xf>
    <xf numFmtId="0" fontId="60" fillId="3" borderId="21" xfId="0" applyFont="1" applyFill="1" applyBorder="1">
      <alignment vertical="center"/>
    </xf>
    <xf numFmtId="0" fontId="0" fillId="0" borderId="21" xfId="0" applyBorder="1" applyAlignment="1"/>
    <xf numFmtId="0" fontId="33" fillId="0" borderId="38" xfId="0" applyFont="1" applyBorder="1" applyAlignment="1">
      <alignment horizontal="left" vertical="center"/>
    </xf>
    <xf numFmtId="0" fontId="33" fillId="3" borderId="45" xfId="0" applyFont="1" applyFill="1" applyBorder="1">
      <alignment vertical="center"/>
    </xf>
    <xf numFmtId="9" fontId="92" fillId="0" borderId="0" xfId="0" applyNumberFormat="1" applyFont="1">
      <alignment vertical="center"/>
    </xf>
    <xf numFmtId="9" fontId="94" fillId="0" borderId="3" xfId="0" applyNumberFormat="1" applyFont="1" applyBorder="1">
      <alignment vertical="center"/>
    </xf>
    <xf numFmtId="10" fontId="93" fillId="0" borderId="3" xfId="0" applyNumberFormat="1" applyFont="1" applyBorder="1">
      <alignment vertical="center"/>
    </xf>
    <xf numFmtId="9" fontId="94" fillId="0" borderId="0" xfId="0" applyNumberFormat="1" applyFont="1" applyAlignment="1">
      <alignment horizontal="center" vertical="center"/>
    </xf>
    <xf numFmtId="0" fontId="7" fillId="0" borderId="0" xfId="0" applyFont="1" applyAlignment="1"/>
    <xf numFmtId="190" fontId="73" fillId="19" borderId="0" xfId="0" applyNumberFormat="1" applyFont="1" applyFill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1" fontId="33" fillId="0" borderId="3" xfId="0" applyNumberFormat="1" applyFont="1" applyBorder="1" applyAlignment="1">
      <alignment horizontal="center" vertical="center"/>
    </xf>
    <xf numFmtId="1" fontId="7" fillId="8" borderId="0" xfId="0" applyNumberFormat="1" applyFont="1" applyFill="1" applyAlignment="1">
      <alignment horizontal="center"/>
    </xf>
    <xf numFmtId="2" fontId="0" fillId="20" borderId="23" xfId="0" applyNumberFormat="1" applyFill="1" applyBorder="1" applyAlignment="1">
      <alignment horizontal="center" vertical="center"/>
    </xf>
    <xf numFmtId="2" fontId="0" fillId="20" borderId="3" xfId="0" applyNumberFormat="1" applyFill="1" applyBorder="1" applyAlignment="1">
      <alignment horizontal="center"/>
    </xf>
    <xf numFmtId="166" fontId="7" fillId="32" borderId="3" xfId="0" applyNumberFormat="1" applyFont="1" applyFill="1" applyBorder="1" applyAlignment="1">
      <alignment horizontal="center" vertical="center"/>
    </xf>
    <xf numFmtId="190" fontId="0" fillId="32" borderId="0" xfId="0" applyNumberFormat="1" applyFill="1">
      <alignment vertical="center"/>
    </xf>
    <xf numFmtId="190" fontId="0" fillId="32" borderId="0" xfId="0" applyNumberFormat="1" applyFill="1" applyAlignment="1">
      <alignment horizontal="center" vertical="center"/>
    </xf>
    <xf numFmtId="190" fontId="23" fillId="32" borderId="0" xfId="0" applyNumberFormat="1" applyFont="1" applyFill="1" applyAlignment="1">
      <alignment horizontal="center" vertical="center"/>
    </xf>
    <xf numFmtId="190" fontId="7" fillId="32" borderId="0" xfId="0" applyNumberFormat="1" applyFont="1" applyFill="1" applyAlignment="1">
      <alignment horizontal="center" vertical="center"/>
    </xf>
    <xf numFmtId="190" fontId="7" fillId="32" borderId="0" xfId="0" applyNumberFormat="1" applyFont="1" applyFill="1">
      <alignment vertical="center"/>
    </xf>
    <xf numFmtId="190" fontId="95" fillId="32" borderId="0" xfId="0" applyNumberFormat="1" applyFont="1" applyFill="1" applyAlignment="1">
      <alignment horizontal="center" vertical="center"/>
    </xf>
    <xf numFmtId="164" fontId="10" fillId="3" borderId="38" xfId="0" applyNumberFormat="1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53" xfId="0" applyFont="1" applyBorder="1">
      <alignment vertical="center"/>
    </xf>
    <xf numFmtId="0" fontId="25" fillId="0" borderId="60" xfId="0" applyFont="1" applyBorder="1">
      <alignment vertical="center"/>
    </xf>
    <xf numFmtId="186" fontId="25" fillId="0" borderId="53" xfId="0" applyNumberFormat="1" applyFont="1" applyBorder="1" applyAlignment="1">
      <alignment horizontal="right" vertical="center"/>
    </xf>
    <xf numFmtId="0" fontId="25" fillId="0" borderId="55" xfId="0" applyFont="1" applyBorder="1" applyAlignment="1">
      <alignment horizontal="center" vertical="center"/>
    </xf>
    <xf numFmtId="0" fontId="25" fillId="0" borderId="56" xfId="0" applyFont="1" applyBorder="1">
      <alignment vertical="center"/>
    </xf>
    <xf numFmtId="0" fontId="25" fillId="0" borderId="61" xfId="0" applyFont="1" applyBorder="1">
      <alignment vertical="center"/>
    </xf>
    <xf numFmtId="0" fontId="25" fillId="0" borderId="49" xfId="0" applyFont="1" applyBorder="1" applyAlignment="1">
      <alignment horizontal="center" vertical="center"/>
    </xf>
    <xf numFmtId="0" fontId="25" fillId="0" borderId="50" xfId="0" applyFont="1" applyBorder="1">
      <alignment vertical="center"/>
    </xf>
    <xf numFmtId="0" fontId="25" fillId="0" borderId="59" xfId="0" applyFont="1" applyBorder="1">
      <alignment vertical="center"/>
    </xf>
    <xf numFmtId="183" fontId="25" fillId="0" borderId="50" xfId="0" applyNumberFormat="1" applyFont="1" applyBorder="1" applyAlignment="1">
      <alignment horizontal="right" vertical="center"/>
    </xf>
    <xf numFmtId="183" fontId="25" fillId="0" borderId="59" xfId="0" applyNumberFormat="1" applyFont="1" applyBorder="1">
      <alignment vertical="center"/>
    </xf>
    <xf numFmtId="0" fontId="25" fillId="0" borderId="64" xfId="0" applyFont="1" applyBorder="1" applyAlignment="1">
      <alignment horizontal="center" vertical="center"/>
    </xf>
    <xf numFmtId="2" fontId="25" fillId="0" borderId="84" xfId="0" applyNumberFormat="1" applyFont="1" applyBorder="1">
      <alignment vertical="center"/>
    </xf>
    <xf numFmtId="166" fontId="25" fillId="0" borderId="66" xfId="0" applyNumberFormat="1" applyFont="1" applyBorder="1">
      <alignment vertical="center"/>
    </xf>
    <xf numFmtId="2" fontId="25" fillId="0" borderId="53" xfId="0" applyNumberFormat="1" applyFont="1" applyBorder="1">
      <alignment vertical="center"/>
    </xf>
    <xf numFmtId="2" fontId="25" fillId="0" borderId="56" xfId="0" applyNumberFormat="1" applyFont="1" applyBorder="1">
      <alignment vertical="center"/>
    </xf>
    <xf numFmtId="0" fontId="96" fillId="0" borderId="0" xfId="3" applyFont="1" applyFill="1" applyBorder="1" applyAlignment="1">
      <alignment horizontal="center" vertical="center"/>
    </xf>
    <xf numFmtId="0" fontId="99" fillId="0" borderId="3" xfId="0" applyFont="1" applyBorder="1" applyAlignment="1" applyProtection="1">
      <alignment horizontal="center" vertical="center"/>
      <protection locked="0"/>
    </xf>
    <xf numFmtId="0" fontId="99" fillId="0" borderId="84" xfId="0" applyFont="1" applyBorder="1" applyProtection="1">
      <alignment vertical="center"/>
      <protection locked="0"/>
    </xf>
    <xf numFmtId="0" fontId="99" fillId="0" borderId="65" xfId="0" applyFont="1" applyBorder="1" applyProtection="1">
      <alignment vertical="center"/>
      <protection locked="0"/>
    </xf>
    <xf numFmtId="0" fontId="99" fillId="0" borderId="66" xfId="0" applyFont="1" applyBorder="1" applyProtection="1">
      <alignment vertical="center"/>
      <protection locked="0"/>
    </xf>
    <xf numFmtId="0" fontId="99" fillId="0" borderId="64" xfId="0" applyFont="1" applyBorder="1" applyAlignment="1" applyProtection="1">
      <alignment horizontal="center" vertical="center"/>
      <protection locked="0"/>
    </xf>
    <xf numFmtId="0" fontId="99" fillId="0" borderId="55" xfId="0" applyFont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2" fontId="60" fillId="30" borderId="0" xfId="0" applyNumberFormat="1" applyFont="1" applyFill="1" applyAlignment="1"/>
    <xf numFmtId="0" fontId="60" fillId="0" borderId="0" xfId="0" quotePrefix="1" applyFont="1" applyAlignment="1">
      <alignment horizontal="left" vertical="center"/>
    </xf>
    <xf numFmtId="0" fontId="76" fillId="0" borderId="0" xfId="0" quotePrefix="1" applyFont="1" applyAlignment="1">
      <alignment horizontal="left" vertical="center"/>
    </xf>
    <xf numFmtId="1" fontId="33" fillId="0" borderId="0" xfId="0" applyNumberFormat="1" applyFont="1" applyAlignment="1"/>
    <xf numFmtId="164" fontId="33" fillId="0" borderId="64" xfId="0" applyNumberFormat="1" applyFont="1" applyBorder="1">
      <alignment vertical="center"/>
    </xf>
    <xf numFmtId="164" fontId="33" fillId="0" borderId="64" xfId="0" applyNumberFormat="1" applyFont="1" applyBorder="1" applyAlignment="1"/>
    <xf numFmtId="0" fontId="33" fillId="0" borderId="64" xfId="0" applyFont="1" applyBorder="1" applyAlignment="1"/>
    <xf numFmtId="164" fontId="33" fillId="0" borderId="52" xfId="0" applyNumberFormat="1" applyFont="1" applyBorder="1">
      <alignment vertical="center"/>
    </xf>
    <xf numFmtId="164" fontId="33" fillId="0" borderId="52" xfId="0" applyNumberFormat="1" applyFont="1" applyBorder="1" applyAlignment="1"/>
    <xf numFmtId="0" fontId="33" fillId="0" borderId="52" xfId="0" applyFont="1" applyBorder="1" applyAlignment="1"/>
    <xf numFmtId="164" fontId="33" fillId="0" borderId="55" xfId="0" applyNumberFormat="1" applyFont="1" applyBorder="1">
      <alignment vertical="center"/>
    </xf>
    <xf numFmtId="164" fontId="33" fillId="0" borderId="55" xfId="0" applyNumberFormat="1" applyFont="1" applyBorder="1" applyAlignment="1"/>
    <xf numFmtId="0" fontId="33" fillId="0" borderId="55" xfId="0" applyFont="1" applyBorder="1" applyAlignment="1"/>
    <xf numFmtId="0" fontId="2" fillId="0" borderId="64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33" fillId="11" borderId="21" xfId="0" applyFont="1" applyFill="1" applyBorder="1" applyAlignment="1"/>
    <xf numFmtId="0" fontId="40" fillId="0" borderId="0" xfId="0" applyFont="1" applyAlignment="1">
      <alignment vertical="center" wrapText="1"/>
    </xf>
    <xf numFmtId="0" fontId="33" fillId="0" borderId="3" xfId="0" applyFont="1" applyBorder="1" applyAlignment="1"/>
    <xf numFmtId="0" fontId="33" fillId="11" borderId="3" xfId="0" applyFont="1" applyFill="1" applyBorder="1" applyAlignment="1">
      <alignment horizontal="left"/>
    </xf>
    <xf numFmtId="0" fontId="33" fillId="0" borderId="21" xfId="0" applyFont="1" applyBorder="1" applyAlignment="1"/>
    <xf numFmtId="0" fontId="33" fillId="0" borderId="3" xfId="0" applyFont="1" applyBorder="1" applyAlignment="1">
      <alignment horizontal="center"/>
    </xf>
    <xf numFmtId="0" fontId="33" fillId="11" borderId="3" xfId="0" applyFont="1" applyFill="1" applyBorder="1" applyAlignment="1">
      <alignment horizontal="center"/>
    </xf>
    <xf numFmtId="0" fontId="101" fillId="0" borderId="0" xfId="0" applyFont="1">
      <alignment vertical="center"/>
    </xf>
    <xf numFmtId="167" fontId="65" fillId="13" borderId="33" xfId="0" applyNumberFormat="1" applyFont="1" applyFill="1" applyBorder="1" applyAlignment="1">
      <alignment horizontal="center" vertical="center"/>
    </xf>
    <xf numFmtId="173" fontId="33" fillId="13" borderId="0" xfId="0" applyNumberFormat="1" applyFont="1" applyFill="1" applyAlignment="1">
      <alignment horizontal="left" vertical="center"/>
    </xf>
    <xf numFmtId="175" fontId="33" fillId="13" borderId="0" xfId="0" applyNumberFormat="1" applyFont="1" applyFill="1" applyAlignment="1">
      <alignment horizontal="left" vertical="center"/>
    </xf>
    <xf numFmtId="0" fontId="41" fillId="13" borderId="0" xfId="0" applyFont="1" applyFill="1">
      <alignment vertical="center"/>
    </xf>
    <xf numFmtId="0" fontId="33" fillId="13" borderId="0" xfId="0" applyFont="1" applyFill="1" applyAlignment="1">
      <alignment horizontal="center" vertical="center"/>
    </xf>
    <xf numFmtId="0" fontId="33" fillId="13" borderId="0" xfId="0" applyFont="1" applyFill="1">
      <alignment vertical="center"/>
    </xf>
    <xf numFmtId="168" fontId="33" fillId="13" borderId="0" xfId="0" applyNumberFormat="1" applyFont="1" applyFill="1" applyAlignment="1">
      <alignment horizontal="left" vertical="center"/>
    </xf>
    <xf numFmtId="166" fontId="33" fillId="0" borderId="21" xfId="0" applyNumberFormat="1" applyFont="1" applyBorder="1" applyAlignment="1">
      <alignment horizontal="center" vertical="center"/>
    </xf>
    <xf numFmtId="166" fontId="33" fillId="0" borderId="46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21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7" fillId="0" borderId="0" xfId="5" applyFont="1" applyAlignment="1" applyProtection="1">
      <alignment horizontal="center" wrapText="1"/>
      <protection hidden="1"/>
    </xf>
    <xf numFmtId="0" fontId="60" fillId="0" borderId="0" xfId="5" applyProtection="1">
      <protection locked="0"/>
    </xf>
    <xf numFmtId="0" fontId="104" fillId="0" borderId="0" xfId="5" applyFont="1" applyAlignment="1">
      <alignment horizontal="center" vertical="center" wrapText="1"/>
    </xf>
    <xf numFmtId="0" fontId="7" fillId="0" borderId="0" xfId="5" applyFont="1" applyProtection="1">
      <protection locked="0"/>
    </xf>
    <xf numFmtId="0" fontId="107" fillId="0" borderId="0" xfId="5" applyFont="1"/>
    <xf numFmtId="0" fontId="108" fillId="0" borderId="0" xfId="5" applyFont="1" applyAlignment="1">
      <alignment vertical="top"/>
    </xf>
    <xf numFmtId="0" fontId="104" fillId="0" borderId="0" xfId="5" applyFont="1" applyAlignment="1">
      <alignment wrapText="1"/>
    </xf>
    <xf numFmtId="0" fontId="102" fillId="0" borderId="0" xfId="5" applyFont="1" applyAlignment="1">
      <alignment horizontal="center"/>
    </xf>
    <xf numFmtId="0" fontId="3" fillId="0" borderId="0" xfId="5" applyFont="1"/>
    <xf numFmtId="0" fontId="109" fillId="0" borderId="0" xfId="5" applyFont="1" applyAlignment="1">
      <alignment vertical="center"/>
    </xf>
    <xf numFmtId="0" fontId="110" fillId="0" borderId="83" xfId="5" applyFont="1" applyBorder="1"/>
    <xf numFmtId="0" fontId="110" fillId="0" borderId="5" xfId="5" applyFont="1" applyBorder="1"/>
    <xf numFmtId="0" fontId="111" fillId="0" borderId="5" xfId="5" applyFont="1" applyBorder="1" applyAlignment="1">
      <alignment horizontal="left" wrapText="1"/>
    </xf>
    <xf numFmtId="0" fontId="111" fillId="0" borderId="4" xfId="5" applyFont="1" applyBorder="1" applyAlignment="1">
      <alignment wrapText="1"/>
    </xf>
    <xf numFmtId="188" fontId="111" fillId="0" borderId="5" xfId="5" applyNumberFormat="1" applyFont="1" applyBorder="1" applyAlignment="1">
      <alignment horizontal="left"/>
    </xf>
    <xf numFmtId="0" fontId="112" fillId="0" borderId="5" xfId="5" applyFont="1" applyBorder="1" applyAlignment="1">
      <alignment horizontal="left" wrapText="1"/>
    </xf>
    <xf numFmtId="0" fontId="111" fillId="0" borderId="5" xfId="5" applyFont="1" applyBorder="1" applyAlignment="1">
      <alignment wrapText="1"/>
    </xf>
    <xf numFmtId="0" fontId="111" fillId="0" borderId="4" xfId="5" applyFont="1" applyBorder="1"/>
    <xf numFmtId="0" fontId="111" fillId="0" borderId="6" xfId="5" applyFont="1" applyBorder="1"/>
    <xf numFmtId="0" fontId="111" fillId="0" borderId="10" xfId="5" applyFont="1" applyBorder="1" applyAlignment="1">
      <alignment wrapText="1"/>
    </xf>
    <xf numFmtId="166" fontId="33" fillId="0" borderId="0" xfId="6" applyNumberFormat="1" applyFont="1" applyAlignment="1" applyProtection="1">
      <alignment horizontal="center" vertical="center"/>
      <protection hidden="1"/>
    </xf>
    <xf numFmtId="2" fontId="33" fillId="0" borderId="0" xfId="6" applyNumberFormat="1" applyFont="1" applyAlignment="1" applyProtection="1">
      <alignment vertical="center"/>
      <protection hidden="1"/>
    </xf>
    <xf numFmtId="0" fontId="33" fillId="0" borderId="66" xfId="0" applyFont="1" applyBorder="1" applyProtection="1">
      <alignment vertical="center"/>
      <protection hidden="1"/>
    </xf>
    <xf numFmtId="0" fontId="33" fillId="0" borderId="60" xfId="0" applyFont="1" applyBorder="1" applyProtection="1">
      <alignment vertical="center"/>
      <protection hidden="1"/>
    </xf>
    <xf numFmtId="0" fontId="33" fillId="0" borderId="61" xfId="0" applyFont="1" applyBorder="1" applyProtection="1">
      <alignment vertical="center"/>
      <protection hidden="1"/>
    </xf>
    <xf numFmtId="0" fontId="33" fillId="0" borderId="84" xfId="0" applyFont="1" applyBorder="1" applyAlignment="1">
      <alignment horizontal="right" vertical="center"/>
    </xf>
    <xf numFmtId="202" fontId="25" fillId="0" borderId="53" xfId="0" applyNumberFormat="1" applyFont="1" applyBorder="1">
      <alignment vertical="center"/>
    </xf>
    <xf numFmtId="203" fontId="25" fillId="0" borderId="56" xfId="0" applyNumberFormat="1" applyFont="1" applyBorder="1">
      <alignment vertical="center"/>
    </xf>
    <xf numFmtId="1" fontId="113" fillId="0" borderId="50" xfId="0" applyNumberFormat="1" applyFont="1" applyBorder="1" applyAlignment="1">
      <alignment horizontal="right" vertical="center"/>
    </xf>
    <xf numFmtId="186" fontId="113" fillId="0" borderId="53" xfId="0" applyNumberFormat="1" applyFont="1" applyBorder="1" applyAlignment="1">
      <alignment horizontal="right" vertical="center"/>
    </xf>
    <xf numFmtId="166" fontId="113" fillId="0" borderId="56" xfId="0" applyNumberFormat="1" applyFont="1" applyBorder="1" applyAlignment="1">
      <alignment horizontal="right" vertical="center"/>
    </xf>
    <xf numFmtId="166" fontId="33" fillId="0" borderId="38" xfId="6" applyNumberFormat="1" applyFont="1" applyBorder="1" applyAlignment="1" applyProtection="1">
      <alignment horizontal="right" vertical="center"/>
      <protection hidden="1"/>
    </xf>
    <xf numFmtId="2" fontId="96" fillId="0" borderId="0" xfId="3" applyNumberFormat="1" applyFont="1" applyFill="1" applyBorder="1" applyAlignment="1" applyProtection="1">
      <alignment horizontal="center" vertical="center"/>
      <protection locked="0"/>
    </xf>
    <xf numFmtId="0" fontId="45" fillId="0" borderId="0" xfId="0" applyFont="1" applyProtection="1">
      <alignment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114" fillId="0" borderId="0" xfId="0" applyFont="1" applyProtection="1">
      <alignment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3" fillId="0" borderId="0" xfId="0" quotePrefix="1" applyFont="1" applyAlignment="1" applyProtection="1">
      <alignment horizontal="left" vertical="center"/>
      <protection locked="0"/>
    </xf>
    <xf numFmtId="0" fontId="33" fillId="0" borderId="0" xfId="0" quotePrefix="1" applyFont="1" applyProtection="1">
      <alignment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41" fillId="0" borderId="0" xfId="0" applyFont="1" applyProtection="1">
      <alignment vertical="center"/>
      <protection locked="0"/>
    </xf>
    <xf numFmtId="0" fontId="32" fillId="0" borderId="0" xfId="0" applyFont="1" applyProtection="1">
      <alignment vertical="center"/>
      <protection locked="0"/>
    </xf>
    <xf numFmtId="0" fontId="17" fillId="0" borderId="0" xfId="0" quotePrefix="1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 wrapText="1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66" fontId="29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166" fontId="32" fillId="0" borderId="16" xfId="0" applyNumberFormat="1" applyFont="1" applyBorder="1" applyAlignment="1" applyProtection="1">
      <alignment horizontal="center" vertical="center"/>
      <protection locked="0"/>
    </xf>
    <xf numFmtId="166" fontId="33" fillId="0" borderId="16" xfId="0" applyNumberFormat="1" applyFont="1" applyBorder="1" applyAlignment="1">
      <alignment horizontal="center" vertical="center"/>
    </xf>
    <xf numFmtId="166" fontId="33" fillId="0" borderId="47" xfId="0" applyNumberFormat="1" applyFont="1" applyBorder="1">
      <alignment vertical="center"/>
    </xf>
    <xf numFmtId="187" fontId="33" fillId="0" borderId="0" xfId="0" applyNumberFormat="1" applyFont="1">
      <alignment vertical="center"/>
    </xf>
    <xf numFmtId="0" fontId="33" fillId="0" borderId="77" xfId="0" applyFont="1" applyBorder="1" applyAlignment="1">
      <alignment horizontal="center" vertical="center"/>
    </xf>
    <xf numFmtId="0" fontId="25" fillId="0" borderId="38" xfId="0" applyFont="1" applyBorder="1" applyAlignment="1" applyProtection="1">
      <alignment horizontal="left" vertical="center"/>
      <protection locked="0"/>
    </xf>
    <xf numFmtId="0" fontId="33" fillId="0" borderId="30" xfId="0" applyFont="1" applyBorder="1" applyAlignment="1">
      <alignment horizontal="center" vertical="center"/>
    </xf>
    <xf numFmtId="166" fontId="32" fillId="0" borderId="38" xfId="0" quotePrefix="1" applyNumberFormat="1" applyFont="1" applyBorder="1" applyAlignment="1" applyProtection="1">
      <alignment horizontal="right" vertical="center"/>
      <protection locked="0"/>
    </xf>
    <xf numFmtId="164" fontId="32" fillId="0" borderId="38" xfId="0" quotePrefix="1" applyNumberFormat="1" applyFont="1" applyBorder="1" applyAlignment="1" applyProtection="1">
      <alignment horizontal="right" vertical="center"/>
      <protection locked="0"/>
    </xf>
    <xf numFmtId="0" fontId="33" fillId="0" borderId="33" xfId="0" applyFont="1" applyBorder="1" applyAlignment="1">
      <alignment horizontal="center" vertical="center"/>
    </xf>
    <xf numFmtId="0" fontId="33" fillId="0" borderId="44" xfId="0" applyFont="1" applyBorder="1">
      <alignment vertical="center"/>
    </xf>
    <xf numFmtId="0" fontId="25" fillId="0" borderId="44" xfId="0" applyFont="1" applyBorder="1" applyAlignment="1">
      <alignment horizontal="center" vertical="center"/>
    </xf>
    <xf numFmtId="0" fontId="25" fillId="0" borderId="46" xfId="0" applyFont="1" applyBorder="1" applyProtection="1">
      <alignment vertical="center"/>
      <protection locked="0"/>
    </xf>
    <xf numFmtId="178" fontId="32" fillId="0" borderId="38" xfId="0" quotePrefix="1" applyNumberFormat="1" applyFont="1" applyBorder="1" applyAlignment="1" applyProtection="1">
      <alignment horizontal="right" vertical="center"/>
      <protection locked="0"/>
    </xf>
    <xf numFmtId="1" fontId="33" fillId="0" borderId="49" xfId="0" applyNumberFormat="1" applyFont="1" applyBorder="1" applyAlignment="1">
      <alignment horizontal="center" vertical="center"/>
    </xf>
    <xf numFmtId="0" fontId="33" fillId="0" borderId="51" xfId="0" applyFont="1" applyBorder="1">
      <alignment vertical="center"/>
    </xf>
    <xf numFmtId="0" fontId="33" fillId="0" borderId="51" xfId="0" applyFont="1" applyBorder="1" applyAlignment="1">
      <alignment horizontal="center" vertical="center"/>
    </xf>
    <xf numFmtId="0" fontId="33" fillId="0" borderId="59" xfId="0" applyFont="1" applyBorder="1">
      <alignment vertical="center"/>
    </xf>
    <xf numFmtId="0" fontId="33" fillId="0" borderId="50" xfId="0" applyFont="1" applyBorder="1" applyAlignment="1" applyProtection="1">
      <alignment horizontal="right" vertical="center"/>
      <protection locked="0"/>
    </xf>
    <xf numFmtId="0" fontId="33" fillId="0" borderId="59" xfId="0" applyFont="1" applyBorder="1" applyAlignment="1">
      <alignment horizontal="left" vertical="center"/>
    </xf>
    <xf numFmtId="1" fontId="33" fillId="0" borderId="55" xfId="0" applyNumberFormat="1" applyFont="1" applyBorder="1" applyAlignment="1">
      <alignment horizontal="center" vertical="center"/>
    </xf>
    <xf numFmtId="0" fontId="33" fillId="0" borderId="57" xfId="0" applyFont="1" applyBorder="1">
      <alignment vertical="center"/>
    </xf>
    <xf numFmtId="0" fontId="33" fillId="0" borderId="57" xfId="0" applyFont="1" applyBorder="1" applyAlignment="1">
      <alignment horizontal="center" vertical="center"/>
    </xf>
    <xf numFmtId="0" fontId="33" fillId="0" borderId="61" xfId="0" applyFont="1" applyBorder="1">
      <alignment vertical="center"/>
    </xf>
    <xf numFmtId="0" fontId="33" fillId="0" borderId="56" xfId="0" applyFont="1" applyBorder="1" applyAlignment="1" applyProtection="1">
      <alignment horizontal="right" vertical="center"/>
      <protection locked="0"/>
    </xf>
    <xf numFmtId="0" fontId="33" fillId="0" borderId="61" xfId="0" applyFont="1" applyBorder="1" applyAlignment="1">
      <alignment horizontal="left" vertical="center"/>
    </xf>
    <xf numFmtId="1" fontId="33" fillId="0" borderId="0" xfId="0" applyNumberFormat="1" applyFont="1" applyAlignment="1">
      <alignment horizontal="center" vertical="center"/>
    </xf>
    <xf numFmtId="0" fontId="44" fillId="0" borderId="0" xfId="0" applyFont="1">
      <alignment vertical="center"/>
    </xf>
    <xf numFmtId="2" fontId="33" fillId="0" borderId="3" xfId="0" applyNumberFormat="1" applyFont="1" applyBorder="1" applyAlignment="1" applyProtection="1">
      <alignment horizontal="center" vertical="center"/>
      <protection locked="0"/>
    </xf>
    <xf numFmtId="167" fontId="33" fillId="0" borderId="0" xfId="0" applyNumberFormat="1" applyFont="1" applyAlignment="1">
      <alignment horizontal="right" vertical="center"/>
    </xf>
    <xf numFmtId="164" fontId="33" fillId="0" borderId="42" xfId="0" applyNumberFormat="1" applyFont="1" applyBorder="1" applyAlignment="1">
      <alignment horizontal="center" vertical="center"/>
    </xf>
    <xf numFmtId="167" fontId="33" fillId="0" borderId="69" xfId="0" applyNumberFormat="1" applyFont="1" applyBorder="1" applyAlignment="1">
      <alignment horizontal="center" vertical="center" wrapText="1"/>
    </xf>
    <xf numFmtId="167" fontId="33" fillId="0" borderId="35" xfId="0" applyNumberFormat="1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98" fillId="0" borderId="0" xfId="0" applyFont="1">
      <alignment vertical="center"/>
    </xf>
    <xf numFmtId="1" fontId="33" fillId="0" borderId="70" xfId="0" applyNumberFormat="1" applyFont="1" applyBorder="1" applyAlignment="1">
      <alignment horizontal="center" vertical="center"/>
    </xf>
    <xf numFmtId="166" fontId="33" fillId="0" borderId="62" xfId="0" applyNumberFormat="1" applyFont="1" applyBorder="1" applyAlignment="1">
      <alignment horizontal="center" vertical="center"/>
    </xf>
    <xf numFmtId="1" fontId="33" fillId="0" borderId="21" xfId="0" applyNumberFormat="1" applyFont="1" applyBorder="1" applyAlignment="1">
      <alignment horizontal="center" vertical="center"/>
    </xf>
    <xf numFmtId="1" fontId="33" fillId="0" borderId="22" xfId="0" applyNumberFormat="1" applyFont="1" applyBorder="1" applyAlignment="1">
      <alignment horizontal="center" vertical="center"/>
    </xf>
    <xf numFmtId="1" fontId="33" fillId="0" borderId="71" xfId="0" applyNumberFormat="1" applyFont="1" applyBorder="1" applyAlignment="1">
      <alignment horizontal="center" vertical="center"/>
    </xf>
    <xf numFmtId="1" fontId="33" fillId="0" borderId="23" xfId="0" applyNumberFormat="1" applyFont="1" applyBorder="1" applyAlignment="1">
      <alignment horizontal="center" vertical="center"/>
    </xf>
    <xf numFmtId="166" fontId="33" fillId="0" borderId="23" xfId="0" applyNumberFormat="1" applyFont="1" applyBorder="1" applyAlignment="1">
      <alignment horizontal="center" vertical="center"/>
    </xf>
    <xf numFmtId="1" fontId="33" fillId="0" borderId="72" xfId="0" applyNumberFormat="1" applyFont="1" applyBorder="1" applyAlignment="1">
      <alignment horizontal="center" vertical="center"/>
    </xf>
    <xf numFmtId="0" fontId="33" fillId="0" borderId="68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2" fontId="33" fillId="0" borderId="25" xfId="0" applyNumberFormat="1" applyFont="1" applyBorder="1" applyAlignment="1">
      <alignment horizontal="center" vertical="center"/>
    </xf>
    <xf numFmtId="166" fontId="33" fillId="0" borderId="26" xfId="0" applyNumberFormat="1" applyFont="1" applyBorder="1" applyAlignment="1">
      <alignment horizontal="center" vertical="center"/>
    </xf>
    <xf numFmtId="167" fontId="33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Protection="1">
      <alignment vertical="center"/>
      <protection locked="0"/>
    </xf>
    <xf numFmtId="2" fontId="32" fillId="0" borderId="3" xfId="0" applyNumberFormat="1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171" fontId="33" fillId="0" borderId="3" xfId="0" applyNumberFormat="1" applyFont="1" applyBorder="1" applyAlignment="1" applyProtection="1">
      <alignment horizontal="center" vertical="center"/>
      <protection locked="0"/>
    </xf>
    <xf numFmtId="171" fontId="33" fillId="0" borderId="0" xfId="0" applyNumberFormat="1" applyFont="1" applyProtection="1">
      <alignment vertical="center"/>
      <protection locked="0"/>
    </xf>
    <xf numFmtId="1" fontId="33" fillId="0" borderId="3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1" fontId="33" fillId="0" borderId="0" xfId="0" applyNumberFormat="1" applyFont="1">
      <alignment vertical="center"/>
    </xf>
    <xf numFmtId="2" fontId="33" fillId="0" borderId="0" xfId="0" applyNumberFormat="1" applyFont="1" applyAlignment="1" applyProtection="1">
      <alignment horizontal="center" vertical="center"/>
      <protection locked="0"/>
    </xf>
    <xf numFmtId="166" fontId="2" fillId="0" borderId="0" xfId="0" applyNumberFormat="1" applyFont="1">
      <alignment vertical="center"/>
    </xf>
    <xf numFmtId="0" fontId="41" fillId="0" borderId="0" xfId="0" applyFont="1">
      <alignment vertical="center"/>
    </xf>
    <xf numFmtId="166" fontId="113" fillId="11" borderId="0" xfId="0" applyNumberFormat="1" applyFont="1" applyFill="1" applyAlignment="1">
      <alignment horizontal="left" vertical="center"/>
    </xf>
    <xf numFmtId="166" fontId="113" fillId="0" borderId="0" xfId="0" applyNumberFormat="1" applyFont="1" applyAlignment="1">
      <alignment horizontal="left" vertical="center"/>
    </xf>
    <xf numFmtId="0" fontId="113" fillId="0" borderId="0" xfId="0" applyFont="1">
      <alignment vertical="center"/>
    </xf>
    <xf numFmtId="0" fontId="113" fillId="0" borderId="53" xfId="0" applyFont="1" applyBorder="1">
      <alignment vertical="center"/>
    </xf>
    <xf numFmtId="0" fontId="113" fillId="0" borderId="56" xfId="0" applyFont="1" applyBorder="1">
      <alignment vertical="center"/>
    </xf>
    <xf numFmtId="0" fontId="113" fillId="0" borderId="0" xfId="0" applyFont="1" applyAlignment="1">
      <alignment horizontal="left" vertical="center"/>
    </xf>
    <xf numFmtId="0" fontId="113" fillId="11" borderId="0" xfId="0" applyFont="1" applyFill="1" applyProtection="1">
      <alignment vertical="center"/>
      <protection locked="0"/>
    </xf>
    <xf numFmtId="166" fontId="113" fillId="0" borderId="0" xfId="0" applyNumberFormat="1" applyFont="1" applyAlignment="1" applyProtection="1">
      <alignment horizontal="left" vertical="center"/>
      <protection locked="0"/>
    </xf>
    <xf numFmtId="0" fontId="113" fillId="0" borderId="0" xfId="0" applyFont="1" applyAlignment="1">
      <alignment horizontal="right" vertical="center"/>
    </xf>
    <xf numFmtId="0" fontId="115" fillId="3" borderId="0" xfId="0" applyFont="1" applyFill="1" applyAlignment="1" applyProtection="1">
      <alignment horizontal="left" vertical="center"/>
      <protection locked="0"/>
    </xf>
    <xf numFmtId="166" fontId="113" fillId="0" borderId="3" xfId="0" applyNumberFormat="1" applyFont="1" applyBorder="1" applyAlignment="1">
      <alignment horizontal="center" vertical="center"/>
    </xf>
    <xf numFmtId="2" fontId="113" fillId="0" borderId="3" xfId="0" applyNumberFormat="1" applyFont="1" applyBorder="1" applyAlignment="1">
      <alignment horizontal="center" vertical="center"/>
    </xf>
    <xf numFmtId="204" fontId="2" fillId="0" borderId="0" xfId="0" applyNumberFormat="1" applyFont="1" applyAlignment="1">
      <alignment horizontal="left" vertical="center"/>
    </xf>
    <xf numFmtId="0" fontId="60" fillId="22" borderId="0" xfId="0" applyFont="1" applyFill="1">
      <alignment vertical="center"/>
    </xf>
    <xf numFmtId="0" fontId="33" fillId="0" borderId="45" xfId="0" applyFont="1" applyBorder="1" applyProtection="1">
      <alignment vertical="center"/>
      <protection locked="0"/>
    </xf>
    <xf numFmtId="0" fontId="33" fillId="0" borderId="45" xfId="0" applyFont="1" applyBorder="1" applyAlignment="1" applyProtection="1">
      <alignment horizontal="right" vertical="center"/>
      <protection locked="0"/>
    </xf>
    <xf numFmtId="0" fontId="44" fillId="0" borderId="49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textRotation="180" wrapText="1"/>
    </xf>
    <xf numFmtId="0" fontId="2" fillId="0" borderId="3" xfId="0" applyFont="1" applyBorder="1" applyAlignment="1">
      <alignment horizontal="center" vertical="center" wrapText="1"/>
    </xf>
    <xf numFmtId="166" fontId="33" fillId="0" borderId="3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/>
    </xf>
    <xf numFmtId="0" fontId="33" fillId="0" borderId="0" xfId="0" applyFont="1" applyAlignment="1">
      <alignment horizontal="left" wrapText="1"/>
    </xf>
    <xf numFmtId="0" fontId="1" fillId="11" borderId="0" xfId="0" applyFont="1" applyFill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/>
    </xf>
    <xf numFmtId="0" fontId="33" fillId="11" borderId="58" xfId="0" applyFont="1" applyFill="1" applyBorder="1" applyAlignment="1">
      <alignment horizontal="center"/>
    </xf>
    <xf numFmtId="0" fontId="33" fillId="11" borderId="62" xfId="0" applyFont="1" applyFill="1" applyBorder="1" applyAlignment="1">
      <alignment horizontal="center"/>
    </xf>
    <xf numFmtId="0" fontId="33" fillId="0" borderId="3" xfId="0" applyFont="1" applyBorder="1" applyAlignment="1"/>
    <xf numFmtId="0" fontId="45" fillId="11" borderId="0" xfId="0" applyFont="1" applyFill="1" applyAlignment="1">
      <alignment horizontal="center" vertical="center"/>
    </xf>
    <xf numFmtId="0" fontId="33" fillId="0" borderId="64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 wrapText="1"/>
    </xf>
    <xf numFmtId="0" fontId="33" fillId="0" borderId="85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2" xfId="0" applyFont="1" applyBorder="1" applyAlignment="1">
      <alignment horizontal="center"/>
    </xf>
    <xf numFmtId="166" fontId="2" fillId="0" borderId="38" xfId="0" applyNumberFormat="1" applyFont="1" applyBorder="1" applyAlignment="1">
      <alignment horizontal="center" vertical="center"/>
    </xf>
    <xf numFmtId="166" fontId="2" fillId="0" borderId="46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166" fontId="3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6" fontId="33" fillId="0" borderId="21" xfId="0" applyNumberFormat="1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188" fontId="60" fillId="0" borderId="16" xfId="0" applyNumberFormat="1" applyFont="1" applyBorder="1" applyAlignment="1">
      <alignment horizontal="center" vertical="center"/>
    </xf>
    <xf numFmtId="188" fontId="60" fillId="0" borderId="33" xfId="0" applyNumberFormat="1" applyFont="1" applyBorder="1" applyAlignment="1">
      <alignment horizontal="center" vertical="center"/>
    </xf>
    <xf numFmtId="188" fontId="60" fillId="0" borderId="21" xfId="0" applyNumberFormat="1" applyFont="1" applyBorder="1" applyAlignment="1">
      <alignment horizontal="center" vertical="center"/>
    </xf>
    <xf numFmtId="188" fontId="76" fillId="0" borderId="16" xfId="0" applyNumberFormat="1" applyFont="1" applyBorder="1" applyAlignment="1">
      <alignment horizontal="center" vertical="center"/>
    </xf>
    <xf numFmtId="188" fontId="76" fillId="0" borderId="21" xfId="0" applyNumberFormat="1" applyFont="1" applyBorder="1" applyAlignment="1">
      <alignment horizontal="center" vertical="center"/>
    </xf>
    <xf numFmtId="0" fontId="76" fillId="0" borderId="16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6" fillId="0" borderId="16" xfId="0" quotePrefix="1" applyFont="1" applyBorder="1" applyAlignment="1">
      <alignment horizontal="center" wrapText="1"/>
    </xf>
    <xf numFmtId="0" fontId="76" fillId="0" borderId="21" xfId="0" quotePrefix="1" applyFont="1" applyBorder="1" applyAlignment="1">
      <alignment horizontal="center" wrapText="1"/>
    </xf>
    <xf numFmtId="198" fontId="25" fillId="0" borderId="3" xfId="0" applyNumberFormat="1" applyFont="1" applyBorder="1" applyAlignment="1">
      <alignment horizontal="center" vertical="center"/>
    </xf>
    <xf numFmtId="0" fontId="113" fillId="0" borderId="38" xfId="0" applyFont="1" applyBorder="1" applyProtection="1">
      <alignment vertical="center"/>
      <protection locked="0"/>
    </xf>
    <xf numFmtId="0" fontId="113" fillId="0" borderId="30" xfId="0" applyFont="1" applyBorder="1" applyProtection="1">
      <alignment vertical="center"/>
      <protection locked="0"/>
    </xf>
    <xf numFmtId="0" fontId="113" fillId="0" borderId="38" xfId="0" applyFont="1" applyBorder="1" applyAlignment="1" applyProtection="1">
      <alignment horizontal="left" vertical="center"/>
      <protection locked="0"/>
    </xf>
    <xf numFmtId="0" fontId="113" fillId="0" borderId="30" xfId="0" applyFont="1" applyBorder="1" applyAlignment="1" applyProtection="1">
      <alignment horizontal="left" vertical="center"/>
      <protection locked="0"/>
    </xf>
    <xf numFmtId="0" fontId="33" fillId="0" borderId="38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171" fontId="3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66" fontId="32" fillId="0" borderId="38" xfId="0" applyNumberFormat="1" applyFont="1" applyBorder="1" applyAlignment="1">
      <alignment horizontal="center" vertical="center"/>
    </xf>
    <xf numFmtId="166" fontId="32" fillId="0" borderId="30" xfId="0" applyNumberFormat="1" applyFont="1" applyBorder="1" applyAlignment="1">
      <alignment horizontal="center" vertical="center"/>
    </xf>
    <xf numFmtId="166" fontId="32" fillId="0" borderId="46" xfId="0" applyNumberFormat="1" applyFont="1" applyBorder="1" applyAlignment="1">
      <alignment horizontal="center" vertical="center"/>
    </xf>
    <xf numFmtId="166" fontId="33" fillId="0" borderId="38" xfId="0" applyNumberFormat="1" applyFont="1" applyBorder="1" applyAlignment="1">
      <alignment horizontal="center" vertical="center"/>
    </xf>
    <xf numFmtId="166" fontId="33" fillId="0" borderId="30" xfId="0" applyNumberFormat="1" applyFont="1" applyBorder="1" applyAlignment="1">
      <alignment horizontal="center" vertical="center"/>
    </xf>
    <xf numFmtId="166" fontId="33" fillId="0" borderId="46" xfId="0" applyNumberFormat="1" applyFont="1" applyBorder="1" applyAlignment="1">
      <alignment horizontal="center" vertical="center"/>
    </xf>
    <xf numFmtId="166" fontId="33" fillId="0" borderId="3" xfId="0" applyNumberFormat="1" applyFont="1" applyBorder="1" applyAlignment="1">
      <alignment horizontal="left" vertical="center"/>
    </xf>
    <xf numFmtId="178" fontId="33" fillId="0" borderId="3" xfId="0" applyNumberFormat="1" applyFont="1" applyBorder="1" applyAlignment="1">
      <alignment horizontal="center" vertical="center"/>
    </xf>
    <xf numFmtId="1" fontId="33" fillId="0" borderId="16" xfId="0" applyNumberFormat="1" applyFont="1" applyBorder="1" applyAlignment="1">
      <alignment horizontal="center" vertical="center"/>
    </xf>
    <xf numFmtId="1" fontId="33" fillId="0" borderId="33" xfId="0" applyNumberFormat="1" applyFont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2" fontId="3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2" fillId="0" borderId="0" xfId="0" applyFont="1" applyAlignment="1" applyProtection="1">
      <alignment horizontal="left" vertical="center"/>
      <protection locked="0"/>
    </xf>
    <xf numFmtId="196" fontId="33" fillId="0" borderId="3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98" fillId="0" borderId="45" xfId="0" applyFont="1" applyBorder="1" applyAlignment="1">
      <alignment horizontal="center" vertical="center"/>
    </xf>
    <xf numFmtId="0" fontId="98" fillId="0" borderId="0" xfId="0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 applyProtection="1">
      <alignment horizontal="left" vertical="center"/>
      <protection locked="0"/>
    </xf>
    <xf numFmtId="0" fontId="2" fillId="0" borderId="38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95" fontId="33" fillId="0" borderId="0" xfId="0" quotePrefix="1" applyNumberFormat="1" applyFont="1" applyAlignment="1" applyProtection="1">
      <alignment horizontal="left" vertical="center"/>
      <protection locked="0"/>
    </xf>
    <xf numFmtId="1" fontId="32" fillId="0" borderId="16" xfId="0" quotePrefix="1" applyNumberFormat="1" applyFont="1" applyBorder="1" applyAlignment="1">
      <alignment horizontal="center" vertical="center"/>
    </xf>
    <xf numFmtId="1" fontId="32" fillId="0" borderId="33" xfId="0" applyNumberFormat="1" applyFont="1" applyBorder="1" applyAlignment="1">
      <alignment horizontal="center" vertical="center"/>
    </xf>
    <xf numFmtId="1" fontId="32" fillId="0" borderId="21" xfId="0" applyNumberFormat="1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44" fillId="0" borderId="61" xfId="0" applyFont="1" applyBorder="1" applyAlignment="1">
      <alignment horizontal="center" vertical="center"/>
    </xf>
    <xf numFmtId="180" fontId="33" fillId="0" borderId="0" xfId="0" applyNumberFormat="1" applyFont="1" applyAlignment="1">
      <alignment horizontal="center" vertical="center"/>
    </xf>
    <xf numFmtId="172" fontId="33" fillId="0" borderId="0" xfId="0" applyNumberFormat="1" applyFont="1" applyAlignment="1">
      <alignment horizontal="center" vertical="center"/>
    </xf>
    <xf numFmtId="0" fontId="33" fillId="0" borderId="48" xfId="0" applyFont="1" applyBorder="1" applyAlignment="1" applyProtection="1">
      <alignment horizontal="center" vertical="center"/>
      <protection locked="0"/>
    </xf>
    <xf numFmtId="166" fontId="33" fillId="0" borderId="0" xfId="0" applyNumberFormat="1" applyFont="1" applyAlignment="1" applyProtection="1">
      <alignment horizontal="left" vertical="center"/>
      <protection locked="0"/>
    </xf>
    <xf numFmtId="164" fontId="33" fillId="0" borderId="38" xfId="0" applyNumberFormat="1" applyFont="1" applyBorder="1" applyAlignment="1">
      <alignment horizontal="center" vertical="center"/>
    </xf>
    <xf numFmtId="164" fontId="33" fillId="0" borderId="46" xfId="0" applyNumberFormat="1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1" fontId="33" fillId="0" borderId="38" xfId="0" applyNumberFormat="1" applyFont="1" applyBorder="1" applyAlignment="1">
      <alignment horizontal="center" vertical="center"/>
    </xf>
    <xf numFmtId="1" fontId="33" fillId="0" borderId="30" xfId="0" applyNumberFormat="1" applyFont="1" applyBorder="1" applyAlignment="1">
      <alignment horizontal="center" vertical="center"/>
    </xf>
    <xf numFmtId="1" fontId="33" fillId="0" borderId="46" xfId="0" applyNumberFormat="1" applyFont="1" applyBorder="1" applyAlignment="1">
      <alignment horizontal="center" vertical="center"/>
    </xf>
    <xf numFmtId="0" fontId="33" fillId="0" borderId="0" xfId="0" applyFont="1" applyAlignment="1" applyProtection="1">
      <alignment horizontal="center" vertical="center"/>
      <protection locked="0"/>
    </xf>
    <xf numFmtId="0" fontId="33" fillId="0" borderId="80" xfId="0" quotePrefix="1" applyFont="1" applyBorder="1" applyAlignment="1" applyProtection="1">
      <alignment horizontal="center" vertical="center"/>
      <protection locked="0"/>
    </xf>
    <xf numFmtId="0" fontId="33" fillId="0" borderId="78" xfId="0" applyFont="1" applyBorder="1" applyAlignment="1" applyProtection="1">
      <alignment horizontal="center" vertical="center"/>
      <protection locked="0"/>
    </xf>
    <xf numFmtId="0" fontId="33" fillId="0" borderId="79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>
      <alignment horizontal="center" vertical="center"/>
    </xf>
    <xf numFmtId="199" fontId="25" fillId="0" borderId="3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187" fontId="25" fillId="0" borderId="3" xfId="0" applyNumberFormat="1" applyFont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44" fillId="0" borderId="59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97" fillId="0" borderId="0" xfId="3" applyFont="1" applyFill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51" fillId="5" borderId="67" xfId="0" applyFont="1" applyFill="1" applyBorder="1" applyAlignment="1">
      <alignment horizontal="center" vertical="center"/>
    </xf>
    <xf numFmtId="0" fontId="51" fillId="5" borderId="46" xfId="0" applyFont="1" applyFill="1" applyBorder="1" applyAlignment="1">
      <alignment horizontal="center" vertical="center"/>
    </xf>
    <xf numFmtId="0" fontId="51" fillId="5" borderId="13" xfId="0" applyFont="1" applyFill="1" applyBorder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2" fontId="30" fillId="11" borderId="0" xfId="0" applyNumberFormat="1" applyFont="1" applyFill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32" xfId="0" applyFont="1" applyFill="1" applyBorder="1" applyAlignment="1">
      <alignment horizontal="left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1" fillId="5" borderId="31" xfId="0" applyFont="1" applyFill="1" applyBorder="1" applyAlignment="1">
      <alignment horizontal="left" vertical="center"/>
    </xf>
    <xf numFmtId="0" fontId="51" fillId="5" borderId="32" xfId="0" applyFont="1" applyFill="1" applyBorder="1" applyAlignment="1">
      <alignment horizontal="left" vertical="center"/>
    </xf>
    <xf numFmtId="0" fontId="51" fillId="5" borderId="40" xfId="0" applyFont="1" applyFill="1" applyBorder="1" applyAlignment="1">
      <alignment horizontal="left" vertical="center"/>
    </xf>
    <xf numFmtId="0" fontId="51" fillId="5" borderId="27" xfId="0" applyFont="1" applyFill="1" applyBorder="1" applyAlignment="1">
      <alignment horizontal="left" vertical="center"/>
    </xf>
    <xf numFmtId="0" fontId="51" fillId="5" borderId="28" xfId="0" applyFont="1" applyFill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48" fillId="12" borderId="0" xfId="0" applyFont="1" applyFill="1" applyAlignment="1">
      <alignment horizontal="center" vertical="center"/>
    </xf>
    <xf numFmtId="0" fontId="51" fillId="5" borderId="20" xfId="0" applyFont="1" applyFill="1" applyBorder="1" applyAlignment="1">
      <alignment horizontal="center" vertical="center"/>
    </xf>
    <xf numFmtId="0" fontId="51" fillId="5" borderId="22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/>
    </xf>
    <xf numFmtId="0" fontId="51" fillId="5" borderId="14" xfId="0" applyFont="1" applyFill="1" applyBorder="1" applyAlignment="1">
      <alignment horizontal="center" vertical="center"/>
    </xf>
    <xf numFmtId="0" fontId="51" fillId="5" borderId="15" xfId="0" applyFont="1" applyFill="1" applyBorder="1" applyAlignment="1">
      <alignment horizontal="center" vertical="center"/>
    </xf>
    <xf numFmtId="0" fontId="51" fillId="5" borderId="16" xfId="0" applyFont="1" applyFill="1" applyBorder="1" applyAlignment="1">
      <alignment horizontal="center" vertical="center"/>
    </xf>
    <xf numFmtId="0" fontId="51" fillId="5" borderId="17" xfId="0" applyFont="1" applyFill="1" applyBorder="1" applyAlignment="1">
      <alignment horizontal="center" vertical="center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6" xfId="0" applyFont="1" applyBorder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25" fillId="0" borderId="3" xfId="0" applyFont="1" applyBorder="1">
      <alignment vertical="center"/>
    </xf>
    <xf numFmtId="0" fontId="34" fillId="0" borderId="38" xfId="6" applyFont="1" applyBorder="1" applyAlignment="1">
      <alignment horizontal="center" vertical="center"/>
    </xf>
    <xf numFmtId="0" fontId="34" fillId="0" borderId="30" xfId="6" applyFont="1" applyBorder="1" applyAlignment="1">
      <alignment horizontal="center" vertical="center"/>
    </xf>
    <xf numFmtId="0" fontId="34" fillId="0" borderId="46" xfId="6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88" fillId="5" borderId="3" xfId="0" applyFont="1" applyFill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0" fontId="33" fillId="11" borderId="0" xfId="0" applyFont="1" applyFill="1" applyAlignment="1" applyProtection="1">
      <alignment horizontal="left" vertical="top" wrapText="1"/>
      <protection locked="0"/>
    </xf>
    <xf numFmtId="200" fontId="33" fillId="0" borderId="38" xfId="0" applyNumberFormat="1" applyFont="1" applyBorder="1" applyAlignment="1">
      <alignment horizontal="center" vertical="center"/>
    </xf>
    <xf numFmtId="200" fontId="33" fillId="0" borderId="46" xfId="0" applyNumberFormat="1" applyFont="1" applyBorder="1" applyAlignment="1">
      <alignment horizontal="center" vertical="center"/>
    </xf>
    <xf numFmtId="182" fontId="33" fillId="0" borderId="0" xfId="0" applyNumberFormat="1" applyFont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9" fontId="33" fillId="0" borderId="2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87" fontId="25" fillId="0" borderId="38" xfId="0" applyNumberFormat="1" applyFont="1" applyBorder="1" applyAlignment="1">
      <alignment horizontal="center" vertical="center"/>
    </xf>
    <xf numFmtId="187" fontId="25" fillId="0" borderId="46" xfId="0" applyNumberFormat="1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199" fontId="25" fillId="0" borderId="38" xfId="0" applyNumberFormat="1" applyFont="1" applyBorder="1" applyAlignment="1">
      <alignment horizontal="center" vertical="center"/>
    </xf>
    <xf numFmtId="199" fontId="25" fillId="0" borderId="46" xfId="0" applyNumberFormat="1" applyFont="1" applyBorder="1" applyAlignment="1">
      <alignment horizontal="center" vertical="center"/>
    </xf>
    <xf numFmtId="0" fontId="44" fillId="0" borderId="47" xfId="0" applyFont="1" applyBorder="1" applyAlignment="1">
      <alignment horizontal="center" vertical="center"/>
    </xf>
    <xf numFmtId="0" fontId="33" fillId="11" borderId="0" xfId="0" applyFont="1" applyFill="1" applyAlignment="1">
      <alignment horizontal="left" vertical="center"/>
    </xf>
    <xf numFmtId="0" fontId="100" fillId="0" borderId="76" xfId="0" applyFont="1" applyBorder="1" applyAlignment="1" applyProtection="1">
      <alignment horizontal="center" vertical="center"/>
      <protection locked="0"/>
    </xf>
    <xf numFmtId="0" fontId="100" fillId="0" borderId="63" xfId="0" applyFont="1" applyBorder="1" applyAlignment="1" applyProtection="1">
      <alignment horizontal="center" vertical="center"/>
      <protection locked="0"/>
    </xf>
    <xf numFmtId="0" fontId="100" fillId="0" borderId="58" xfId="0" applyFont="1" applyBorder="1" applyAlignment="1" applyProtection="1">
      <alignment horizontal="center" vertical="center"/>
      <protection locked="0"/>
    </xf>
    <xf numFmtId="0" fontId="100" fillId="0" borderId="62" xfId="0" applyFont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0" fontId="99" fillId="0" borderId="38" xfId="0" applyFont="1" applyBorder="1" applyAlignment="1" applyProtection="1">
      <alignment horizontal="center" vertical="center"/>
      <protection locked="0"/>
    </xf>
    <xf numFmtId="0" fontId="99" fillId="0" borderId="30" xfId="0" applyFont="1" applyBorder="1" applyAlignment="1" applyProtection="1">
      <alignment horizontal="center" vertical="center"/>
      <protection locked="0"/>
    </xf>
    <xf numFmtId="0" fontId="99" fillId="0" borderId="46" xfId="0" applyFont="1" applyBorder="1" applyAlignment="1" applyProtection="1">
      <alignment horizontal="center" vertical="center"/>
      <protection locked="0"/>
    </xf>
    <xf numFmtId="166" fontId="33" fillId="0" borderId="16" xfId="0" applyNumberFormat="1" applyFont="1" applyBorder="1" applyAlignment="1">
      <alignment horizontal="center" vertical="center" wrapText="1"/>
    </xf>
    <xf numFmtId="166" fontId="33" fillId="0" borderId="21" xfId="0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99" fillId="0" borderId="56" xfId="0" applyFont="1" applyBorder="1" applyAlignment="1" applyProtection="1">
      <alignment horizontal="left" vertical="center"/>
      <protection locked="0"/>
    </xf>
    <xf numFmtId="0" fontId="99" fillId="0" borderId="57" xfId="0" applyFont="1" applyBorder="1" applyAlignment="1" applyProtection="1">
      <alignment horizontal="left" vertical="center"/>
      <protection locked="0"/>
    </xf>
    <xf numFmtId="0" fontId="99" fillId="0" borderId="61" xfId="0" applyFont="1" applyBorder="1" applyAlignment="1" applyProtection="1">
      <alignment horizontal="left" vertical="center"/>
      <protection locked="0"/>
    </xf>
    <xf numFmtId="0" fontId="99" fillId="0" borderId="56" xfId="0" applyFont="1" applyBorder="1" applyAlignment="1" applyProtection="1">
      <alignment horizontal="center" vertical="center"/>
      <protection locked="0"/>
    </xf>
    <xf numFmtId="0" fontId="99" fillId="0" borderId="61" xfId="0" applyFont="1" applyBorder="1" applyAlignment="1" applyProtection="1">
      <alignment horizontal="center" vertical="center"/>
      <protection locked="0"/>
    </xf>
    <xf numFmtId="0" fontId="33" fillId="3" borderId="38" xfId="0" applyFont="1" applyFill="1" applyBorder="1" applyAlignment="1">
      <alignment horizontal="left" vertical="center"/>
    </xf>
    <xf numFmtId="0" fontId="33" fillId="3" borderId="30" xfId="0" applyFont="1" applyFill="1" applyBorder="1" applyAlignment="1">
      <alignment horizontal="left" vertical="center"/>
    </xf>
    <xf numFmtId="0" fontId="33" fillId="3" borderId="46" xfId="0" applyFont="1" applyFill="1" applyBorder="1" applyAlignment="1">
      <alignment horizontal="left" vertical="center"/>
    </xf>
    <xf numFmtId="0" fontId="33" fillId="11" borderId="0" xfId="0" applyFont="1" applyFill="1" applyAlignment="1">
      <alignment horizontal="center" vertical="center"/>
    </xf>
    <xf numFmtId="183" fontId="33" fillId="0" borderId="38" xfId="0" applyNumberFormat="1" applyFont="1" applyBorder="1" applyAlignment="1">
      <alignment horizontal="center" vertical="center"/>
    </xf>
    <xf numFmtId="183" fontId="33" fillId="0" borderId="46" xfId="0" applyNumberFormat="1" applyFont="1" applyBorder="1" applyAlignment="1">
      <alignment horizontal="center" vertical="center"/>
    </xf>
    <xf numFmtId="185" fontId="33" fillId="0" borderId="38" xfId="0" applyNumberFormat="1" applyFont="1" applyBorder="1" applyAlignment="1">
      <alignment horizontal="center" vertical="center"/>
    </xf>
    <xf numFmtId="185" fontId="33" fillId="0" borderId="46" xfId="0" applyNumberFormat="1" applyFont="1" applyBorder="1" applyAlignment="1">
      <alignment horizontal="center" vertical="center"/>
    </xf>
    <xf numFmtId="184" fontId="33" fillId="0" borderId="38" xfId="0" applyNumberFormat="1" applyFont="1" applyBorder="1" applyAlignment="1">
      <alignment horizontal="center" vertical="center"/>
    </xf>
    <xf numFmtId="184" fontId="33" fillId="0" borderId="46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177" fontId="33" fillId="0" borderId="0" xfId="0" applyNumberFormat="1" applyFont="1" applyAlignment="1">
      <alignment horizontal="left" vertical="center"/>
    </xf>
    <xf numFmtId="0" fontId="33" fillId="0" borderId="48" xfId="0" applyFont="1" applyBorder="1" applyAlignment="1">
      <alignment horizontal="center" vertical="top"/>
    </xf>
    <xf numFmtId="0" fontId="34" fillId="0" borderId="76" xfId="0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62" xfId="0" applyFont="1" applyBorder="1" applyAlignment="1">
      <alignment horizontal="center" vertical="center" wrapText="1"/>
    </xf>
    <xf numFmtId="166" fontId="25" fillId="0" borderId="3" xfId="0" applyNumberFormat="1" applyFont="1" applyBorder="1" applyAlignment="1">
      <alignment horizontal="center" vertical="center"/>
    </xf>
    <xf numFmtId="166" fontId="34" fillId="0" borderId="3" xfId="0" applyNumberFormat="1" applyFont="1" applyBorder="1" applyAlignment="1">
      <alignment horizontal="center" vertical="center" wrapText="1"/>
    </xf>
    <xf numFmtId="166" fontId="34" fillId="0" borderId="16" xfId="0" applyNumberFormat="1" applyFont="1" applyBorder="1" applyAlignment="1">
      <alignment horizontal="center" vertical="center" wrapText="1"/>
    </xf>
    <xf numFmtId="166" fontId="34" fillId="0" borderId="21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2" fontId="25" fillId="0" borderId="3" xfId="0" applyNumberFormat="1" applyFont="1" applyBorder="1" applyAlignment="1">
      <alignment horizontal="center" vertical="center"/>
    </xf>
    <xf numFmtId="166" fontId="34" fillId="0" borderId="38" xfId="0" applyNumberFormat="1" applyFont="1" applyBorder="1" applyAlignment="1">
      <alignment horizontal="center" vertical="center"/>
    </xf>
    <xf numFmtId="166" fontId="34" fillId="0" borderId="30" xfId="0" applyNumberFormat="1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182" fontId="25" fillId="0" borderId="38" xfId="0" applyNumberFormat="1" applyFont="1" applyBorder="1" applyAlignment="1">
      <alignment horizontal="center" vertical="center"/>
    </xf>
    <xf numFmtId="182" fontId="25" fillId="0" borderId="46" xfId="0" applyNumberFormat="1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48" xfId="0" applyFont="1" applyBorder="1" applyAlignment="1">
      <alignment horizontal="right" vertical="top"/>
    </xf>
    <xf numFmtId="0" fontId="25" fillId="11" borderId="0" xfId="0" applyFont="1" applyFill="1" applyAlignment="1">
      <alignment horizontal="left" vertical="center"/>
    </xf>
    <xf numFmtId="0" fontId="25" fillId="0" borderId="49" xfId="0" applyFont="1" applyBorder="1" applyAlignment="1">
      <alignment horizontal="center" vertical="center"/>
    </xf>
    <xf numFmtId="199" fontId="25" fillId="0" borderId="52" xfId="0" applyNumberFormat="1" applyFont="1" applyBorder="1" applyAlignment="1">
      <alignment horizontal="center" vertical="center"/>
    </xf>
    <xf numFmtId="187" fontId="25" fillId="0" borderId="55" xfId="0" applyNumberFormat="1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2" fontId="113" fillId="0" borderId="3" xfId="0" applyNumberFormat="1" applyFont="1" applyBorder="1" applyAlignment="1">
      <alignment horizontal="center" vertical="center"/>
    </xf>
    <xf numFmtId="0" fontId="11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32" fillId="11" borderId="0" xfId="0" applyFont="1" applyFill="1" applyAlignment="1">
      <alignment horizontal="center" vertical="center"/>
    </xf>
    <xf numFmtId="0" fontId="25" fillId="11" borderId="0" xfId="0" applyFont="1" applyFill="1" applyAlignment="1" applyProtection="1">
      <alignment horizontal="left" vertical="top" wrapText="1"/>
      <protection locked="0"/>
    </xf>
    <xf numFmtId="186" fontId="33" fillId="0" borderId="0" xfId="0" applyNumberFormat="1" applyFont="1" applyAlignment="1">
      <alignment horizontal="center" vertical="center"/>
    </xf>
    <xf numFmtId="1" fontId="25" fillId="0" borderId="3" xfId="0" applyNumberFormat="1" applyFont="1" applyBorder="1" applyAlignment="1">
      <alignment horizontal="center" vertical="center"/>
    </xf>
    <xf numFmtId="170" fontId="25" fillId="0" borderId="38" xfId="0" applyNumberFormat="1" applyFont="1" applyBorder="1" applyAlignment="1">
      <alignment horizontal="center" vertical="center"/>
    </xf>
    <xf numFmtId="170" fontId="25" fillId="0" borderId="46" xfId="0" applyNumberFormat="1" applyFont="1" applyBorder="1" applyAlignment="1">
      <alignment horizontal="center" vertical="center"/>
    </xf>
    <xf numFmtId="195" fontId="25" fillId="0" borderId="0" xfId="0" applyNumberFormat="1" applyFont="1" applyAlignment="1">
      <alignment horizontal="left" vertical="center"/>
    </xf>
    <xf numFmtId="190" fontId="74" fillId="21" borderId="0" xfId="0" applyNumberFormat="1" applyFont="1" applyFill="1" applyAlignment="1">
      <alignment horizontal="center" vertical="center"/>
    </xf>
    <xf numFmtId="190" fontId="0" fillId="20" borderId="0" xfId="0" applyNumberFormat="1" applyFill="1" applyAlignment="1">
      <alignment horizontal="center" vertical="center"/>
    </xf>
    <xf numFmtId="190" fontId="0" fillId="0" borderId="3" xfId="0" applyNumberFormat="1" applyBorder="1" applyAlignment="1">
      <alignment horizontal="left" vertical="top" wrapText="1"/>
    </xf>
    <xf numFmtId="190" fontId="0" fillId="0" borderId="3" xfId="0" applyNumberFormat="1" applyBorder="1" applyAlignment="1">
      <alignment horizontal="center" vertical="top" wrapText="1"/>
    </xf>
    <xf numFmtId="2" fontId="7" fillId="0" borderId="16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Border="1" applyAlignment="1">
      <alignment horizontal="center" vertical="top" wrapText="1"/>
    </xf>
    <xf numFmtId="190" fontId="7" fillId="0" borderId="16" xfId="0" applyNumberFormat="1" applyFont="1" applyBorder="1" applyAlignment="1">
      <alignment horizontal="center" vertical="center"/>
    </xf>
    <xf numFmtId="190" fontId="7" fillId="0" borderId="21" xfId="0" applyNumberFormat="1" applyFont="1" applyBorder="1" applyAlignment="1">
      <alignment horizontal="center" vertical="center"/>
    </xf>
    <xf numFmtId="190" fontId="72" fillId="19" borderId="0" xfId="0" applyNumberFormat="1" applyFont="1" applyFill="1" applyAlignment="1">
      <alignment horizontal="center" vertical="center"/>
    </xf>
    <xf numFmtId="190" fontId="73" fillId="19" borderId="0" xfId="0" applyNumberFormat="1" applyFont="1" applyFill="1" applyAlignment="1">
      <alignment horizontal="center" vertical="center"/>
    </xf>
    <xf numFmtId="188" fontId="9" fillId="0" borderId="0" xfId="5" applyNumberFormat="1" applyFont="1" applyAlignment="1">
      <alignment horizontal="left" vertical="top" wrapText="1"/>
    </xf>
    <xf numFmtId="0" fontId="9" fillId="0" borderId="0" xfId="5" applyFont="1" applyAlignment="1">
      <alignment horizontal="left" vertical="center" wrapText="1"/>
    </xf>
    <xf numFmtId="0" fontId="8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vertical="top" wrapText="1"/>
    </xf>
    <xf numFmtId="0" fontId="9" fillId="5" borderId="0" xfId="5" applyFont="1" applyFill="1" applyAlignment="1">
      <alignment horizontal="justify" vertical="center" wrapText="1"/>
    </xf>
    <xf numFmtId="188" fontId="9" fillId="0" borderId="0" xfId="5" applyNumberFormat="1" applyFont="1" applyAlignment="1">
      <alignment horizontal="left" vertical="center" wrapText="1"/>
    </xf>
    <xf numFmtId="0" fontId="107" fillId="0" borderId="0" xfId="5" applyFont="1" applyAlignment="1" applyProtection="1">
      <alignment horizontal="left" vertical="center" wrapText="1"/>
      <protection locked="0"/>
    </xf>
    <xf numFmtId="0" fontId="9" fillId="0" borderId="0" xfId="5" applyFont="1" applyAlignment="1" applyProtection="1">
      <alignment horizontal="left" vertical="top" wrapText="1"/>
      <protection locked="0"/>
    </xf>
    <xf numFmtId="0" fontId="9" fillId="0" borderId="0" xfId="5" applyFont="1" applyAlignment="1" applyProtection="1">
      <alignment horizontal="justify" vertical="top" wrapText="1"/>
      <protection locked="0"/>
    </xf>
    <xf numFmtId="201" fontId="105" fillId="0" borderId="0" xfId="5" quotePrefix="1" applyNumberFormat="1" applyFont="1" applyAlignment="1" applyProtection="1">
      <alignment horizontal="left" vertical="center"/>
      <protection locked="0"/>
    </xf>
    <xf numFmtId="201" fontId="105" fillId="0" borderId="0" xfId="5" applyNumberFormat="1" applyFont="1" applyAlignment="1" applyProtection="1">
      <alignment horizontal="left" vertical="center"/>
      <protection locked="0"/>
    </xf>
    <xf numFmtId="0" fontId="102" fillId="0" borderId="0" xfId="5" applyFont="1" applyAlignment="1">
      <alignment horizontal="center"/>
    </xf>
    <xf numFmtId="11" fontId="105" fillId="0" borderId="0" xfId="5" quotePrefix="1" applyNumberFormat="1" applyFont="1" applyAlignment="1" applyProtection="1">
      <alignment horizontal="left"/>
      <protection locked="0"/>
    </xf>
    <xf numFmtId="0" fontId="105" fillId="0" borderId="0" xfId="5" applyFont="1" applyAlignment="1" applyProtection="1">
      <alignment horizontal="left"/>
      <protection locked="0"/>
    </xf>
    <xf numFmtId="0" fontId="105" fillId="0" borderId="0" xfId="5" quotePrefix="1" applyFont="1" applyAlignment="1" applyProtection="1">
      <alignment horizontal="left"/>
      <protection locked="0"/>
    </xf>
    <xf numFmtId="0" fontId="9" fillId="0" borderId="38" xfId="5" applyFont="1" applyBorder="1" applyAlignment="1">
      <alignment horizontal="left" vertical="top" wrapText="1"/>
    </xf>
    <xf numFmtId="0" fontId="9" fillId="0" borderId="30" xfId="5" applyFont="1" applyBorder="1" applyAlignment="1">
      <alignment horizontal="left" vertical="top" wrapText="1"/>
    </xf>
    <xf numFmtId="0" fontId="107" fillId="0" borderId="0" xfId="5" quotePrefix="1" applyFont="1" applyAlignment="1" applyProtection="1">
      <alignment horizontal="left" vertical="center" wrapText="1"/>
      <protection locked="0"/>
    </xf>
    <xf numFmtId="0" fontId="85" fillId="0" borderId="0" xfId="5" applyFont="1" applyAlignment="1" applyProtection="1">
      <alignment horizontal="center" vertical="center"/>
      <protection locked="0"/>
    </xf>
    <xf numFmtId="188" fontId="105" fillId="0" borderId="0" xfId="5" quotePrefix="1" applyNumberFormat="1" applyFont="1" applyAlignment="1" applyProtection="1">
      <alignment horizontal="center" vertical="center"/>
      <protection locked="0"/>
    </xf>
    <xf numFmtId="188" fontId="105" fillId="0" borderId="0" xfId="5" applyNumberFormat="1" applyFont="1" applyAlignment="1" applyProtection="1">
      <alignment horizontal="center" vertical="center"/>
      <protection locked="0"/>
    </xf>
    <xf numFmtId="0" fontId="9" fillId="0" borderId="0" xfId="5" applyFont="1" applyAlignment="1">
      <alignment horizontal="center"/>
    </xf>
    <xf numFmtId="0" fontId="106" fillId="0" borderId="0" xfId="5" applyFont="1" applyAlignment="1">
      <alignment horizontal="right" vertical="center"/>
    </xf>
    <xf numFmtId="0" fontId="103" fillId="0" borderId="0" xfId="5" applyFont="1" applyAlignment="1">
      <alignment horizontal="center"/>
    </xf>
    <xf numFmtId="2" fontId="14" fillId="27" borderId="12" xfId="0" applyNumberFormat="1" applyFont="1" applyFill="1" applyBorder="1" applyAlignment="1">
      <alignment horizontal="center" vertical="center"/>
    </xf>
    <xf numFmtId="2" fontId="14" fillId="27" borderId="14" xfId="0" applyNumberFormat="1" applyFont="1" applyFill="1" applyBorder="1" applyAlignment="1">
      <alignment horizontal="center" vertical="center"/>
    </xf>
    <xf numFmtId="2" fontId="5" fillId="27" borderId="3" xfId="0" applyNumberFormat="1" applyFont="1" applyFill="1" applyBorder="1" applyAlignment="1">
      <alignment horizontal="center" vertical="center"/>
    </xf>
    <xf numFmtId="2" fontId="4" fillId="27" borderId="3" xfId="5" applyNumberFormat="1" applyFont="1" applyFill="1" applyBorder="1" applyAlignment="1">
      <alignment horizontal="center" vertical="center"/>
    </xf>
    <xf numFmtId="2" fontId="19" fillId="27" borderId="3" xfId="5" applyNumberFormat="1" applyFont="1" applyFill="1" applyBorder="1" applyAlignment="1">
      <alignment horizontal="center" vertical="center"/>
    </xf>
    <xf numFmtId="1" fontId="0" fillId="30" borderId="3" xfId="0" applyNumberFormat="1" applyFill="1" applyBorder="1" applyAlignment="1">
      <alignment horizontal="center" vertical="center"/>
    </xf>
    <xf numFmtId="2" fontId="12" fillId="27" borderId="3" xfId="5" applyNumberFormat="1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0" borderId="1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1" fontId="0" fillId="30" borderId="6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5" fillId="27" borderId="38" xfId="0" applyNumberFormat="1" applyFont="1" applyFill="1" applyBorder="1" applyAlignment="1">
      <alignment horizontal="center" vertical="center"/>
    </xf>
    <xf numFmtId="2" fontId="5" fillId="27" borderId="30" xfId="0" applyNumberFormat="1" applyFont="1" applyFill="1" applyBorder="1" applyAlignment="1">
      <alignment horizontal="center" vertical="center"/>
    </xf>
    <xf numFmtId="2" fontId="5" fillId="27" borderId="46" xfId="0" applyNumberFormat="1" applyFont="1" applyFill="1" applyBorder="1" applyAlignment="1">
      <alignment horizontal="center" vertical="center"/>
    </xf>
    <xf numFmtId="1" fontId="12" fillId="27" borderId="3" xfId="5" applyNumberFormat="1" applyFont="1" applyFill="1" applyBorder="1" applyAlignment="1">
      <alignment horizontal="center" vertical="center"/>
    </xf>
    <xf numFmtId="2" fontId="15" fillId="27" borderId="3" xfId="0" applyNumberFormat="1" applyFont="1" applyFill="1" applyBorder="1" applyAlignment="1">
      <alignment horizontal="center" vertical="center"/>
    </xf>
    <xf numFmtId="2" fontId="15" fillId="27" borderId="3" xfId="0" applyNumberFormat="1" applyFont="1" applyFill="1" applyBorder="1" applyAlignment="1">
      <alignment horizontal="center" vertical="center" wrapText="1"/>
    </xf>
    <xf numFmtId="2" fontId="15" fillId="27" borderId="13" xfId="0" applyNumberFormat="1" applyFont="1" applyFill="1" applyBorder="1" applyAlignment="1">
      <alignment horizontal="center" vertical="center"/>
    </xf>
    <xf numFmtId="2" fontId="15" fillId="27" borderId="13" xfId="0" applyNumberFormat="1" applyFont="1" applyFill="1" applyBorder="1" applyAlignment="1">
      <alignment horizontal="center" vertical="center" wrapText="1"/>
    </xf>
    <xf numFmtId="2" fontId="12" fillId="27" borderId="13" xfId="5" applyNumberFormat="1" applyFont="1" applyFill="1" applyBorder="1" applyAlignment="1">
      <alignment horizontal="center" vertical="center"/>
    </xf>
    <xf numFmtId="2" fontId="12" fillId="27" borderId="14" xfId="5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20" fillId="27" borderId="3" xfId="0" applyNumberFormat="1" applyFont="1" applyFill="1" applyBorder="1" applyAlignment="1">
      <alignment horizontal="center" vertical="center"/>
    </xf>
    <xf numFmtId="2" fontId="20" fillId="27" borderId="76" xfId="0" applyNumberFormat="1" applyFont="1" applyFill="1" applyBorder="1" applyAlignment="1">
      <alignment horizontal="center" vertical="center"/>
    </xf>
    <xf numFmtId="2" fontId="20" fillId="27" borderId="47" xfId="0" applyNumberFormat="1" applyFont="1" applyFill="1" applyBorder="1" applyAlignment="1">
      <alignment horizontal="center" vertical="center"/>
    </xf>
    <xf numFmtId="2" fontId="20" fillId="27" borderId="63" xfId="0" applyNumberFormat="1" applyFont="1" applyFill="1" applyBorder="1" applyAlignment="1">
      <alignment horizontal="center" vertical="center"/>
    </xf>
    <xf numFmtId="2" fontId="20" fillId="27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2" fontId="10" fillId="27" borderId="3" xfId="0" applyNumberFormat="1" applyFont="1" applyFill="1" applyBorder="1" applyAlignment="1">
      <alignment horizontal="center" vertical="center"/>
    </xf>
    <xf numFmtId="2" fontId="10" fillId="27" borderId="13" xfId="0" applyNumberFormat="1" applyFont="1" applyFill="1" applyBorder="1" applyAlignment="1">
      <alignment horizontal="center" vertical="center"/>
    </xf>
    <xf numFmtId="2" fontId="10" fillId="27" borderId="25" xfId="0" applyNumberFormat="1" applyFont="1" applyFill="1" applyBorder="1" applyAlignment="1">
      <alignment horizontal="center" vertical="center"/>
    </xf>
    <xf numFmtId="2" fontId="10" fillId="27" borderId="16" xfId="0" applyNumberFormat="1" applyFont="1" applyFill="1" applyBorder="1" applyAlignment="1">
      <alignment horizontal="center" vertical="center"/>
    </xf>
    <xf numFmtId="2" fontId="10" fillId="27" borderId="33" xfId="0" applyNumberFormat="1" applyFont="1" applyFill="1" applyBorder="1" applyAlignment="1">
      <alignment horizontal="center" vertical="center"/>
    </xf>
    <xf numFmtId="2" fontId="10" fillId="27" borderId="35" xfId="0" applyNumberFormat="1" applyFont="1" applyFill="1" applyBorder="1" applyAlignment="1">
      <alignment horizontal="center" vertical="center"/>
    </xf>
    <xf numFmtId="2" fontId="10" fillId="27" borderId="19" xfId="0" applyNumberFormat="1" applyFont="1" applyFill="1" applyBorder="1" applyAlignment="1">
      <alignment horizontal="center" vertical="center"/>
    </xf>
    <xf numFmtId="2" fontId="15" fillId="3" borderId="12" xfId="5" applyNumberFormat="1" applyFont="1" applyFill="1" applyBorder="1" applyAlignment="1">
      <alignment horizontal="center" vertical="center"/>
    </xf>
    <xf numFmtId="2" fontId="15" fillId="3" borderId="13" xfId="5" applyNumberFormat="1" applyFont="1" applyFill="1" applyBorder="1" applyAlignment="1">
      <alignment horizontal="center" vertical="center"/>
    </xf>
    <xf numFmtId="2" fontId="15" fillId="3" borderId="14" xfId="5" applyNumberFormat="1" applyFont="1" applyFill="1" applyBorder="1" applyAlignment="1">
      <alignment horizontal="center" vertical="center"/>
    </xf>
    <xf numFmtId="1" fontId="15" fillId="27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5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horizontal="center" vertical="center" wrapText="1"/>
    </xf>
    <xf numFmtId="2" fontId="12" fillId="3" borderId="13" xfId="5" applyNumberFormat="1" applyFont="1" applyFill="1" applyBorder="1" applyAlignment="1">
      <alignment horizontal="left" vertical="center" wrapText="1"/>
    </xf>
    <xf numFmtId="2" fontId="12" fillId="3" borderId="14" xfId="5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1" fillId="2" borderId="81" xfId="0" applyNumberFormat="1" applyFont="1" applyFill="1" applyBorder="1" applyAlignment="1">
      <alignment horizontal="center" vertical="center"/>
    </xf>
    <xf numFmtId="2" fontId="1" fillId="2" borderId="48" xfId="0" applyNumberFormat="1" applyFont="1" applyFill="1" applyBorder="1" applyAlignment="1">
      <alignment horizontal="center" vertical="center"/>
    </xf>
    <xf numFmtId="2" fontId="78" fillId="3" borderId="3" xfId="0" applyNumberFormat="1" applyFont="1" applyFill="1" applyBorder="1" applyAlignment="1">
      <alignment horizontal="center" vertical="center" wrapText="1"/>
    </xf>
    <xf numFmtId="2" fontId="3" fillId="30" borderId="3" xfId="0" applyNumberFormat="1" applyFont="1" applyFill="1" applyBorder="1" applyAlignment="1">
      <alignment horizontal="center" vertical="center"/>
    </xf>
    <xf numFmtId="2" fontId="78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4" fillId="0" borderId="3" xfId="5" applyNumberFormat="1" applyFont="1" applyBorder="1" applyAlignment="1">
      <alignment horizontal="center"/>
    </xf>
    <xf numFmtId="2" fontId="4" fillId="0" borderId="3" xfId="5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 wrapText="1"/>
    </xf>
    <xf numFmtId="2" fontId="7" fillId="30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 wrapText="1"/>
    </xf>
    <xf numFmtId="2" fontId="60" fillId="24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7" fillId="24" borderId="3" xfId="0" applyNumberFormat="1" applyFont="1" applyFill="1" applyBorder="1" applyAlignment="1">
      <alignment horizontal="center" vertical="center"/>
    </xf>
    <xf numFmtId="2" fontId="3" fillId="24" borderId="3" xfId="0" applyNumberFormat="1" applyFont="1" applyFill="1" applyBorder="1" applyAlignment="1">
      <alignment horizontal="center" vertical="center" wrapText="1"/>
    </xf>
    <xf numFmtId="2" fontId="9" fillId="24" borderId="3" xfId="5" applyNumberFormat="1" applyFont="1" applyFill="1" applyBorder="1" applyAlignment="1">
      <alignment horizontal="center"/>
    </xf>
    <xf numFmtId="2" fontId="9" fillId="24" borderId="38" xfId="5" applyNumberFormat="1" applyFont="1" applyFill="1" applyBorder="1" applyAlignment="1">
      <alignment horizontal="center"/>
    </xf>
    <xf numFmtId="2" fontId="9" fillId="24" borderId="30" xfId="5" applyNumberFormat="1" applyFont="1" applyFill="1" applyBorder="1" applyAlignment="1">
      <alignment horizontal="center"/>
    </xf>
    <xf numFmtId="2" fontId="9" fillId="24" borderId="46" xfId="5" applyNumberFormat="1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 vertical="center"/>
    </xf>
    <xf numFmtId="2" fontId="9" fillId="24" borderId="3" xfId="5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 wrapText="1"/>
    </xf>
    <xf numFmtId="2" fontId="60" fillId="24" borderId="3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2" fontId="14" fillId="3" borderId="18" xfId="0" applyNumberFormat="1" applyFont="1" applyFill="1" applyBorder="1" applyAlignment="1">
      <alignment horizontal="center" vertical="center" wrapText="1"/>
    </xf>
    <xf numFmtId="2" fontId="14" fillId="3" borderId="15" xfId="0" applyNumberFormat="1" applyFont="1" applyFill="1" applyBorder="1" applyAlignment="1">
      <alignment horizontal="center" vertical="center" wrapText="1"/>
    </xf>
    <xf numFmtId="2" fontId="14" fillId="3" borderId="19" xfId="0" applyNumberFormat="1" applyFont="1" applyFill="1" applyBorder="1" applyAlignment="1">
      <alignment horizontal="center" vertical="center" wrapText="1"/>
    </xf>
    <xf numFmtId="2" fontId="14" fillId="3" borderId="33" xfId="0" applyNumberFormat="1" applyFont="1" applyFill="1" applyBorder="1" applyAlignment="1">
      <alignment horizontal="center" vertical="center" wrapText="1"/>
    </xf>
    <xf numFmtId="2" fontId="14" fillId="3" borderId="35" xfId="0" applyNumberFormat="1" applyFont="1" applyFill="1" applyBorder="1" applyAlignment="1">
      <alignment horizontal="center" vertical="center" wrapText="1"/>
    </xf>
    <xf numFmtId="2" fontId="7" fillId="3" borderId="20" xfId="0" applyNumberFormat="1" applyFont="1" applyFill="1" applyBorder="1" applyAlignment="1">
      <alignment horizontal="center" vertical="center" wrapText="1"/>
    </xf>
    <xf numFmtId="2" fontId="7" fillId="3" borderId="34" xfId="0" applyNumberFormat="1" applyFont="1" applyFill="1" applyBorder="1" applyAlignment="1">
      <alignment horizontal="center" vertical="center" wrapText="1"/>
    </xf>
    <xf numFmtId="2" fontId="7" fillId="3" borderId="36" xfId="0" applyNumberFormat="1" applyFont="1" applyFill="1" applyBorder="1" applyAlignment="1">
      <alignment horizontal="center" vertical="center" wrapText="1"/>
    </xf>
    <xf numFmtId="2" fontId="4" fillId="3" borderId="3" xfId="5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/>
    </xf>
    <xf numFmtId="1" fontId="7" fillId="24" borderId="82" xfId="0" applyNumberFormat="1" applyFont="1" applyFill="1" applyBorder="1" applyAlignment="1">
      <alignment horizontal="center"/>
    </xf>
    <xf numFmtId="1" fontId="7" fillId="24" borderId="47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>
      <alignment horizontal="center" vertical="center" wrapText="1"/>
    </xf>
    <xf numFmtId="2" fontId="16" fillId="0" borderId="27" xfId="0" applyNumberFormat="1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2" fontId="16" fillId="0" borderId="39" xfId="0" applyNumberFormat="1" applyFont="1" applyBorder="1" applyAlignment="1">
      <alignment horizontal="center"/>
    </xf>
    <xf numFmtId="2" fontId="12" fillId="3" borderId="0" xfId="0" applyNumberFormat="1" applyFont="1" applyFill="1" applyAlignment="1">
      <alignment horizontal="center" vertical="center" wrapText="1"/>
    </xf>
    <xf numFmtId="2" fontId="18" fillId="3" borderId="27" xfId="5" applyNumberFormat="1" applyFont="1" applyFill="1" applyBorder="1" applyAlignment="1">
      <alignment horizontal="center" vertical="center"/>
    </xf>
    <xf numFmtId="2" fontId="18" fillId="3" borderId="28" xfId="5" applyNumberFormat="1" applyFont="1" applyFill="1" applyBorder="1" applyAlignment="1">
      <alignment horizontal="center" vertical="center"/>
    </xf>
    <xf numFmtId="2" fontId="18" fillId="3" borderId="39" xfId="5" applyNumberFormat="1" applyFont="1" applyFill="1" applyBorder="1" applyAlignment="1">
      <alignment horizontal="center" vertical="center"/>
    </xf>
    <xf numFmtId="2" fontId="60" fillId="11" borderId="3" xfId="0" applyNumberFormat="1" applyFont="1" applyFill="1" applyBorder="1" applyAlignment="1">
      <alignment horizontal="center" vertical="center"/>
    </xf>
    <xf numFmtId="164" fontId="60" fillId="11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/>
    <xf numFmtId="164" fontId="60" fillId="33" borderId="38" xfId="0" applyNumberFormat="1" applyFont="1" applyFill="1" applyBorder="1" applyAlignment="1">
      <alignment horizontal="center" vertical="center"/>
    </xf>
    <xf numFmtId="164" fontId="60" fillId="33" borderId="30" xfId="0" applyNumberFormat="1" applyFont="1" applyFill="1" applyBorder="1" applyAlignment="1">
      <alignment horizontal="center" vertical="center"/>
    </xf>
    <xf numFmtId="164" fontId="60" fillId="33" borderId="46" xfId="0" applyNumberFormat="1" applyFont="1" applyFill="1" applyBorder="1" applyAlignment="1">
      <alignment horizontal="center" vertical="center"/>
    </xf>
    <xf numFmtId="2" fontId="23" fillId="29" borderId="3" xfId="0" applyNumberFormat="1" applyFont="1" applyFill="1" applyBorder="1" applyAlignment="1">
      <alignment horizontal="center"/>
    </xf>
    <xf numFmtId="2" fontId="23" fillId="0" borderId="3" xfId="0" applyNumberFormat="1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center" vertical="center"/>
    </xf>
    <xf numFmtId="2" fontId="113" fillId="0" borderId="3" xfId="0" applyNumberFormat="1" applyFont="1" applyBorder="1" applyAlignment="1">
      <alignment horizontal="left" vertical="center"/>
    </xf>
    <xf numFmtId="2" fontId="99" fillId="0" borderId="38" xfId="0" applyNumberFormat="1" applyFont="1" applyBorder="1" applyAlignment="1">
      <alignment horizontal="center" vertical="center"/>
    </xf>
    <xf numFmtId="2" fontId="99" fillId="0" borderId="46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left" vertical="center"/>
    </xf>
    <xf numFmtId="0" fontId="25" fillId="0" borderId="0" xfId="0" applyFont="1" applyAlignment="1" applyProtection="1">
      <alignment horizontal="left" vertical="center"/>
    </xf>
  </cellXfs>
  <cellStyles count="7">
    <cellStyle name="Bad" xfId="4" builtinId="27"/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5" xr:uid="{D5DF174C-EB35-4427-B575-45FF1416B94C}"/>
    <cellStyle name="Normal_Daftar kelistrikan (ecg)" xfId="6" xr:uid="{E218BB34-D35B-4566-ADAE-A65DAC4A97E2}"/>
  </cellStyles>
  <dxfs count="0"/>
  <tableStyles count="0" defaultTableStyle="TableStyleMedium2" defaultPivotStyle="PivotStyleLight16"/>
  <colors>
    <mruColors>
      <color rgb="FFFF99FF"/>
      <color rgb="FFFFFFCC"/>
      <color rgb="FFFFFF04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470589</xdr:colOff>
      <xdr:row>31</xdr:row>
      <xdr:rowOff>104366</xdr:rowOff>
    </xdr:from>
    <xdr:to>
      <xdr:col>12</xdr:col>
      <xdr:colOff>204109</xdr:colOff>
      <xdr:row>46</xdr:row>
      <xdr:rowOff>23815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8217AD-D322-49EA-A6DE-8BCEA0578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4518" y="6392810"/>
          <a:ext cx="4291912" cy="3321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58316</xdr:rowOff>
    </xdr:from>
    <xdr:to>
      <xdr:col>5</xdr:col>
      <xdr:colOff>495211</xdr:colOff>
      <xdr:row>44</xdr:row>
      <xdr:rowOff>234827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B66D0FC-02D5-434F-8C93-A18A5D825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46760"/>
          <a:ext cx="4169140" cy="3335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516255</xdr:colOff>
      <xdr:row>38</xdr:row>
      <xdr:rowOff>241935</xdr:rowOff>
    </xdr:from>
    <xdr:to>
      <xdr:col>5</xdr:col>
      <xdr:colOff>414020</xdr:colOff>
      <xdr:row>38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730251</xdr:colOff>
      <xdr:row>7</xdr:row>
      <xdr:rowOff>179918</xdr:rowOff>
    </xdr:from>
    <xdr:to>
      <xdr:col>2</xdr:col>
      <xdr:colOff>1</xdr:colOff>
      <xdr:row>9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  <xdr:twoCellAnchor editAs="oneCell">
    <xdr:from>
      <xdr:col>53</xdr:col>
      <xdr:colOff>557122</xdr:colOff>
      <xdr:row>171</xdr:row>
      <xdr:rowOff>368419</xdr:rowOff>
    </xdr:from>
    <xdr:to>
      <xdr:col>53</xdr:col>
      <xdr:colOff>4852898</xdr:colOff>
      <xdr:row>171</xdr:row>
      <xdr:rowOff>3692644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E8ADA97-BC35-4CD3-B7AA-A2160843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55320" y="39520599"/>
          <a:ext cx="4295776" cy="3324225"/>
        </a:xfrm>
        <a:prstGeom prst="rect">
          <a:avLst/>
        </a:prstGeom>
      </xdr:spPr>
    </xdr:pic>
    <xdr:clientData/>
  </xdr:twoCellAnchor>
  <xdr:twoCellAnchor editAs="oneCell">
    <xdr:from>
      <xdr:col>53</xdr:col>
      <xdr:colOff>553064</xdr:colOff>
      <xdr:row>172</xdr:row>
      <xdr:rowOff>184355</xdr:rowOff>
    </xdr:from>
    <xdr:to>
      <xdr:col>53</xdr:col>
      <xdr:colOff>4982189</xdr:colOff>
      <xdr:row>172</xdr:row>
      <xdr:rowOff>3727655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29AD3B-EB39-43E5-9640-8A2C73C15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9193" y="44260524"/>
          <a:ext cx="4429125" cy="35433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8</xdr:col>
          <xdr:colOff>523352</xdr:colOff>
          <xdr:row>57</xdr:row>
          <xdr:rowOff>230275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8A4868EA-D159-A1FD-26B2-AEC79A7141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ambar" spid="_x0000_s123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72308" y="7148984"/>
              <a:ext cx="5516126" cy="374719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66675</xdr:rowOff>
        </xdr:from>
        <xdr:to>
          <xdr:col>9</xdr:col>
          <xdr:colOff>173124</xdr:colOff>
          <xdr:row>48</xdr:row>
          <xdr:rowOff>72431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82479CA9-506B-42B7-9C94-6E3EB83DF8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ambar" spid="_x0000_s21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33475" y="5915025"/>
              <a:ext cx="5526174" cy="38062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40</xdr:row>
          <xdr:rowOff>144419</xdr:rowOff>
        </xdr:from>
        <xdr:to>
          <xdr:col>8</xdr:col>
          <xdr:colOff>466725</xdr:colOff>
          <xdr:row>55</xdr:row>
          <xdr:rowOff>120056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D2707090-2FCC-4FF1-8FCA-F32B68E952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ambar" spid="_x0000_s3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95375" y="5859419"/>
              <a:ext cx="4200525" cy="2899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40</xdr:row>
          <xdr:rowOff>144419</xdr:rowOff>
        </xdr:from>
        <xdr:to>
          <xdr:col>8</xdr:col>
          <xdr:colOff>355600</xdr:colOff>
          <xdr:row>55</xdr:row>
          <xdr:rowOff>44213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AF8C1495-4A1B-42FF-AACF-7C6BA75326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ambar" spid="_x0000_s102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06525" y="5827669"/>
              <a:ext cx="4289425" cy="277634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B11A1889-2DEC-43E6-9AAF-46EF8BF34C8C}"/>
            </a:ext>
          </a:extLst>
        </xdr:cNvPr>
        <xdr:cNvGrpSpPr/>
      </xdr:nvGrpSpPr>
      <xdr:grpSpPr>
        <a:xfrm>
          <a:off x="993775" y="5610225"/>
          <a:ext cx="2714625" cy="1736725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06717740-C2B5-40D9-A347-17D223BB63F7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3A080777-F9AE-4FA1-B687-A821DFA42ED3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89136E66-7758-4BCA-AF74-87111CB6EB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DD752B13-6126-4F32-8453-FCD5A3013F8F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7275E5CA-310C-4D72-B5A9-DFEF0A6ACD6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FEB038A1-915F-4C3D-9766-90AAE58082E5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DB Thermohygro "/>
      <sheetName val="Kata-kata"/>
      <sheetName val="BUDGET"/>
      <sheetName val="DB Kelistrikan"/>
      <sheetName val="Penyelia Kalibrasi"/>
      <sheetName val="Penyelia Pengujian"/>
      <sheetName val="ID"/>
      <sheetName val="LH"/>
      <sheetName val="LHP"/>
      <sheetName val="Input Data Sertifikat ESU"/>
      <sheetName val="Input Data Lux"/>
      <sheetName val="UN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W107"/>
  <sheetViews>
    <sheetView showGridLines="0" view="pageBreakPreview" topLeftCell="A38" zoomScale="117" zoomScaleNormal="117" zoomScaleSheetLayoutView="117" workbookViewId="0">
      <selection activeCell="F11" sqref="F11"/>
    </sheetView>
  </sheetViews>
  <sheetFormatPr defaultColWidth="9" defaultRowHeight="15.5"/>
  <cols>
    <col min="1" max="1" width="10.54296875" style="126" customWidth="1"/>
    <col min="2" max="2" width="15.1796875" style="126" customWidth="1"/>
    <col min="3" max="12" width="9.7265625" style="126" customWidth="1"/>
    <col min="13" max="256" width="9.1796875" style="126" customWidth="1"/>
    <col min="257" max="16384" width="9" style="1"/>
  </cols>
  <sheetData>
    <row r="1" spans="1:13" ht="19.5" customHeight="1">
      <c r="A1" s="946" t="s">
        <v>585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</row>
    <row r="2" spans="1:13" ht="18.75" customHeight="1">
      <c r="A2" s="953" t="s">
        <v>0</v>
      </c>
      <c r="B2" s="953"/>
      <c r="C2" s="953"/>
      <c r="D2" s="953"/>
      <c r="E2" s="953"/>
      <c r="F2" s="953"/>
      <c r="G2" s="953"/>
      <c r="H2" s="953"/>
      <c r="I2" s="953"/>
      <c r="J2" s="953"/>
      <c r="K2" s="953"/>
      <c r="L2" s="953"/>
      <c r="M2" s="953"/>
    </row>
    <row r="3" spans="1:13" ht="18.75" customHeight="1">
      <c r="A3" s="121"/>
      <c r="B3" s="121"/>
      <c r="C3" s="121"/>
      <c r="D3" s="121"/>
      <c r="E3" s="121"/>
      <c r="F3" s="121"/>
      <c r="G3" s="121"/>
      <c r="H3" s="121"/>
      <c r="I3" s="121"/>
    </row>
    <row r="4" spans="1:13" ht="15.75" customHeight="1">
      <c r="A4" s="127" t="s">
        <v>1</v>
      </c>
      <c r="C4" s="128" t="s">
        <v>2</v>
      </c>
      <c r="D4" s="129"/>
      <c r="E4" s="129"/>
      <c r="F4" s="130"/>
      <c r="G4" s="131"/>
      <c r="H4" s="129"/>
    </row>
    <row r="5" spans="1:13" ht="15.75" customHeight="1">
      <c r="A5" s="19" t="s">
        <v>3</v>
      </c>
      <c r="C5" s="34" t="s">
        <v>2</v>
      </c>
      <c r="D5" s="132"/>
      <c r="E5" s="132"/>
      <c r="F5" s="133"/>
      <c r="G5" s="134"/>
      <c r="H5" s="132"/>
    </row>
    <row r="6" spans="1:13" ht="15.75" customHeight="1">
      <c r="A6" s="19" t="s">
        <v>4</v>
      </c>
      <c r="C6" s="34" t="s">
        <v>2</v>
      </c>
      <c r="D6" s="132"/>
      <c r="E6" s="132"/>
      <c r="F6" s="135"/>
      <c r="G6" s="136"/>
      <c r="H6" s="132"/>
    </row>
    <row r="7" spans="1:13" ht="15.75" customHeight="1">
      <c r="A7" s="19" t="s">
        <v>5</v>
      </c>
      <c r="C7" s="34" t="s">
        <v>2</v>
      </c>
      <c r="D7" s="132"/>
      <c r="E7" s="133" t="s">
        <v>6</v>
      </c>
      <c r="F7" s="133"/>
      <c r="G7" s="134"/>
      <c r="H7" s="132"/>
    </row>
    <row r="8" spans="1:13" ht="15.75" customHeight="1">
      <c r="A8" s="19" t="s">
        <v>583</v>
      </c>
      <c r="C8" s="34" t="s">
        <v>2</v>
      </c>
      <c r="D8" s="132"/>
      <c r="E8" s="133"/>
      <c r="F8" s="133"/>
      <c r="G8" s="134"/>
      <c r="H8" s="132"/>
    </row>
    <row r="9" spans="1:13" ht="15.75" customHeight="1">
      <c r="A9" s="127" t="s">
        <v>586</v>
      </c>
      <c r="C9" s="34" t="s">
        <v>2</v>
      </c>
      <c r="D9" s="132"/>
      <c r="E9" s="133"/>
      <c r="F9" s="133"/>
      <c r="G9" s="134"/>
      <c r="H9" s="132"/>
    </row>
    <row r="10" spans="1:13" ht="15.75" customHeight="1">
      <c r="A10" s="127" t="s">
        <v>587</v>
      </c>
      <c r="C10" s="34" t="s">
        <v>2</v>
      </c>
      <c r="D10" s="132"/>
      <c r="E10" s="133"/>
      <c r="F10" s="133"/>
      <c r="G10" s="134"/>
      <c r="H10" s="132"/>
    </row>
    <row r="11" spans="1:13" ht="15.75" customHeight="1">
      <c r="A11" s="19" t="s">
        <v>584</v>
      </c>
      <c r="C11" s="34" t="s">
        <v>2</v>
      </c>
      <c r="D11" s="132"/>
      <c r="E11" s="133"/>
      <c r="F11" s="133"/>
      <c r="G11" s="134"/>
      <c r="H11" s="132"/>
    </row>
    <row r="12" spans="1:13" ht="14.25" customHeight="1">
      <c r="A12" s="127"/>
      <c r="B12" s="127"/>
      <c r="C12" s="128"/>
      <c r="D12" s="127"/>
      <c r="E12" s="127"/>
      <c r="F12" s="127"/>
      <c r="G12" s="127"/>
      <c r="H12" s="127"/>
      <c r="I12" s="142"/>
    </row>
    <row r="13" spans="1:13" ht="15.75" customHeight="1">
      <c r="A13" s="137" t="s">
        <v>8</v>
      </c>
      <c r="B13" s="137"/>
      <c r="C13" s="138"/>
      <c r="D13" s="796" t="s">
        <v>9</v>
      </c>
      <c r="E13" s="797" t="s">
        <v>10</v>
      </c>
      <c r="F13" s="127"/>
      <c r="G13" s="127"/>
      <c r="H13" s="127"/>
      <c r="I13" s="275" t="s">
        <v>11</v>
      </c>
    </row>
    <row r="14" spans="1:13" ht="18" customHeight="1">
      <c r="A14" s="127"/>
      <c r="B14" s="17" t="s">
        <v>12</v>
      </c>
      <c r="C14" s="138" t="s">
        <v>2</v>
      </c>
      <c r="D14" s="791"/>
      <c r="E14" s="795"/>
      <c r="F14" s="127" t="s">
        <v>13</v>
      </c>
      <c r="I14" s="276">
        <v>0.05</v>
      </c>
    </row>
    <row r="15" spans="1:13" ht="16.5" customHeight="1">
      <c r="A15" s="139"/>
      <c r="B15" s="139" t="s">
        <v>14</v>
      </c>
      <c r="C15" s="138" t="s">
        <v>2</v>
      </c>
      <c r="D15" s="794"/>
      <c r="E15" s="793"/>
      <c r="F15" s="127" t="s">
        <v>15</v>
      </c>
      <c r="I15" s="276">
        <v>0.05</v>
      </c>
    </row>
    <row r="16" spans="1:13" ht="16.5" customHeight="1">
      <c r="A16" s="139"/>
      <c r="B16" s="139" t="s">
        <v>16</v>
      </c>
      <c r="C16" s="138"/>
      <c r="D16" s="950"/>
      <c r="E16" s="951"/>
      <c r="F16" s="127"/>
    </row>
    <row r="17" spans="1:14" ht="7.5" customHeight="1">
      <c r="A17" s="140"/>
      <c r="B17" s="140"/>
      <c r="C17" s="140"/>
      <c r="D17" s="127"/>
      <c r="I17" s="141"/>
    </row>
    <row r="18" spans="1:14" ht="19.5" customHeight="1">
      <c r="A18" s="140" t="s">
        <v>17</v>
      </c>
      <c r="F18" s="141"/>
      <c r="H18" s="142"/>
    </row>
    <row r="19" spans="1:14" ht="21" customHeight="1">
      <c r="B19" s="126" t="s">
        <v>18</v>
      </c>
      <c r="C19" s="126" t="s">
        <v>19</v>
      </c>
      <c r="E19" s="955" t="s">
        <v>20</v>
      </c>
      <c r="F19" s="955"/>
      <c r="G19" s="955"/>
      <c r="H19" s="955"/>
      <c r="I19" s="955"/>
    </row>
    <row r="20" spans="1:14" ht="15.75" customHeight="1">
      <c r="B20" s="126" t="s">
        <v>21</v>
      </c>
      <c r="C20" s="126" t="s">
        <v>19</v>
      </c>
      <c r="E20" s="955"/>
      <c r="F20" s="955"/>
      <c r="G20" s="955"/>
      <c r="H20" s="955"/>
      <c r="I20" s="955"/>
    </row>
    <row r="21" spans="1:14" ht="18.75" customHeight="1">
      <c r="A21" s="140" t="s">
        <v>22</v>
      </c>
      <c r="D21" s="127"/>
      <c r="I21" s="141"/>
    </row>
    <row r="22" spans="1:14" ht="38.25" customHeight="1">
      <c r="A22" s="36" t="s">
        <v>23</v>
      </c>
      <c r="B22" s="940" t="s">
        <v>24</v>
      </c>
      <c r="C22" s="940"/>
      <c r="D22" s="940"/>
      <c r="E22" s="940"/>
      <c r="F22" s="940"/>
      <c r="G22" s="940"/>
      <c r="H22" s="940" t="s">
        <v>25</v>
      </c>
      <c r="I22" s="940"/>
      <c r="J22" s="940" t="s">
        <v>26</v>
      </c>
      <c r="K22" s="952"/>
      <c r="L22" s="277" t="s">
        <v>11</v>
      </c>
    </row>
    <row r="23" spans="1:14" ht="15.75" customHeight="1">
      <c r="A23" s="143">
        <v>1</v>
      </c>
      <c r="B23" s="144" t="s">
        <v>27</v>
      </c>
      <c r="C23" s="132"/>
      <c r="D23" s="132"/>
      <c r="E23" s="132"/>
      <c r="F23" s="145"/>
      <c r="G23" s="146"/>
      <c r="H23" s="147"/>
      <c r="I23" s="160" t="s">
        <v>28</v>
      </c>
      <c r="J23" s="954" t="s">
        <v>29</v>
      </c>
      <c r="K23" s="954"/>
      <c r="L23" s="276">
        <v>0.1</v>
      </c>
    </row>
    <row r="24" spans="1:14" ht="15.75" customHeight="1">
      <c r="A24" s="143">
        <v>2</v>
      </c>
      <c r="B24" s="144" t="s">
        <v>30</v>
      </c>
      <c r="C24" s="132"/>
      <c r="D24" s="132"/>
      <c r="E24" s="132"/>
      <c r="F24" s="145"/>
      <c r="G24" s="146"/>
      <c r="H24" s="147"/>
      <c r="I24" s="160" t="s">
        <v>31</v>
      </c>
      <c r="J24" s="947" t="s">
        <v>32</v>
      </c>
      <c r="K24" s="947"/>
      <c r="L24" s="276">
        <v>0.1</v>
      </c>
    </row>
    <row r="25" spans="1:14" ht="15.75" hidden="1" customHeight="1">
      <c r="A25" s="143">
        <v>4</v>
      </c>
      <c r="B25" s="144" t="s">
        <v>33</v>
      </c>
      <c r="C25" s="132"/>
      <c r="D25" s="132"/>
      <c r="E25" s="132"/>
      <c r="F25" s="145"/>
      <c r="G25" s="146"/>
      <c r="H25" s="147"/>
      <c r="I25" s="160" t="s">
        <v>34</v>
      </c>
      <c r="J25" s="948"/>
      <c r="K25" s="948"/>
      <c r="L25" s="276">
        <v>0.13300000000000001</v>
      </c>
      <c r="N25" s="126" t="s">
        <v>35</v>
      </c>
    </row>
    <row r="26" spans="1:14" ht="15.75" customHeight="1">
      <c r="A26" s="148">
        <v>3</v>
      </c>
      <c r="B26" s="123" t="s">
        <v>36</v>
      </c>
      <c r="C26" s="149"/>
      <c r="D26" s="149"/>
      <c r="E26" s="149"/>
      <c r="F26" s="150"/>
      <c r="G26" s="151"/>
      <c r="H26" s="152"/>
      <c r="I26" s="161" t="s">
        <v>37</v>
      </c>
      <c r="J26" s="949" t="s">
        <v>38</v>
      </c>
      <c r="K26" s="949"/>
      <c r="L26" s="276">
        <v>0.2</v>
      </c>
    </row>
    <row r="27" spans="1:14" ht="15.75" hidden="1" customHeight="1">
      <c r="A27" s="153">
        <v>7</v>
      </c>
      <c r="B27" s="122"/>
      <c r="C27" s="129"/>
      <c r="D27" s="129"/>
      <c r="E27" s="129"/>
      <c r="F27" s="154"/>
      <c r="G27" s="155"/>
      <c r="H27" s="156"/>
      <c r="I27" s="162"/>
      <c r="J27" s="938"/>
      <c r="K27" s="938"/>
    </row>
    <row r="28" spans="1:14" ht="20.149999999999999" hidden="1" customHeight="1">
      <c r="A28" s="157">
        <v>8</v>
      </c>
      <c r="B28" s="123"/>
      <c r="C28" s="149"/>
      <c r="D28" s="149"/>
      <c r="E28" s="149"/>
      <c r="F28" s="150"/>
      <c r="G28" s="151"/>
      <c r="H28" s="152"/>
      <c r="I28" s="163"/>
      <c r="J28" s="944"/>
      <c r="K28" s="944"/>
    </row>
    <row r="29" spans="1:14" ht="20.149999999999999" customHeight="1">
      <c r="A29" s="140" t="s">
        <v>39</v>
      </c>
      <c r="I29" s="164"/>
      <c r="J29" s="165"/>
      <c r="K29" s="165"/>
    </row>
    <row r="30" spans="1:14" ht="20.149999999999999" customHeight="1">
      <c r="A30" s="126" t="str">
        <f>ID!A43</f>
        <v>a. Tipe Medical Freezer :</v>
      </c>
      <c r="C30" s="945" t="s">
        <v>40</v>
      </c>
      <c r="D30" s="945"/>
      <c r="E30" s="945"/>
      <c r="F30" s="945"/>
      <c r="G30" s="945"/>
      <c r="H30" s="945"/>
      <c r="I30" s="945"/>
    </row>
    <row r="31" spans="1:14" ht="20.149999999999999" customHeight="1"/>
    <row r="32" spans="1:14" ht="20.149999999999999" customHeight="1">
      <c r="G32" s="2"/>
      <c r="H32" s="2"/>
      <c r="I32" s="51"/>
    </row>
    <row r="33" spans="1:13" ht="20.149999999999999" customHeight="1">
      <c r="G33" s="2"/>
      <c r="H33" s="2"/>
    </row>
    <row r="34" spans="1:13" ht="20.149999999999999" customHeight="1"/>
    <row r="35" spans="1:13" ht="20.149999999999999" customHeight="1"/>
    <row r="36" spans="1:13" ht="20.149999999999999" customHeight="1"/>
    <row r="37" spans="1:13" ht="20.149999999999999" customHeight="1"/>
    <row r="38" spans="1:13" ht="20.149999999999999" customHeight="1"/>
    <row r="39" spans="1:13" ht="20.149999999999999" customHeight="1"/>
    <row r="40" spans="1:13" ht="20.149999999999999" customHeight="1"/>
    <row r="41" spans="1:13" ht="20.149999999999999" customHeight="1"/>
    <row r="42" spans="1:13" ht="20.149999999999999" customHeight="1"/>
    <row r="43" spans="1:13" ht="20.149999999999999" customHeight="1"/>
    <row r="44" spans="1:13" ht="20.149999999999999" customHeight="1"/>
    <row r="45" spans="1:13" ht="20.149999999999999" customHeight="1"/>
    <row r="46" spans="1:13" ht="20.149999999999999" hidden="1" customHeight="1"/>
    <row r="47" spans="1:13" ht="20.149999999999999" customHeight="1">
      <c r="A47" s="126" t="str">
        <f>ID!A59</f>
        <v>b. Kalibrasi Akurasi Suhu</v>
      </c>
      <c r="D47" s="159"/>
      <c r="E47" s="159"/>
      <c r="F47" s="159"/>
      <c r="G47" s="159"/>
      <c r="H47" s="159"/>
      <c r="I47" s="159"/>
      <c r="J47" s="159"/>
    </row>
    <row r="48" spans="1:13" ht="20.149999999999999" customHeight="1">
      <c r="A48" s="940" t="s">
        <v>41</v>
      </c>
      <c r="B48" s="940" t="s">
        <v>42</v>
      </c>
      <c r="C48" s="942" t="s">
        <v>43</v>
      </c>
      <c r="D48" s="943"/>
      <c r="E48" s="943"/>
      <c r="F48" s="943"/>
      <c r="G48" s="943"/>
      <c r="H48" s="943"/>
      <c r="I48" s="943"/>
      <c r="J48" s="943"/>
      <c r="K48" s="943"/>
      <c r="L48" s="943"/>
      <c r="M48" s="961" t="s">
        <v>44</v>
      </c>
    </row>
    <row r="49" spans="1:19" ht="39" customHeight="1">
      <c r="A49" s="940"/>
      <c r="B49" s="940"/>
      <c r="C49" s="36" t="s">
        <v>45</v>
      </c>
      <c r="D49" s="36" t="s">
        <v>46</v>
      </c>
      <c r="E49" s="36" t="s">
        <v>47</v>
      </c>
      <c r="F49" s="36" t="s">
        <v>48</v>
      </c>
      <c r="G49" s="36" t="s">
        <v>49</v>
      </c>
      <c r="H49" s="36" t="s">
        <v>50</v>
      </c>
      <c r="I49" s="36" t="s">
        <v>51</v>
      </c>
      <c r="J49" s="36" t="s">
        <v>52</v>
      </c>
      <c r="K49" s="36" t="s">
        <v>53</v>
      </c>
      <c r="L49" s="737" t="s">
        <v>54</v>
      </c>
      <c r="M49" s="961"/>
      <c r="O49" s="1"/>
      <c r="P49" s="1"/>
      <c r="Q49" s="1"/>
    </row>
    <row r="50" spans="1:19" ht="27" customHeight="1">
      <c r="A50" s="941"/>
      <c r="B50" s="788" t="s">
        <v>55</v>
      </c>
      <c r="C50" s="779"/>
      <c r="D50" s="779"/>
      <c r="E50" s="779"/>
      <c r="F50" s="779"/>
      <c r="G50" s="780"/>
      <c r="H50" s="781"/>
      <c r="I50" s="781"/>
      <c r="J50" s="781"/>
      <c r="K50" s="781"/>
      <c r="L50" s="781"/>
      <c r="M50" s="939" t="s">
        <v>56</v>
      </c>
      <c r="O50" s="1"/>
      <c r="P50" s="1"/>
      <c r="Q50" s="1"/>
    </row>
    <row r="51" spans="1:19" ht="27" customHeight="1">
      <c r="A51" s="941"/>
      <c r="B51" s="789" t="s">
        <v>57</v>
      </c>
      <c r="C51" s="782"/>
      <c r="D51" s="782"/>
      <c r="E51" s="782"/>
      <c r="F51" s="782"/>
      <c r="G51" s="783"/>
      <c r="H51" s="784"/>
      <c r="I51" s="784"/>
      <c r="J51" s="784"/>
      <c r="K51" s="784"/>
      <c r="L51" s="784"/>
      <c r="M51" s="939"/>
      <c r="O51" s="1"/>
      <c r="P51" s="1"/>
      <c r="Q51" s="1"/>
    </row>
    <row r="52" spans="1:19" ht="27" customHeight="1">
      <c r="A52" s="941"/>
      <c r="B52" s="789" t="s">
        <v>58</v>
      </c>
      <c r="C52" s="782"/>
      <c r="D52" s="782"/>
      <c r="E52" s="782"/>
      <c r="F52" s="782"/>
      <c r="G52" s="783"/>
      <c r="H52" s="784"/>
      <c r="I52" s="784"/>
      <c r="J52" s="784"/>
      <c r="K52" s="784"/>
      <c r="L52" s="784"/>
      <c r="M52" s="939"/>
      <c r="O52" s="1"/>
      <c r="P52" s="1"/>
      <c r="Q52" s="1"/>
      <c r="R52" s="140"/>
      <c r="S52" s="140"/>
    </row>
    <row r="53" spans="1:19" ht="27" customHeight="1">
      <c r="A53" s="941"/>
      <c r="B53" s="789" t="s">
        <v>59</v>
      </c>
      <c r="C53" s="782"/>
      <c r="D53" s="782"/>
      <c r="E53" s="782"/>
      <c r="F53" s="782"/>
      <c r="G53" s="783"/>
      <c r="H53" s="784"/>
      <c r="I53" s="784"/>
      <c r="J53" s="784"/>
      <c r="K53" s="784"/>
      <c r="L53" s="784"/>
      <c r="M53" s="939"/>
      <c r="Q53" s="140"/>
      <c r="R53" s="140"/>
      <c r="S53" s="140"/>
    </row>
    <row r="54" spans="1:19" ht="27" customHeight="1">
      <c r="A54" s="941"/>
      <c r="B54" s="789" t="s">
        <v>60</v>
      </c>
      <c r="C54" s="782"/>
      <c r="D54" s="782"/>
      <c r="E54" s="782"/>
      <c r="F54" s="782"/>
      <c r="G54" s="783"/>
      <c r="H54" s="784"/>
      <c r="I54" s="784"/>
      <c r="J54" s="784"/>
      <c r="K54" s="784"/>
      <c r="L54" s="784"/>
      <c r="M54" s="939"/>
    </row>
    <row r="55" spans="1:19" ht="27" customHeight="1">
      <c r="A55" s="941"/>
      <c r="B55" s="789" t="s">
        <v>61</v>
      </c>
      <c r="C55" s="782"/>
      <c r="D55" s="782"/>
      <c r="E55" s="782"/>
      <c r="F55" s="782"/>
      <c r="G55" s="783"/>
      <c r="H55" s="784"/>
      <c r="I55" s="784"/>
      <c r="J55" s="784"/>
      <c r="K55" s="784"/>
      <c r="L55" s="784"/>
      <c r="M55" s="939"/>
    </row>
    <row r="56" spans="1:19" ht="27" customHeight="1">
      <c r="A56" s="941"/>
      <c r="B56" s="789" t="s">
        <v>62</v>
      </c>
      <c r="C56" s="782"/>
      <c r="D56" s="782"/>
      <c r="E56" s="782"/>
      <c r="F56" s="782"/>
      <c r="G56" s="783"/>
      <c r="H56" s="784"/>
      <c r="I56" s="784"/>
      <c r="J56" s="784"/>
      <c r="K56" s="784"/>
      <c r="L56" s="784"/>
      <c r="M56" s="939"/>
    </row>
    <row r="57" spans="1:19" ht="27" customHeight="1">
      <c r="A57" s="941"/>
      <c r="B57" s="790" t="s">
        <v>63</v>
      </c>
      <c r="C57" s="785"/>
      <c r="D57" s="785"/>
      <c r="E57" s="785"/>
      <c r="F57" s="785"/>
      <c r="G57" s="786"/>
      <c r="H57" s="787"/>
      <c r="I57" s="787"/>
      <c r="J57" s="787"/>
      <c r="K57" s="787"/>
      <c r="L57" s="787"/>
      <c r="M57" s="939"/>
    </row>
    <row r="58" spans="1:19" ht="27" customHeight="1">
      <c r="A58" s="959" t="s">
        <v>64</v>
      </c>
      <c r="B58" s="960"/>
      <c r="C58" s="964"/>
      <c r="D58" s="964"/>
      <c r="E58" s="964"/>
      <c r="F58" s="964"/>
      <c r="G58" s="166"/>
      <c r="H58" s="962"/>
      <c r="I58" s="962"/>
      <c r="J58" s="962"/>
      <c r="K58" s="962"/>
      <c r="L58" s="962"/>
    </row>
    <row r="59" spans="1:19" ht="27" customHeight="1">
      <c r="A59" s="959" t="s">
        <v>65</v>
      </c>
      <c r="B59" s="960"/>
      <c r="C59" s="941"/>
      <c r="D59" s="941"/>
      <c r="E59" s="941"/>
      <c r="F59" s="941"/>
      <c r="G59" s="166"/>
      <c r="H59" s="962"/>
      <c r="I59" s="962"/>
      <c r="J59" s="962"/>
      <c r="K59" s="962"/>
      <c r="L59" s="962"/>
    </row>
    <row r="61" spans="1:19">
      <c r="A61" s="963" t="s">
        <v>66</v>
      </c>
      <c r="B61" s="963"/>
    </row>
    <row r="62" spans="1:19">
      <c r="A62" s="139" t="s">
        <v>67</v>
      </c>
    </row>
    <row r="63" spans="1:19">
      <c r="A63" s="129"/>
      <c r="B63" s="129"/>
      <c r="C63" s="129"/>
      <c r="D63" s="129"/>
      <c r="E63" s="129"/>
      <c r="F63" s="129"/>
      <c r="G63" s="129"/>
      <c r="H63" s="129"/>
      <c r="I63" s="129"/>
      <c r="J63" s="129"/>
    </row>
    <row r="64" spans="1:19">
      <c r="A64" s="129"/>
      <c r="B64" s="129"/>
      <c r="C64" s="129"/>
      <c r="D64" s="129"/>
      <c r="E64" s="129"/>
      <c r="F64" s="129"/>
      <c r="G64" s="129"/>
      <c r="H64" s="129"/>
      <c r="I64" s="129"/>
      <c r="J64" s="129"/>
    </row>
    <row r="65" spans="1:257">
      <c r="A65" s="129"/>
      <c r="B65" s="129"/>
      <c r="C65" s="129"/>
      <c r="D65" s="129"/>
      <c r="E65" s="129"/>
      <c r="F65" s="129"/>
      <c r="G65" s="129"/>
      <c r="H65" s="129"/>
      <c r="I65" s="129"/>
      <c r="J65" s="129"/>
    </row>
    <row r="67" spans="1:257" ht="16" thickBot="1">
      <c r="A67" s="137" t="s">
        <v>68</v>
      </c>
    </row>
    <row r="68" spans="1:257" ht="16" thickBot="1">
      <c r="A68" s="167"/>
      <c r="B68" s="127" t="s">
        <v>69</v>
      </c>
      <c r="O68" s="776"/>
    </row>
    <row r="69" spans="1:257" ht="16" thickBot="1">
      <c r="A69" s="167"/>
      <c r="B69" s="20" t="s">
        <v>70</v>
      </c>
      <c r="O69" s="777"/>
    </row>
    <row r="70" spans="1:257" ht="16" thickBot="1">
      <c r="A70" s="167"/>
      <c r="B70" s="20" t="s">
        <v>71</v>
      </c>
      <c r="O70" s="777"/>
    </row>
    <row r="71" spans="1:257" ht="16" thickBot="1">
      <c r="A71" s="167"/>
      <c r="B71" s="20" t="s">
        <v>72</v>
      </c>
      <c r="O71" s="777"/>
    </row>
    <row r="72" spans="1:257" ht="16" thickBot="1">
      <c r="A72" s="167"/>
      <c r="B72" s="20" t="s">
        <v>73</v>
      </c>
      <c r="O72" s="777"/>
    </row>
    <row r="73" spans="1:257" ht="16" thickBot="1">
      <c r="A73" s="167"/>
      <c r="B73" s="20" t="s">
        <v>74</v>
      </c>
      <c r="O73" s="777"/>
    </row>
    <row r="74" spans="1:257" ht="16" thickBot="1">
      <c r="A74" s="167"/>
      <c r="B74" s="20" t="s">
        <v>75</v>
      </c>
      <c r="O74" s="777"/>
    </row>
    <row r="75" spans="1:257" ht="16" thickBot="1">
      <c r="A75" s="167"/>
      <c r="B75" s="20" t="s">
        <v>76</v>
      </c>
      <c r="O75" s="777"/>
    </row>
    <row r="76" spans="1:257" ht="16" thickBot="1">
      <c r="A76" s="167"/>
      <c r="B76" s="20" t="s">
        <v>77</v>
      </c>
    </row>
    <row r="77" spans="1:257" ht="16" thickBot="1">
      <c r="A77" s="167"/>
      <c r="B77" s="20" t="s">
        <v>78</v>
      </c>
      <c r="C77" s="1"/>
      <c r="P77" s="270"/>
      <c r="R77" s="1"/>
      <c r="S77" s="1"/>
      <c r="IW77" s="126"/>
    </row>
    <row r="78" spans="1:257" ht="16" thickBot="1">
      <c r="A78" s="167"/>
      <c r="B78" s="20" t="s">
        <v>79</v>
      </c>
      <c r="C78" s="1"/>
      <c r="P78" s="270"/>
      <c r="R78" s="1"/>
      <c r="S78" s="1"/>
      <c r="IW78" s="126"/>
    </row>
    <row r="79" spans="1:257" ht="16" thickBot="1">
      <c r="A79" s="167"/>
      <c r="B79" s="126" t="s">
        <v>80</v>
      </c>
      <c r="R79" s="778"/>
      <c r="S79" s="778"/>
    </row>
    <row r="80" spans="1:257" ht="16" thickBot="1">
      <c r="A80" s="167"/>
      <c r="B80" s="278" t="s">
        <v>81</v>
      </c>
      <c r="R80" s="778"/>
    </row>
    <row r="81" spans="1:18" ht="16" thickBot="1">
      <c r="A81" s="167"/>
      <c r="B81" s="126" t="s">
        <v>82</v>
      </c>
      <c r="R81" s="778"/>
    </row>
    <row r="82" spans="1:18" ht="16" thickBot="1">
      <c r="A82" s="167"/>
      <c r="B82" s="126" t="s">
        <v>83</v>
      </c>
      <c r="R82" s="778"/>
    </row>
    <row r="84" spans="1:18">
      <c r="A84" s="140" t="s">
        <v>84</v>
      </c>
      <c r="B84" s="140"/>
    </row>
    <row r="85" spans="1:18">
      <c r="A85" s="126" t="s">
        <v>85</v>
      </c>
    </row>
    <row r="87" spans="1:18">
      <c r="A87" s="158"/>
      <c r="B87" s="158"/>
    </row>
    <row r="88" spans="1:18">
      <c r="A88" s="158"/>
      <c r="B88" s="158"/>
    </row>
    <row r="89" spans="1:18">
      <c r="A89" s="20"/>
      <c r="B89" s="158"/>
    </row>
    <row r="90" spans="1:18">
      <c r="A90" s="20"/>
      <c r="B90" s="158"/>
    </row>
    <row r="91" spans="1:18">
      <c r="A91" s="20"/>
      <c r="B91" s="158"/>
    </row>
    <row r="92" spans="1:18" ht="16" thickBot="1">
      <c r="A92" s="20"/>
      <c r="B92" s="158"/>
    </row>
    <row r="93" spans="1:18">
      <c r="A93" s="20"/>
      <c r="B93" s="158"/>
      <c r="M93" s="956"/>
    </row>
    <row r="94" spans="1:18">
      <c r="A94" s="20"/>
      <c r="B94" s="158"/>
      <c r="M94" s="957"/>
    </row>
    <row r="95" spans="1:18" ht="16" thickBot="1">
      <c r="A95" s="20"/>
      <c r="B95" s="158"/>
      <c r="M95" s="958"/>
    </row>
    <row r="96" spans="1:18">
      <c r="A96" s="20"/>
      <c r="B96" s="158"/>
    </row>
    <row r="97" spans="1:17">
      <c r="A97" s="20"/>
      <c r="B97" s="158"/>
    </row>
    <row r="98" spans="1:17">
      <c r="A98" s="168"/>
      <c r="B98" s="168"/>
    </row>
    <row r="99" spans="1:17">
      <c r="A99" s="168"/>
      <c r="B99" s="168"/>
    </row>
    <row r="101" spans="1:17">
      <c r="D101" s="169"/>
    </row>
    <row r="102" spans="1:17" hidden="1"/>
    <row r="103" spans="1:17" hidden="1">
      <c r="C103" s="169"/>
    </row>
    <row r="104" spans="1:17">
      <c r="C104" s="169"/>
    </row>
    <row r="105" spans="1:17">
      <c r="C105" s="169"/>
    </row>
    <row r="106" spans="1:17" hidden="1">
      <c r="A106" s="735"/>
    </row>
    <row r="107" spans="1:17">
      <c r="A107" s="735"/>
      <c r="Q107" s="126" t="s">
        <v>86</v>
      </c>
    </row>
  </sheetData>
  <mergeCells count="30">
    <mergeCell ref="M93:M95"/>
    <mergeCell ref="A58:B58"/>
    <mergeCell ref="A59:B59"/>
    <mergeCell ref="M48:M49"/>
    <mergeCell ref="C59:D59"/>
    <mergeCell ref="E59:F59"/>
    <mergeCell ref="H59:L59"/>
    <mergeCell ref="A61:B61"/>
    <mergeCell ref="C58:D58"/>
    <mergeCell ref="E58:F58"/>
    <mergeCell ref="H58:L58"/>
    <mergeCell ref="A1:M1"/>
    <mergeCell ref="J24:K24"/>
    <mergeCell ref="J25:K25"/>
    <mergeCell ref="J26:K26"/>
    <mergeCell ref="D16:E16"/>
    <mergeCell ref="B22:G22"/>
    <mergeCell ref="H22:I22"/>
    <mergeCell ref="J22:K22"/>
    <mergeCell ref="A2:M2"/>
    <mergeCell ref="J23:K23"/>
    <mergeCell ref="E19:I20"/>
    <mergeCell ref="J27:K27"/>
    <mergeCell ref="M50:M57"/>
    <mergeCell ref="A48:A49"/>
    <mergeCell ref="A50:A57"/>
    <mergeCell ref="B48:B49"/>
    <mergeCell ref="C48:L48"/>
    <mergeCell ref="J28:K28"/>
    <mergeCell ref="C30:I30"/>
  </mergeCells>
  <printOptions horizontalCentered="1"/>
  <pageMargins left="0.51181102362204722" right="0.23622047244094491" top="0.62992125984251968" bottom="0.23622047244094491" header="0.23622047244094491" footer="0.23622047244094491"/>
  <pageSetup paperSize="9" scale="69" orientation="portrait" r:id="rId1"/>
  <headerFooter>
    <oddHeader>&amp;R&amp;"-,Regular"&amp;8SH.LK - 031-18 / Rev : 0</oddHeader>
  </headerFooter>
  <rowBreaks count="1" manualBreakCount="1">
    <brk id="59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1F4F-0AFD-4EA0-BC71-90B238415696}">
  <sheetPr codeName="Sheet10"/>
  <dimension ref="A1:CS339"/>
  <sheetViews>
    <sheetView topLeftCell="A226" zoomScale="87" zoomScaleNormal="87" workbookViewId="0">
      <pane xSplit="2" topLeftCell="C1" activePane="topRight" state="frozen"/>
      <selection activeCell="A153" sqref="A153"/>
      <selection pane="topRight" activeCell="I313" sqref="I313"/>
    </sheetView>
  </sheetViews>
  <sheetFormatPr defaultColWidth="9" defaultRowHeight="12.5"/>
  <cols>
    <col min="1" max="1" width="9" style="543"/>
    <col min="2" max="2" width="13.54296875" style="548" customWidth="1"/>
    <col min="3" max="3" width="20.54296875" style="548" customWidth="1"/>
    <col min="4" max="4" width="21.453125" style="548" customWidth="1"/>
    <col min="5" max="5" width="18.54296875" style="548" customWidth="1"/>
    <col min="6" max="18" width="15.54296875" style="548" customWidth="1"/>
    <col min="19" max="19" width="14.81640625" style="548" customWidth="1"/>
    <col min="20" max="28" width="14.54296875" style="576" customWidth="1"/>
    <col min="29" max="29" width="14.54296875" style="548" customWidth="1"/>
    <col min="30" max="30" width="18.54296875" style="548" customWidth="1"/>
    <col min="31" max="31" width="17.453125" style="548" customWidth="1"/>
    <col min="32" max="33" width="18.54296875" style="548" customWidth="1"/>
    <col min="34" max="34" width="18.54296875" style="576" customWidth="1"/>
    <col min="35" max="35" width="16.26953125" style="548" customWidth="1"/>
    <col min="36" max="36" width="17.26953125" style="577" customWidth="1"/>
    <col min="37" max="37" width="11.54296875" style="548" customWidth="1"/>
    <col min="38" max="39" width="18.54296875" style="548" customWidth="1"/>
    <col min="40" max="40" width="18.54296875" style="576" customWidth="1"/>
    <col min="41" max="41" width="10" style="548" customWidth="1"/>
    <col min="42" max="42" width="10" style="577" customWidth="1"/>
    <col min="43" max="43" width="10" style="548" customWidth="1"/>
    <col min="44" max="45" width="18.54296875" style="548" customWidth="1"/>
    <col min="46" max="46" width="18.54296875" style="576" customWidth="1"/>
    <col min="47" max="47" width="10" style="548" customWidth="1"/>
    <col min="48" max="48" width="10" style="577" customWidth="1"/>
    <col min="49" max="49" width="10" style="548" customWidth="1"/>
    <col min="50" max="51" width="18.54296875" style="548" customWidth="1"/>
    <col min="52" max="52" width="18.54296875" style="576" customWidth="1"/>
    <col min="53" max="53" width="10" style="548" customWidth="1"/>
    <col min="54" max="54" width="10" style="577" customWidth="1"/>
    <col min="55" max="55" width="10" style="548" customWidth="1"/>
    <col min="56" max="57" width="18.54296875" style="548" customWidth="1"/>
    <col min="58" max="58" width="18.54296875" style="576" customWidth="1"/>
    <col min="59" max="59" width="10" style="548" customWidth="1"/>
    <col min="60" max="60" width="10" style="577" customWidth="1"/>
    <col min="61" max="61" width="10" style="548" customWidth="1"/>
    <col min="62" max="63" width="18.54296875" style="548" customWidth="1"/>
    <col min="64" max="64" width="18.54296875" style="576" customWidth="1"/>
    <col min="65" max="65" width="10" style="548" customWidth="1"/>
    <col min="66" max="66" width="10" style="577" customWidth="1"/>
    <col min="67" max="67" width="10" style="548" customWidth="1"/>
    <col min="68" max="69" width="18.54296875" style="548" customWidth="1"/>
    <col min="70" max="70" width="18.54296875" style="576" customWidth="1"/>
    <col min="71" max="71" width="10" style="548" customWidth="1"/>
    <col min="72" max="72" width="10" style="577" customWidth="1"/>
    <col min="73" max="73" width="10" style="548" customWidth="1"/>
    <col min="74" max="75" width="18.54296875" style="548" customWidth="1"/>
    <col min="76" max="76" width="18.54296875" style="576" customWidth="1"/>
    <col min="77" max="77" width="10" style="548" customWidth="1"/>
    <col min="78" max="78" width="10" style="577" customWidth="1"/>
    <col min="79" max="79" width="10" style="548" customWidth="1"/>
    <col min="80" max="84" width="11.453125" style="548" customWidth="1"/>
    <col min="85" max="85" width="11.453125" style="543" customWidth="1"/>
    <col min="86" max="90" width="11.453125" style="548" customWidth="1"/>
    <col min="91" max="91" width="10" style="543" customWidth="1"/>
    <col min="92" max="92" width="13.1796875" style="548" customWidth="1"/>
    <col min="93" max="96" width="10" style="548" customWidth="1"/>
    <col min="97" max="97" width="10" style="543" customWidth="1"/>
    <col min="98" max="316" width="10" style="548" customWidth="1"/>
    <col min="317" max="16384" width="9" style="548"/>
  </cols>
  <sheetData>
    <row r="1" spans="2:96" s="543" customFormat="1" ht="27.65" customHeight="1">
      <c r="B1" s="1201" t="s">
        <v>352</v>
      </c>
      <c r="C1" s="1201"/>
      <c r="D1" s="1201"/>
      <c r="E1" s="1201"/>
      <c r="F1" s="1201"/>
      <c r="H1" s="1201" t="s">
        <v>352</v>
      </c>
      <c r="I1" s="1201"/>
      <c r="J1" s="1201"/>
      <c r="K1" s="1201"/>
      <c r="L1" s="1201"/>
      <c r="N1" s="1201" t="s">
        <v>352</v>
      </c>
      <c r="O1" s="1201"/>
      <c r="P1" s="1201"/>
      <c r="Q1" s="1201"/>
      <c r="R1" s="1201"/>
      <c r="T1" s="1201" t="s">
        <v>352</v>
      </c>
      <c r="U1" s="1201"/>
      <c r="V1" s="1201"/>
      <c r="W1" s="1201"/>
      <c r="X1" s="1201"/>
      <c r="Z1" s="1201" t="s">
        <v>352</v>
      </c>
      <c r="AA1" s="1201"/>
      <c r="AB1" s="1201"/>
      <c r="AC1" s="1201"/>
      <c r="AD1" s="1201"/>
      <c r="AF1" s="1201" t="s">
        <v>352</v>
      </c>
      <c r="AG1" s="1201"/>
      <c r="AH1" s="1201"/>
      <c r="AI1" s="1201"/>
      <c r="AJ1" s="1201"/>
      <c r="AL1" s="1201" t="s">
        <v>352</v>
      </c>
      <c r="AM1" s="1201"/>
      <c r="AN1" s="1201"/>
      <c r="AO1" s="1201"/>
      <c r="AP1" s="1201"/>
      <c r="AR1" s="1201" t="s">
        <v>352</v>
      </c>
      <c r="AS1" s="1201"/>
      <c r="AT1" s="1201"/>
      <c r="AU1" s="1201"/>
      <c r="AV1" s="1201"/>
      <c r="AX1" s="1201" t="s">
        <v>352</v>
      </c>
      <c r="AY1" s="1201"/>
      <c r="AZ1" s="1201"/>
      <c r="BA1" s="1201"/>
      <c r="BB1" s="1201"/>
      <c r="BD1" s="1201" t="s">
        <v>352</v>
      </c>
      <c r="BE1" s="1201"/>
      <c r="BF1" s="1201"/>
      <c r="BG1" s="1201"/>
      <c r="BH1" s="1201"/>
      <c r="BJ1" s="1201" t="s">
        <v>352</v>
      </c>
      <c r="BK1" s="1201"/>
      <c r="BL1" s="1201"/>
      <c r="BM1" s="1201"/>
      <c r="BN1" s="1201"/>
      <c r="BP1" s="1201" t="s">
        <v>352</v>
      </c>
      <c r="BQ1" s="1201"/>
      <c r="BR1" s="1201"/>
      <c r="BS1" s="1201"/>
      <c r="BT1" s="1201"/>
      <c r="BV1" s="1201" t="s">
        <v>352</v>
      </c>
      <c r="BW1" s="1201"/>
      <c r="BX1" s="1201"/>
      <c r="BY1" s="1201"/>
      <c r="BZ1" s="1201"/>
      <c r="CB1" s="1201" t="s">
        <v>352</v>
      </c>
      <c r="CC1" s="1201"/>
      <c r="CD1" s="1201"/>
      <c r="CE1" s="1201"/>
      <c r="CF1" s="1201"/>
      <c r="CH1" s="1201" t="s">
        <v>352</v>
      </c>
      <c r="CI1" s="1201"/>
      <c r="CJ1" s="1201"/>
      <c r="CK1" s="1201"/>
      <c r="CL1" s="1201"/>
      <c r="CN1" s="1201" t="s">
        <v>352</v>
      </c>
      <c r="CO1" s="1201"/>
      <c r="CP1" s="1201"/>
      <c r="CQ1" s="1201"/>
      <c r="CR1" s="1201"/>
    </row>
    <row r="2" spans="2:96" s="543" customFormat="1">
      <c r="P2" s="544"/>
      <c r="R2" s="545"/>
      <c r="V2" s="544"/>
      <c r="X2" s="545"/>
      <c r="AB2" s="544"/>
      <c r="AD2" s="545"/>
      <c r="AH2" s="544"/>
      <c r="AJ2" s="545"/>
      <c r="AN2" s="544"/>
      <c r="AP2" s="545"/>
      <c r="AT2" s="544"/>
      <c r="AV2" s="545"/>
      <c r="AZ2" s="544"/>
      <c r="BB2" s="545"/>
      <c r="BF2" s="544"/>
      <c r="BH2" s="545"/>
      <c r="BL2" s="544"/>
      <c r="BN2" s="545"/>
      <c r="BR2" s="544"/>
      <c r="BT2" s="545"/>
      <c r="BX2" s="544"/>
      <c r="BZ2" s="545"/>
      <c r="CD2" s="544"/>
      <c r="CF2" s="545"/>
      <c r="CJ2" s="544"/>
      <c r="CL2" s="545"/>
      <c r="CP2" s="544"/>
      <c r="CR2" s="545"/>
    </row>
    <row r="3" spans="2:96" ht="27.75" customHeight="1">
      <c r="B3" s="1195" t="s">
        <v>353</v>
      </c>
      <c r="C3" s="1197" t="s">
        <v>354</v>
      </c>
      <c r="D3" s="1197"/>
      <c r="E3" s="1197"/>
      <c r="F3" s="546" t="s">
        <v>355</v>
      </c>
      <c r="G3" s="547"/>
      <c r="H3" s="1195" t="s">
        <v>353</v>
      </c>
      <c r="I3" s="1197" t="s">
        <v>356</v>
      </c>
      <c r="J3" s="1197"/>
      <c r="K3" s="1197"/>
      <c r="L3" s="546" t="s">
        <v>355</v>
      </c>
      <c r="M3" s="547"/>
      <c r="N3" s="1195" t="s">
        <v>353</v>
      </c>
      <c r="O3" s="1197" t="s">
        <v>70</v>
      </c>
      <c r="P3" s="1198"/>
      <c r="Q3" s="1197"/>
      <c r="R3" s="546" t="s">
        <v>355</v>
      </c>
      <c r="S3" s="543"/>
      <c r="T3" s="1195" t="s">
        <v>353</v>
      </c>
      <c r="U3" s="1197" t="str">
        <f>F127</f>
        <v>Wireless Temperature Recorder, Merek : HIOKI, Model : LR 8510, SN : 200936000</v>
      </c>
      <c r="V3" s="1198"/>
      <c r="W3" s="1197"/>
      <c r="X3" s="546" t="s">
        <v>355</v>
      </c>
      <c r="Y3" s="543"/>
      <c r="Z3" s="1195" t="s">
        <v>353</v>
      </c>
      <c r="AA3" s="1197" t="str">
        <f>G127</f>
        <v>Wireless Temperature Recorder, Merek : HIOKI, Model : LR 8510, SN : 200936001</v>
      </c>
      <c r="AB3" s="1198"/>
      <c r="AC3" s="1197"/>
      <c r="AD3" s="546" t="s">
        <v>355</v>
      </c>
      <c r="AE3" s="543"/>
      <c r="AF3" s="1195" t="s">
        <v>353</v>
      </c>
      <c r="AG3" s="1197" t="str">
        <f>H127</f>
        <v>Wireless Temperature Recorder, Merek : HIOKI, Model : LR 8510, SN : 200821397</v>
      </c>
      <c r="AH3" s="1198"/>
      <c r="AI3" s="1197"/>
      <c r="AJ3" s="546" t="s">
        <v>355</v>
      </c>
      <c r="AK3" s="543"/>
      <c r="AL3" s="1199" t="s">
        <v>353</v>
      </c>
      <c r="AM3" s="1193" t="str">
        <f>I127</f>
        <v>Wireless Temperature Recorder, Merek : HIOKI, Model : LR 8510, SN : 210411983</v>
      </c>
      <c r="AN3" s="1194"/>
      <c r="AO3" s="1193"/>
      <c r="AP3" s="546" t="s">
        <v>355</v>
      </c>
      <c r="AQ3" s="543"/>
      <c r="AR3" s="1199" t="s">
        <v>353</v>
      </c>
      <c r="AS3" s="1193" t="str">
        <f>J127</f>
        <v>Wireless Temperature Recorder, Merek : HIOKI, Model : LR 8510, SN : 210411984</v>
      </c>
      <c r="AT3" s="1194"/>
      <c r="AU3" s="1193"/>
      <c r="AV3" s="546" t="s">
        <v>355</v>
      </c>
      <c r="AW3" s="543"/>
      <c r="AX3" s="1199" t="s">
        <v>353</v>
      </c>
      <c r="AY3" s="1193" t="str">
        <f>K127</f>
        <v>Wireless Temperature Recorder, Merek : HIOKI, Model : LR 8510, SN : 210411985</v>
      </c>
      <c r="AZ3" s="1194"/>
      <c r="BA3" s="1193"/>
      <c r="BB3" s="546" t="s">
        <v>355</v>
      </c>
      <c r="BC3" s="543"/>
      <c r="BD3" s="1199" t="s">
        <v>353</v>
      </c>
      <c r="BE3" s="1193" t="str">
        <f>L127</f>
        <v>Wireless Temperature Recorder, Merek : HIOKI, Model : LR 8510, SN : 210746054</v>
      </c>
      <c r="BF3" s="1194"/>
      <c r="BG3" s="1193"/>
      <c r="BH3" s="546" t="s">
        <v>355</v>
      </c>
      <c r="BI3" s="543"/>
      <c r="BJ3" s="1199" t="s">
        <v>353</v>
      </c>
      <c r="BK3" s="1193" t="str">
        <f>M127</f>
        <v>Wireless Temperature Recorder, Merek : HIOKI, Model : LR 8510, SN : 210746055</v>
      </c>
      <c r="BL3" s="1194"/>
      <c r="BM3" s="1193"/>
      <c r="BN3" s="546" t="s">
        <v>355</v>
      </c>
      <c r="BO3" s="543"/>
      <c r="BP3" s="1199" t="s">
        <v>353</v>
      </c>
      <c r="BQ3" s="1193" t="str">
        <f>N127</f>
        <v>Wireless Temperature Recorder, Merek : HIOKI, Model : LR 8510, SN : 210746056</v>
      </c>
      <c r="BR3" s="1194"/>
      <c r="BS3" s="1193"/>
      <c r="BT3" s="546" t="s">
        <v>355</v>
      </c>
      <c r="BU3" s="543"/>
      <c r="BV3" s="1199" t="s">
        <v>353</v>
      </c>
      <c r="BW3" s="1193" t="str">
        <f>O127</f>
        <v>Wireless Temperature Recorder, Merek : HIOKI, Model : LR 8510, SN : 200821396</v>
      </c>
      <c r="BX3" s="1194"/>
      <c r="BY3" s="1193"/>
      <c r="BZ3" s="546" t="s">
        <v>355</v>
      </c>
      <c r="CA3" s="543"/>
      <c r="CB3" s="1199" t="s">
        <v>353</v>
      </c>
      <c r="CC3" s="1193" t="str">
        <f>P127</f>
        <v>Reference Thermometer, Merek : APPA, Model : APPA51, SN : 03002948</v>
      </c>
      <c r="CD3" s="1194"/>
      <c r="CE3" s="1193"/>
      <c r="CF3" s="546" t="s">
        <v>355</v>
      </c>
      <c r="CH3" s="1199" t="s">
        <v>353</v>
      </c>
      <c r="CI3" s="1193" t="str">
        <f>Q127</f>
        <v>Reference Thermometer, Merek : FLUKE, Model : 1524, SN : 1803038</v>
      </c>
      <c r="CJ3" s="1194"/>
      <c r="CK3" s="1193"/>
      <c r="CL3" s="546" t="s">
        <v>355</v>
      </c>
      <c r="CN3" s="1199" t="s">
        <v>353</v>
      </c>
      <c r="CO3" s="1193" t="str">
        <f>R127</f>
        <v>Reference Thermometer, Merek : FLUKE, Model : 1524, SN : 1803037</v>
      </c>
      <c r="CP3" s="1194"/>
      <c r="CQ3" s="1193"/>
      <c r="CR3" s="546" t="s">
        <v>355</v>
      </c>
    </row>
    <row r="4" spans="2:96" ht="12.75" customHeight="1">
      <c r="B4" s="1196"/>
      <c r="C4" s="669">
        <v>2021</v>
      </c>
      <c r="D4" s="669">
        <f>C126</f>
        <v>2022</v>
      </c>
      <c r="E4" s="682" t="s">
        <v>357</v>
      </c>
      <c r="F4" s="656">
        <f ca="1">$B$243</f>
        <v>-26.693000000000005</v>
      </c>
      <c r="G4" s="551"/>
      <c r="H4" s="1196"/>
      <c r="I4" s="677">
        <v>2021</v>
      </c>
      <c r="J4" s="681">
        <f>D126</f>
        <v>2022</v>
      </c>
      <c r="K4" s="682" t="s">
        <v>357</v>
      </c>
      <c r="L4" s="656">
        <f ca="1">$B$243</f>
        <v>-26.693000000000005</v>
      </c>
      <c r="M4" s="551"/>
      <c r="N4" s="1196"/>
      <c r="O4" s="677">
        <v>2021</v>
      </c>
      <c r="P4" s="681">
        <f>E126</f>
        <v>2023</v>
      </c>
      <c r="Q4" s="682" t="s">
        <v>357</v>
      </c>
      <c r="R4" s="656">
        <f ca="1">$B$243</f>
        <v>-26.693000000000005</v>
      </c>
      <c r="S4" s="543"/>
      <c r="T4" s="1196"/>
      <c r="U4" s="668"/>
      <c r="V4" s="681">
        <f>F126</f>
        <v>2022</v>
      </c>
      <c r="W4" s="682" t="s">
        <v>357</v>
      </c>
      <c r="X4" s="656">
        <f ca="1">$B$243</f>
        <v>-26.693000000000005</v>
      </c>
      <c r="Y4" s="543"/>
      <c r="Z4" s="1196"/>
      <c r="AA4" s="668">
        <v>2021</v>
      </c>
      <c r="AB4" s="681">
        <f>G126</f>
        <v>2023</v>
      </c>
      <c r="AC4" s="682" t="s">
        <v>357</v>
      </c>
      <c r="AD4" s="656">
        <f ca="1">$B$243</f>
        <v>-26.693000000000005</v>
      </c>
      <c r="AE4" s="543"/>
      <c r="AF4" s="1196"/>
      <c r="AG4" s="668">
        <v>2021</v>
      </c>
      <c r="AH4" s="681">
        <f>H126</f>
        <v>2023</v>
      </c>
      <c r="AI4" s="682" t="s">
        <v>357</v>
      </c>
      <c r="AJ4" s="656">
        <f ca="1">$B$243</f>
        <v>-26.693000000000005</v>
      </c>
      <c r="AK4" s="543"/>
      <c r="AL4" s="1200"/>
      <c r="AM4" s="668"/>
      <c r="AN4" s="669">
        <f>I126</f>
        <v>2023</v>
      </c>
      <c r="AO4" s="550" t="s">
        <v>357</v>
      </c>
      <c r="AP4" s="656">
        <f ca="1">$B$243</f>
        <v>-26.693000000000005</v>
      </c>
      <c r="AQ4" s="543"/>
      <c r="AR4" s="1200"/>
      <c r="AS4" s="677">
        <v>2021</v>
      </c>
      <c r="AT4" s="681">
        <f>J126</f>
        <v>2023</v>
      </c>
      <c r="AU4" s="682" t="s">
        <v>357</v>
      </c>
      <c r="AV4" s="656">
        <f ca="1">$B$243</f>
        <v>-26.693000000000005</v>
      </c>
      <c r="AW4" s="543"/>
      <c r="AX4" s="1200"/>
      <c r="AY4" s="668"/>
      <c r="AZ4" s="549">
        <f>K126</f>
        <v>2021</v>
      </c>
      <c r="BA4" s="550" t="s">
        <v>357</v>
      </c>
      <c r="BB4" s="656">
        <f ca="1">$B$243</f>
        <v>-26.693000000000005</v>
      </c>
      <c r="BC4" s="543"/>
      <c r="BD4" s="1200"/>
      <c r="BE4" s="668"/>
      <c r="BF4" s="549">
        <f>L126</f>
        <v>2022</v>
      </c>
      <c r="BG4" s="550" t="s">
        <v>357</v>
      </c>
      <c r="BH4" s="656">
        <f ca="1">$B$243</f>
        <v>-26.693000000000005</v>
      </c>
      <c r="BI4" s="543"/>
      <c r="BJ4" s="1200"/>
      <c r="BK4" s="668">
        <v>2021</v>
      </c>
      <c r="BL4" s="549">
        <f>M126</f>
        <v>2021</v>
      </c>
      <c r="BM4" s="550" t="s">
        <v>357</v>
      </c>
      <c r="BN4" s="656">
        <f ca="1">$B$243</f>
        <v>-26.693000000000005</v>
      </c>
      <c r="BO4" s="543"/>
      <c r="BP4" s="1200"/>
      <c r="BQ4" s="668">
        <v>2021</v>
      </c>
      <c r="BR4" s="669">
        <f>N126</f>
        <v>2022</v>
      </c>
      <c r="BS4" s="550" t="s">
        <v>357</v>
      </c>
      <c r="BT4" s="656">
        <f ca="1">$B$243</f>
        <v>-26.693000000000005</v>
      </c>
      <c r="BU4" s="543"/>
      <c r="BV4" s="1200"/>
      <c r="BW4" s="668"/>
      <c r="BX4" s="549">
        <f>O126</f>
        <v>2022</v>
      </c>
      <c r="BY4" s="550" t="s">
        <v>357</v>
      </c>
      <c r="BZ4" s="656">
        <f ca="1">$B$243</f>
        <v>-26.693000000000005</v>
      </c>
      <c r="CA4" s="543"/>
      <c r="CB4" s="1200"/>
      <c r="CC4" s="668">
        <v>2022</v>
      </c>
      <c r="CD4" s="669">
        <v>2020</v>
      </c>
      <c r="CE4" s="550" t="s">
        <v>357</v>
      </c>
      <c r="CF4" s="656">
        <f ca="1">$B$243</f>
        <v>-26.693000000000005</v>
      </c>
      <c r="CH4" s="1200"/>
      <c r="CI4" s="668">
        <v>2021</v>
      </c>
      <c r="CJ4" s="669">
        <v>2019</v>
      </c>
      <c r="CK4" s="550" t="s">
        <v>357</v>
      </c>
      <c r="CL4" s="656">
        <f ca="1">$B$243</f>
        <v>-26.693000000000005</v>
      </c>
      <c r="CN4" s="1200"/>
      <c r="CO4" s="668">
        <v>2021</v>
      </c>
      <c r="CP4" s="669">
        <v>2020</v>
      </c>
      <c r="CQ4" s="550" t="s">
        <v>357</v>
      </c>
      <c r="CR4" s="656">
        <f ca="1">$B$243</f>
        <v>-26.693000000000005</v>
      </c>
    </row>
    <row r="5" spans="2:96" ht="13">
      <c r="B5" s="693">
        <v>-40</v>
      </c>
      <c r="C5" s="671"/>
      <c r="D5" s="671">
        <f t="shared" ref="D5:D13" si="0">C129</f>
        <v>0</v>
      </c>
      <c r="E5" s="652">
        <f t="shared" ref="E5:E13" si="1">IF(OR(C5=0,D5=0),$C$138/3,((MAX(C5:D5)-(MIN(C5:D5)))))</f>
        <v>0.11333333333333334</v>
      </c>
      <c r="F5" s="654">
        <f ca="1">IF($L$4&lt;=$B$6,$B$5,IF($L$4&lt;=$B$8,$B$7,IF($L$4&lt;=$B$10,$B$9,IF($L$4&lt;=$B$12,$B$11,IF($L$4&lt;=$B$13,$B$13)))))</f>
        <v>-30</v>
      </c>
      <c r="G5" s="554"/>
      <c r="H5" s="693">
        <v>-40</v>
      </c>
      <c r="I5" s="670"/>
      <c r="J5" s="671">
        <f t="shared" ref="J5:J11" si="2">D129</f>
        <v>0</v>
      </c>
      <c r="K5" s="652">
        <f t="shared" ref="K5:K11" si="3">IF(OR(I5=0,J5=0),$D$138/3,((MAX(I5:J5)-(MIN(I5:J5)))))</f>
        <v>0.18666666666666668</v>
      </c>
      <c r="L5" s="654">
        <f ca="1">IF($L$4&lt;=$B$6,$B$5,IF($L$4&lt;=$B$8,$B$7,IF($L$4&lt;=$B$10,$B$9,IF($L$4&lt;=$B$12,$B$11,IF($L$4&lt;=$B$13,$B$13)))))</f>
        <v>-30</v>
      </c>
      <c r="M5" s="554"/>
      <c r="N5" s="693">
        <v>-40</v>
      </c>
      <c r="O5" s="671">
        <v>0</v>
      </c>
      <c r="P5" s="671">
        <f t="shared" ref="P5:P13" si="4">E129</f>
        <v>0</v>
      </c>
      <c r="Q5" s="652">
        <f t="shared" ref="Q5:Q11" si="5">IF(OR(O5=0,P5=0),$E$138/3,((MAX(O5:P5)-(MIN(O5:P5)))))</f>
        <v>9.3333333333333338E-2</v>
      </c>
      <c r="R5" s="654">
        <f ca="1">IF($L$4&lt;=$B$6,$B$5,IF($L$4&lt;=$B$8,$B$7,IF($L$4&lt;=$B$10,$B$9,IF($L$4&lt;=$B$12,$B$11,IF($L$4&lt;=$B$13,$B$13)))))</f>
        <v>-30</v>
      </c>
      <c r="S5" s="555"/>
      <c r="T5" s="693">
        <v>-40</v>
      </c>
      <c r="U5" s="670"/>
      <c r="V5" s="671">
        <f t="shared" ref="V5:V11" si="6">F129</f>
        <v>-2.67</v>
      </c>
      <c r="W5" s="652">
        <f t="shared" ref="W5:W11" si="7">IF(OR(U5=0,V5=0),$F$138/3,((MAX(U5:V5)-(MIN(U5:V5)))))</f>
        <v>5.3333333333333337E-2</v>
      </c>
      <c r="X5" s="654">
        <f ca="1">IF($L$4&lt;=$B$6,$B$5,IF($L$4&lt;=$B$8,$B$7,IF($L$4&lt;=$B$10,$B$9,IF($L$4&lt;=$B$12,$B$11,IF($L$4&lt;=$B$13,$B$13)))))</f>
        <v>-30</v>
      </c>
      <c r="Y5" s="555"/>
      <c r="Z5" s="693">
        <v>-40</v>
      </c>
      <c r="AA5" s="670">
        <v>0</v>
      </c>
      <c r="AB5" s="671">
        <f t="shared" ref="AB5:AB13" si="8">G129</f>
        <v>-0.06</v>
      </c>
      <c r="AC5" s="652">
        <f t="shared" ref="AC5:AC13" si="9">IF(OR(AA5=0,AB5=0),$G$138/3,((MAX(AA5:AB5)-(MIN(AA5:AB5)))))</f>
        <v>3.3333333333333333E-2</v>
      </c>
      <c r="AD5" s="654">
        <f ca="1">IF($L$4&lt;=$B$6,$B$5,IF($L$4&lt;=$B$8,$B$7,IF($L$4&lt;=$B$10,$B$9,IF($L$4&lt;=$B$12,$B$11,IF($L$4&lt;=$B$13,$B$13)))))</f>
        <v>-30</v>
      </c>
      <c r="AE5" s="555"/>
      <c r="AF5" s="693">
        <v>-40</v>
      </c>
      <c r="AG5" s="670">
        <v>0</v>
      </c>
      <c r="AH5" s="671">
        <f t="shared" ref="AH5:AH13" si="10">H129</f>
        <v>-7.0000000000000007E-2</v>
      </c>
      <c r="AI5" s="652">
        <f t="shared" ref="AI5:AI13" si="11">IF(OR(AG5=0,AH5=0),$H$138/3,((MAX(AG5:AH5)-(MIN(AG5:AH5)))))</f>
        <v>3.3333333333333333E-2</v>
      </c>
      <c r="AJ5" s="654">
        <f ca="1">IF($L$4&lt;=$B$6,$B$5,IF($L$4&lt;=$B$8,$B$7,IF($L$4&lt;=$B$10,$B$9,IF($L$4&lt;=$B$12,$B$11,IF($L$4&lt;=$B$13,$B$13)))))</f>
        <v>-30</v>
      </c>
      <c r="AK5" s="555"/>
      <c r="AL5" s="693">
        <v>-40</v>
      </c>
      <c r="AM5" s="670"/>
      <c r="AN5" s="671">
        <f t="shared" ref="AN5:AN13" si="12">I129</f>
        <v>0.38</v>
      </c>
      <c r="AO5" s="652">
        <f t="shared" ref="AO5:AO13" si="13">IF(OR(AM5=0,AN5=0),$I$138/3,((MAX(AM5:AN5)-(MIN(AM5:AN5)))))</f>
        <v>2.3333333333333334E-2</v>
      </c>
      <c r="AP5" s="654">
        <f ca="1">IF($L$4&lt;=$B$6,$B$5,IF($L$4&lt;=$B$8,$B$7,IF($L$4&lt;=$B$10,$B$9,IF($L$4&lt;=$B$12,$B$11,IF($L$4&lt;=$B$13,$B$13)))))</f>
        <v>-30</v>
      </c>
      <c r="AQ5" s="543"/>
      <c r="AR5" s="693">
        <v>-40</v>
      </c>
      <c r="AS5" s="670"/>
      <c r="AT5" s="671">
        <f t="shared" ref="AT5:AT13" si="14">J143</f>
        <v>0.32</v>
      </c>
      <c r="AU5" s="652">
        <f t="shared" ref="AU5:AU13" si="15">IF(OR(AS5=0,AT5=0),$J$138/3,((MAX(AS5:AT5)-(MIN(AS5:AT5)))))</f>
        <v>0.03</v>
      </c>
      <c r="AV5" s="654">
        <f ca="1">IF($L$4&lt;=$B$6,$B$5,IF($L$4&lt;=$B$8,$B$7,IF($L$4&lt;=$B$10,$B$9,IF($L$4&lt;=$B$12,$B$11,IF($L$4&lt;=$B$13,$B$13)))))</f>
        <v>-30</v>
      </c>
      <c r="AW5" s="543"/>
      <c r="AX5" s="693">
        <v>-40</v>
      </c>
      <c r="AY5" s="670"/>
      <c r="AZ5" s="553">
        <f t="shared" ref="AZ5:AZ13" si="16">K129</f>
        <v>0</v>
      </c>
      <c r="BA5" s="541">
        <f t="shared" ref="BA5:BA13" si="17">IF(OR(AY5=0,AZ5=0),$K$138/3,((MAX(AY5:AZ5)-(MIN(AY5:AZ5)))))</f>
        <v>0.26333333333333336</v>
      </c>
      <c r="BB5" s="654">
        <f ca="1">IF($L$4&lt;=$B$6,$B$5,IF($L$4&lt;=$B$8,$B$7,IF($L$4&lt;=$B$10,$B$9,IF($L$4&lt;=$B$12,$B$11,IF($L$4&lt;=$B$13,$B$13)))))</f>
        <v>-30</v>
      </c>
      <c r="BC5" s="543"/>
      <c r="BD5" s="693">
        <v>-40</v>
      </c>
      <c r="BE5" s="670"/>
      <c r="BF5" s="553">
        <f t="shared" ref="BF5:BF13" si="18">L129</f>
        <v>-2.98</v>
      </c>
      <c r="BG5" s="541">
        <f t="shared" ref="BG5:BG13" si="19">IF(OR(BE5=0,BF5=0),$L$138/3,((MAX(BE5:BF5)-(MIN(BE5:BF5)))))</f>
        <v>0.03</v>
      </c>
      <c r="BH5" s="654">
        <f ca="1">IF($L$4&lt;=$B$6,$B$5,IF($L$4&lt;=$B$8,$B$7,IF($L$4&lt;=$B$10,$B$9,IF($L$4&lt;=$B$12,$B$11,IF($L$4&lt;=$B$13,$B$13)))))</f>
        <v>-30</v>
      </c>
      <c r="BI5" s="543"/>
      <c r="BJ5" s="693">
        <v>-40</v>
      </c>
      <c r="BK5" s="670"/>
      <c r="BL5" s="553">
        <f t="shared" ref="BL5:BL13" si="20">M129</f>
        <v>0</v>
      </c>
      <c r="BM5" s="541">
        <f t="shared" ref="BM5:BM13" si="21">IF(OR(BK5=0,BL5=0),$M$138/3,((MAX(BK5:BL5)-(MIN(BK5:BL5)))))</f>
        <v>0.26333333333333336</v>
      </c>
      <c r="BN5" s="654">
        <f ca="1">IF($L$4&lt;=$B$6,$B$5,IF($L$4&lt;=$B$8,$B$7,IF($L$4&lt;=$B$10,$B$9,IF($L$4&lt;=$B$12,$B$11,IF($L$4&lt;=$B$13,$B$13)))))</f>
        <v>-30</v>
      </c>
      <c r="BO5" s="543"/>
      <c r="BP5" s="693">
        <v>-40</v>
      </c>
      <c r="BQ5" s="670"/>
      <c r="BR5" s="671">
        <f t="shared" ref="BR5:BR13" si="22">N129</f>
        <v>-2.52</v>
      </c>
      <c r="BS5" s="541">
        <f t="shared" ref="BS5:BS13" si="23">IF(OR(BQ5=0,BR5=0),$N$138/3,((MAX(BQ5:BR5)-(MIN(BQ5:BR5)))))</f>
        <v>2.6666666666666668E-2</v>
      </c>
      <c r="BT5" s="654">
        <f ca="1">IF($L$4&lt;=$B$6,$B$5,IF($L$4&lt;=$B$8,$B$7,IF($L$4&lt;=$B$10,$B$9,IF($L$4&lt;=$B$12,$B$11,IF($L$4&lt;=$B$13,$B$13)))))</f>
        <v>-30</v>
      </c>
      <c r="BU5" s="543"/>
      <c r="BV5" s="693">
        <v>-40</v>
      </c>
      <c r="BW5" s="670"/>
      <c r="BX5" s="671">
        <f t="shared" ref="BX5:BX13" si="24">O129</f>
        <v>-2.7</v>
      </c>
      <c r="BY5" s="541">
        <f t="shared" ref="BY5:BY13" si="25">IF(OR(BW5=0,BX5=0),$O$138/3,((MAX(BW5:BX5)-(MIN(BW5:BX5)))))</f>
        <v>3.3333333333333333E-2</v>
      </c>
      <c r="BZ5" s="654">
        <f ca="1">IF($L$4&lt;=$B$6,$B$5,IF($L$4&lt;=$B$8,$B$7,IF($L$4&lt;=$B$10,$B$9,IF($L$4&lt;=$B$12,$B$11,IF($L$4&lt;=$B$13,$B$13)))))</f>
        <v>-30</v>
      </c>
      <c r="CA5" s="543"/>
      <c r="CB5" s="693">
        <v>-40</v>
      </c>
      <c r="CC5" s="670">
        <f>P129</f>
        <v>-1.7</v>
      </c>
      <c r="CD5" s="671"/>
      <c r="CE5" s="541">
        <f t="shared" ref="CE5:CE13" si="26">IF(OR(CC5=0,CD5=0),$P$138/3,((MAX(CC5:CD5)-(MIN(CC5:CD5)))))</f>
        <v>6.6666666666666666E-2</v>
      </c>
      <c r="CF5" s="654">
        <f ca="1">IF($L$4&lt;=$B$6,$B$5,IF($L$4&lt;=$B$8,$B$7,IF($L$4&lt;=$B$10,$B$9,IF($L$4&lt;=$B$12,$B$11,IF($L$4&lt;=$B$13,$B$13)))))</f>
        <v>-30</v>
      </c>
      <c r="CH5" s="693">
        <v>-40</v>
      </c>
      <c r="CI5" s="670">
        <f t="shared" ref="CI5:CI13" si="27">Q129</f>
        <v>0</v>
      </c>
      <c r="CJ5" s="709"/>
      <c r="CK5" s="541">
        <f t="shared" ref="CK5:CK13" si="28">IF(OR(CI5=0,CJ5=0),$Q$138/3,((MAX(CI5:CJ5)-(MIN(CI5:CJ5)))))</f>
        <v>7.3333333333333334E-2</v>
      </c>
      <c r="CL5" s="654">
        <f ca="1">IF($L$4&lt;=$B$6,$B$5,IF($L$4&lt;=$B$8,$B$7,IF($L$4&lt;=$B$10,$B$9,IF($L$4&lt;=$B$12,$B$11,IF($L$4&lt;=$B$13,$B$13)))))</f>
        <v>-30</v>
      </c>
      <c r="CN5" s="693">
        <v>-40</v>
      </c>
      <c r="CO5" s="670">
        <f t="shared" ref="CO5:CO13" si="29">R129</f>
        <v>0</v>
      </c>
      <c r="CP5" s="671"/>
      <c r="CQ5" s="541">
        <f t="shared" ref="CQ5:CQ11" si="30">IF(OR(CO5=0,CP5=0),$R$138/3,((MAX(CO5:CP5)-(MIN(CO5:CP5)))))</f>
        <v>0.25666666666666665</v>
      </c>
      <c r="CR5" s="654">
        <f ca="1">IF($L$4&lt;=$B$6,$B$5,IF($L$4&lt;=$B$8,$B$7,IF($L$4&lt;=$B$10,$B$9,IF($L$4&lt;=$B$12,$B$11,IF($L$4&lt;=$B$13,$B$13)))))</f>
        <v>-30</v>
      </c>
    </row>
    <row r="6" spans="2:96" ht="13">
      <c r="B6" s="693">
        <v>-35</v>
      </c>
      <c r="C6" s="671"/>
      <c r="D6" s="671">
        <f t="shared" si="0"/>
        <v>0</v>
      </c>
      <c r="E6" s="652">
        <f t="shared" si="1"/>
        <v>0.11333333333333334</v>
      </c>
      <c r="F6" s="651"/>
      <c r="G6" s="554"/>
      <c r="H6" s="693">
        <v>-35</v>
      </c>
      <c r="I6" s="670"/>
      <c r="J6" s="671">
        <f t="shared" si="2"/>
        <v>0</v>
      </c>
      <c r="K6" s="652">
        <f t="shared" si="3"/>
        <v>0.18666666666666668</v>
      </c>
      <c r="L6" s="651"/>
      <c r="M6" s="554"/>
      <c r="N6" s="693">
        <v>-35</v>
      </c>
      <c r="O6" s="671">
        <v>0</v>
      </c>
      <c r="P6" s="671">
        <f t="shared" si="4"/>
        <v>0</v>
      </c>
      <c r="Q6" s="652">
        <f t="shared" si="5"/>
        <v>9.3333333333333338E-2</v>
      </c>
      <c r="R6" s="651"/>
      <c r="S6" s="543"/>
      <c r="T6" s="693">
        <v>-35</v>
      </c>
      <c r="U6" s="670"/>
      <c r="V6" s="671">
        <f t="shared" si="6"/>
        <v>0</v>
      </c>
      <c r="W6" s="652">
        <f t="shared" si="7"/>
        <v>5.3333333333333337E-2</v>
      </c>
      <c r="X6" s="651"/>
      <c r="Y6" s="543"/>
      <c r="Z6" s="693">
        <v>-35</v>
      </c>
      <c r="AA6" s="670">
        <v>0</v>
      </c>
      <c r="AB6" s="671">
        <f t="shared" si="8"/>
        <v>-0.1</v>
      </c>
      <c r="AC6" s="652">
        <f t="shared" si="9"/>
        <v>3.3333333333333333E-2</v>
      </c>
      <c r="AD6" s="651"/>
      <c r="AE6" s="543"/>
      <c r="AF6" s="693">
        <v>-35</v>
      </c>
      <c r="AG6" s="670">
        <v>0</v>
      </c>
      <c r="AH6" s="671">
        <f t="shared" si="10"/>
        <v>-0.1</v>
      </c>
      <c r="AI6" s="652">
        <f t="shared" si="11"/>
        <v>3.3333333333333333E-2</v>
      </c>
      <c r="AJ6" s="651"/>
      <c r="AK6" s="543"/>
      <c r="AL6" s="693">
        <v>-35</v>
      </c>
      <c r="AM6" s="670"/>
      <c r="AN6" s="671">
        <f t="shared" si="12"/>
        <v>0.36</v>
      </c>
      <c r="AO6" s="652">
        <f t="shared" si="13"/>
        <v>2.3333333333333334E-2</v>
      </c>
      <c r="AP6" s="651"/>
      <c r="AQ6" s="543"/>
      <c r="AR6" s="693">
        <v>-35</v>
      </c>
      <c r="AS6" s="670"/>
      <c r="AT6" s="671">
        <f t="shared" si="14"/>
        <v>0.3</v>
      </c>
      <c r="AU6" s="652">
        <f t="shared" si="15"/>
        <v>0.03</v>
      </c>
      <c r="AV6" s="651"/>
      <c r="AW6" s="543"/>
      <c r="AX6" s="693">
        <v>-35</v>
      </c>
      <c r="AY6" s="670"/>
      <c r="AZ6" s="553">
        <f t="shared" si="16"/>
        <v>0</v>
      </c>
      <c r="BA6" s="541">
        <f t="shared" si="17"/>
        <v>0.26333333333333336</v>
      </c>
      <c r="BB6" s="651"/>
      <c r="BC6" s="543"/>
      <c r="BD6" s="693">
        <v>-35</v>
      </c>
      <c r="BE6" s="670"/>
      <c r="BF6" s="553">
        <f t="shared" si="18"/>
        <v>0</v>
      </c>
      <c r="BG6" s="541">
        <f t="shared" si="19"/>
        <v>0.03</v>
      </c>
      <c r="BH6" s="651"/>
      <c r="BI6" s="543"/>
      <c r="BJ6" s="693">
        <v>-35</v>
      </c>
      <c r="BK6" s="670"/>
      <c r="BL6" s="553">
        <f t="shared" si="20"/>
        <v>0</v>
      </c>
      <c r="BM6" s="541">
        <f t="shared" si="21"/>
        <v>0.26333333333333336</v>
      </c>
      <c r="BN6" s="651"/>
      <c r="BO6" s="543"/>
      <c r="BP6" s="693">
        <v>-35</v>
      </c>
      <c r="BQ6" s="670"/>
      <c r="BR6" s="671">
        <f t="shared" si="22"/>
        <v>0</v>
      </c>
      <c r="BS6" s="541">
        <f t="shared" si="23"/>
        <v>2.6666666666666668E-2</v>
      </c>
      <c r="BT6" s="651"/>
      <c r="BU6" s="543"/>
      <c r="BV6" s="693">
        <v>-35</v>
      </c>
      <c r="BW6" s="670"/>
      <c r="BX6" s="671">
        <f t="shared" si="24"/>
        <v>0</v>
      </c>
      <c r="BY6" s="541">
        <f t="shared" si="25"/>
        <v>3.3333333333333333E-2</v>
      </c>
      <c r="BZ6" s="651"/>
      <c r="CA6" s="543"/>
      <c r="CB6" s="693">
        <v>-35</v>
      </c>
      <c r="CC6" s="670">
        <f t="shared" ref="CC6:CC13" si="31">P130</f>
        <v>-1.4</v>
      </c>
      <c r="CD6" s="671"/>
      <c r="CE6" s="541">
        <f t="shared" si="26"/>
        <v>6.6666666666666666E-2</v>
      </c>
      <c r="CF6" s="651"/>
      <c r="CH6" s="693">
        <v>-35</v>
      </c>
      <c r="CI6" s="670">
        <f t="shared" si="27"/>
        <v>0</v>
      </c>
      <c r="CJ6" s="709"/>
      <c r="CK6" s="541">
        <f t="shared" si="28"/>
        <v>7.3333333333333334E-2</v>
      </c>
      <c r="CL6" s="651"/>
      <c r="CN6" s="693">
        <v>-35</v>
      </c>
      <c r="CO6" s="670">
        <f t="shared" si="29"/>
        <v>0</v>
      </c>
      <c r="CP6" s="671"/>
      <c r="CQ6" s="541">
        <f t="shared" si="30"/>
        <v>0.25666666666666665</v>
      </c>
      <c r="CR6" s="651"/>
    </row>
    <row r="7" spans="2:96" ht="13">
      <c r="B7" s="693">
        <v>-30</v>
      </c>
      <c r="C7" s="671"/>
      <c r="D7" s="671">
        <f t="shared" si="0"/>
        <v>0</v>
      </c>
      <c r="E7" s="652">
        <f t="shared" si="1"/>
        <v>0.11333333333333334</v>
      </c>
      <c r="F7" s="654">
        <f ca="1">IF($L$4&lt;=$B$5,$B$5,IF($L$4&lt;=$B$6,$B$6,IF($L$4&lt;=$B$7,$B$7,IF($L$4&lt;=$B$8,$B$8,IF($L$4&lt;=$B$9,$B$9,IF($L$4&lt;=$B$10,$B$10,IF($L$4&lt;=$B$11,$B$11)))))))</f>
        <v>-25</v>
      </c>
      <c r="G7" s="554"/>
      <c r="H7" s="693">
        <v>-30</v>
      </c>
      <c r="I7" s="670"/>
      <c r="J7" s="671">
        <f t="shared" si="2"/>
        <v>0</v>
      </c>
      <c r="K7" s="652">
        <f t="shared" si="3"/>
        <v>0.18666666666666668</v>
      </c>
      <c r="L7" s="654">
        <f ca="1">IF($L$4&lt;=$B$5,$B$5,IF($L$4&lt;=$B$6,$B$6,IF($L$4&lt;=$B$7,$B$7,IF($L$4&lt;=$B$8,$B$8,IF($L$4&lt;=$B$9,$B$9,IF($L$4&lt;=$B$10,$B$10,IF($L$4&lt;=$B$11,$B$11)))))))</f>
        <v>-25</v>
      </c>
      <c r="M7" s="554"/>
      <c r="N7" s="693">
        <v>-30</v>
      </c>
      <c r="O7" s="671">
        <v>0</v>
      </c>
      <c r="P7" s="671">
        <f t="shared" si="4"/>
        <v>0</v>
      </c>
      <c r="Q7" s="652">
        <f t="shared" si="5"/>
        <v>9.3333333333333338E-2</v>
      </c>
      <c r="R7" s="654">
        <f ca="1">IF($L$4&lt;=$B$5,$B$5,IF($L$4&lt;=$B$6,$B$6,IF($L$4&lt;=$B$7,$B$7,IF($L$4&lt;=$B$8,$B$8,IF($L$4&lt;=$B$9,$B$9,IF($L$4&lt;=$B$10,$B$10,IF($L$4&lt;=$B$11,$B$11)))))))</f>
        <v>-25</v>
      </c>
      <c r="S7" s="543"/>
      <c r="T7" s="693">
        <v>-30</v>
      </c>
      <c r="U7" s="670"/>
      <c r="V7" s="671">
        <f t="shared" si="6"/>
        <v>0</v>
      </c>
      <c r="W7" s="652">
        <f t="shared" si="7"/>
        <v>5.3333333333333337E-2</v>
      </c>
      <c r="X7" s="654">
        <f ca="1">IF($L$4&lt;=$B$5,$B$5,IF($L$4&lt;=$B$6,$B$6,IF($L$4&lt;=$B$7,$B$7,IF($L$4&lt;=$B$8,$B$8,IF($L$4&lt;=$B$9,$B$9,IF($L$4&lt;=$B$10,$B$10,IF($L$4&lt;=$B$11,$B$11)))))))</f>
        <v>-25</v>
      </c>
      <c r="Y7" s="543"/>
      <c r="Z7" s="693">
        <v>-30</v>
      </c>
      <c r="AA7" s="670">
        <v>0</v>
      </c>
      <c r="AB7" s="671">
        <f t="shared" si="8"/>
        <v>-0.1</v>
      </c>
      <c r="AC7" s="652">
        <f t="shared" si="9"/>
        <v>3.3333333333333333E-2</v>
      </c>
      <c r="AD7" s="654">
        <f ca="1">IF($L$4&lt;=$B$5,$B$5,IF($L$4&lt;=$B$6,$B$6,IF($L$4&lt;=$B$7,$B$7,IF($L$4&lt;=$B$8,$B$8,IF($L$4&lt;=$B$9,$B$9,IF($L$4&lt;=$B$10,$B$10,IF($L$4&lt;=$B$11,$B$11)))))))</f>
        <v>-25</v>
      </c>
      <c r="AE7" s="543"/>
      <c r="AF7" s="693">
        <v>-30</v>
      </c>
      <c r="AG7" s="670">
        <v>0</v>
      </c>
      <c r="AH7" s="671">
        <f t="shared" si="10"/>
        <v>-0.09</v>
      </c>
      <c r="AI7" s="652">
        <f t="shared" si="11"/>
        <v>3.3333333333333333E-2</v>
      </c>
      <c r="AJ7" s="654">
        <f ca="1">IF($L$4&lt;=$B$5,$B$5,IF($L$4&lt;=$B$6,$B$6,IF($L$4&lt;=$B$7,$B$7,IF($L$4&lt;=$B$8,$B$8,IF($L$4&lt;=$B$9,$B$9,IF($L$4&lt;=$B$10,$B$10,IF($L$4&lt;=$B$11,$B$11)))))))</f>
        <v>-25</v>
      </c>
      <c r="AK7" s="543"/>
      <c r="AL7" s="693">
        <v>-30</v>
      </c>
      <c r="AM7" s="670"/>
      <c r="AN7" s="671">
        <f t="shared" si="12"/>
        <v>0.36</v>
      </c>
      <c r="AO7" s="652">
        <f t="shared" si="13"/>
        <v>2.3333333333333334E-2</v>
      </c>
      <c r="AP7" s="654">
        <f ca="1">IF($L$4&lt;=$B$5,$B$5,IF($L$4&lt;=$B$6,$B$6,IF($L$4&lt;=$B$7,$B$7,IF($L$4&lt;=$B$8,$B$8,IF($L$4&lt;=$B$9,$B$9,IF($L$4&lt;=$B$10,$B$10,IF($L$4&lt;=$B$11,$B$11)))))))</f>
        <v>-25</v>
      </c>
      <c r="AQ7" s="543"/>
      <c r="AR7" s="693">
        <v>-30</v>
      </c>
      <c r="AS7" s="670"/>
      <c r="AT7" s="671">
        <f t="shared" si="14"/>
        <v>0.3</v>
      </c>
      <c r="AU7" s="652">
        <f t="shared" si="15"/>
        <v>0.03</v>
      </c>
      <c r="AV7" s="654">
        <f ca="1">IF($L$4&lt;=$B$5,$B$5,IF($L$4&lt;=$B$6,$B$6,IF($L$4&lt;=$B$7,$B$7,IF($L$4&lt;=$B$8,$B$8,IF($L$4&lt;=$B$9,$B$9,IF($L$4&lt;=$B$10,$B$10,IF($L$4&lt;=$B$11,$B$11)))))))</f>
        <v>-25</v>
      </c>
      <c r="AW7" s="543"/>
      <c r="AX7" s="693">
        <v>-30</v>
      </c>
      <c r="AY7" s="670"/>
      <c r="AZ7" s="553">
        <f t="shared" si="16"/>
        <v>0</v>
      </c>
      <c r="BA7" s="541">
        <f t="shared" si="17"/>
        <v>0.26333333333333336</v>
      </c>
      <c r="BB7" s="654">
        <f ca="1">IF($L$4&lt;=$B$5,$B$5,IF($L$4&lt;=$B$6,$B$6,IF($L$4&lt;=$B$7,$B$7,IF($L$4&lt;=$B$8,$B$8,IF($L$4&lt;=$B$9,$B$9,IF($L$4&lt;=$B$10,$B$10,IF($L$4&lt;=$B$11,$B$11)))))))</f>
        <v>-25</v>
      </c>
      <c r="BC7" s="543"/>
      <c r="BD7" s="693">
        <v>-30</v>
      </c>
      <c r="BE7" s="670"/>
      <c r="BF7" s="553">
        <f t="shared" si="18"/>
        <v>0</v>
      </c>
      <c r="BG7" s="541">
        <f t="shared" si="19"/>
        <v>0.03</v>
      </c>
      <c r="BH7" s="654">
        <f ca="1">IF($L$4&lt;=$B$5,$B$5,IF($L$4&lt;=$B$6,$B$6,IF($L$4&lt;=$B$7,$B$7,IF($L$4&lt;=$B$8,$B$8,IF($L$4&lt;=$B$9,$B$9,IF($L$4&lt;=$B$10,$B$10,IF($L$4&lt;=$B$11,$B$11)))))))</f>
        <v>-25</v>
      </c>
      <c r="BI7" s="543"/>
      <c r="BJ7" s="693">
        <v>-30</v>
      </c>
      <c r="BK7" s="670"/>
      <c r="BL7" s="553">
        <f t="shared" si="20"/>
        <v>0</v>
      </c>
      <c r="BM7" s="541">
        <f t="shared" si="21"/>
        <v>0.26333333333333336</v>
      </c>
      <c r="BN7" s="654">
        <f ca="1">IF($L$4&lt;=$B$5,$B$5,IF($L$4&lt;=$B$6,$B$6,IF($L$4&lt;=$B$7,$B$7,IF($L$4&lt;=$B$8,$B$8,IF($L$4&lt;=$B$9,$B$9,IF($L$4&lt;=$B$10,$B$10,IF($L$4&lt;=$B$11,$B$11)))))))</f>
        <v>-25</v>
      </c>
      <c r="BO7" s="543"/>
      <c r="BP7" s="693">
        <v>-30</v>
      </c>
      <c r="BQ7" s="670"/>
      <c r="BR7" s="671">
        <f t="shared" si="22"/>
        <v>0</v>
      </c>
      <c r="BS7" s="541">
        <f t="shared" si="23"/>
        <v>2.6666666666666668E-2</v>
      </c>
      <c r="BT7" s="654">
        <f ca="1">IF($L$4&lt;=$B$5,$B$5,IF($L$4&lt;=$B$6,$B$6,IF($L$4&lt;=$B$7,$B$7,IF($L$4&lt;=$B$8,$B$8,IF($L$4&lt;=$B$9,$B$9,IF($L$4&lt;=$B$10,$B$10,IF($L$4&lt;=$B$11,$B$11)))))))</f>
        <v>-25</v>
      </c>
      <c r="BU7" s="543"/>
      <c r="BV7" s="693">
        <v>-30</v>
      </c>
      <c r="BW7" s="670"/>
      <c r="BX7" s="671">
        <f t="shared" si="24"/>
        <v>0</v>
      </c>
      <c r="BY7" s="541">
        <f t="shared" si="25"/>
        <v>3.3333333333333333E-2</v>
      </c>
      <c r="BZ7" s="654">
        <f ca="1">IF($L$4&lt;=$B$5,$B$5,IF($L$4&lt;=$B$6,$B$6,IF($L$4&lt;=$B$7,$B$7,IF($L$4&lt;=$B$8,$B$8,IF($L$4&lt;=$B$9,$B$9,IF($L$4&lt;=$B$10,$B$10,IF($L$4&lt;=$B$11,$B$11)))))))</f>
        <v>-25</v>
      </c>
      <c r="CA7" s="543"/>
      <c r="CB7" s="693">
        <v>-30</v>
      </c>
      <c r="CC7" s="670">
        <f t="shared" si="31"/>
        <v>-1.2</v>
      </c>
      <c r="CD7" s="671"/>
      <c r="CE7" s="541">
        <f t="shared" si="26"/>
        <v>6.6666666666666666E-2</v>
      </c>
      <c r="CF7" s="654">
        <f ca="1">IF($L$4&lt;=$B$5,$B$5,IF($L$4&lt;=$B$6,$B$6,IF($L$4&lt;=$B$7,$B$7,IF($L$4&lt;=$B$8,$B$8,IF($L$4&lt;=$B$9,$B$9,IF($L$4&lt;=$B$10,$B$10,IF($L$4&lt;=$B$11,$B$11)))))))</f>
        <v>-25</v>
      </c>
      <c r="CH7" s="693">
        <v>-30</v>
      </c>
      <c r="CI7" s="670">
        <f t="shared" si="27"/>
        <v>0</v>
      </c>
      <c r="CJ7" s="709"/>
      <c r="CK7" s="541">
        <f t="shared" si="28"/>
        <v>7.3333333333333334E-2</v>
      </c>
      <c r="CL7" s="654">
        <f ca="1">IF($L$4&lt;=$B$5,$B$5,IF($L$4&lt;=$B$6,$B$6,IF($L$4&lt;=$B$7,$B$7,IF($L$4&lt;=$B$8,$B$8,IF($L$4&lt;=$B$9,$B$9,IF($L$4&lt;=$B$10,$B$10,IF($L$4&lt;=$B$11,$B$11)))))))</f>
        <v>-25</v>
      </c>
      <c r="CN7" s="693">
        <v>-30</v>
      </c>
      <c r="CO7" s="670">
        <f t="shared" si="29"/>
        <v>0</v>
      </c>
      <c r="CP7" s="671"/>
      <c r="CQ7" s="541">
        <f t="shared" si="30"/>
        <v>0.25666666666666665</v>
      </c>
      <c r="CR7" s="654">
        <f ca="1">IF($L$4&lt;=$B$5,$B$5,IF($L$4&lt;=$B$6,$B$6,IF($L$4&lt;=$B$7,$B$7,IF($L$4&lt;=$B$8,$B$8,IF($L$4&lt;=$B$9,$B$9,IF($L$4&lt;=$B$10,$B$10,IF($L$4&lt;=$B$11,$B$11)))))))</f>
        <v>-25</v>
      </c>
    </row>
    <row r="8" spans="2:96" ht="13">
      <c r="B8" s="693">
        <v>-25</v>
      </c>
      <c r="C8" s="671"/>
      <c r="D8" s="671">
        <f t="shared" si="0"/>
        <v>0</v>
      </c>
      <c r="E8" s="652">
        <f t="shared" si="1"/>
        <v>0.11333333333333334</v>
      </c>
      <c r="F8" s="651"/>
      <c r="G8" s="554"/>
      <c r="H8" s="693">
        <v>-25</v>
      </c>
      <c r="I8" s="670"/>
      <c r="J8" s="671">
        <f t="shared" si="2"/>
        <v>0</v>
      </c>
      <c r="K8" s="652">
        <f t="shared" si="3"/>
        <v>0.18666666666666668</v>
      </c>
      <c r="L8" s="651"/>
      <c r="M8" s="554"/>
      <c r="N8" s="693">
        <v>-25</v>
      </c>
      <c r="O8" s="671">
        <v>-0.56000000000000005</v>
      </c>
      <c r="P8" s="671">
        <f t="shared" si="4"/>
        <v>0</v>
      </c>
      <c r="Q8" s="652">
        <f t="shared" si="5"/>
        <v>9.3333333333333338E-2</v>
      </c>
      <c r="R8" s="651"/>
      <c r="S8" s="543"/>
      <c r="T8" s="693">
        <v>-25</v>
      </c>
      <c r="U8" s="670"/>
      <c r="V8" s="671">
        <f t="shared" si="6"/>
        <v>-1.67</v>
      </c>
      <c r="W8" s="652">
        <f t="shared" si="7"/>
        <v>5.3333333333333337E-2</v>
      </c>
      <c r="X8" s="651"/>
      <c r="Y8" s="543"/>
      <c r="Z8" s="693">
        <v>-25</v>
      </c>
      <c r="AA8" s="670">
        <v>0</v>
      </c>
      <c r="AB8" s="671">
        <f t="shared" si="8"/>
        <v>-7.0000000000000007E-2</v>
      </c>
      <c r="AC8" s="652">
        <f t="shared" si="9"/>
        <v>3.3333333333333333E-2</v>
      </c>
      <c r="AD8" s="651"/>
      <c r="AE8" s="543"/>
      <c r="AF8" s="693">
        <v>-25</v>
      </c>
      <c r="AG8" s="670">
        <v>0</v>
      </c>
      <c r="AH8" s="671">
        <f t="shared" si="10"/>
        <v>-0.06</v>
      </c>
      <c r="AI8" s="652">
        <f t="shared" si="11"/>
        <v>3.3333333333333333E-2</v>
      </c>
      <c r="AJ8" s="651"/>
      <c r="AK8" s="543"/>
      <c r="AL8" s="693">
        <v>-25</v>
      </c>
      <c r="AM8" s="670"/>
      <c r="AN8" s="671">
        <f t="shared" si="12"/>
        <v>0.38</v>
      </c>
      <c r="AO8" s="652">
        <f t="shared" si="13"/>
        <v>2.3333333333333334E-2</v>
      </c>
      <c r="AP8" s="651"/>
      <c r="AQ8" s="543"/>
      <c r="AR8" s="693">
        <v>-25</v>
      </c>
      <c r="AS8" s="670"/>
      <c r="AT8" s="671">
        <f t="shared" si="14"/>
        <v>0.31</v>
      </c>
      <c r="AU8" s="652">
        <f t="shared" si="15"/>
        <v>0.03</v>
      </c>
      <c r="AV8" s="651"/>
      <c r="AW8" s="543"/>
      <c r="AX8" s="693">
        <v>-25</v>
      </c>
      <c r="AY8" s="670"/>
      <c r="AZ8" s="553">
        <f t="shared" si="16"/>
        <v>0</v>
      </c>
      <c r="BA8" s="541">
        <f t="shared" si="17"/>
        <v>0.26333333333333336</v>
      </c>
      <c r="BB8" s="651"/>
      <c r="BC8" s="543"/>
      <c r="BD8" s="693">
        <v>-25</v>
      </c>
      <c r="BE8" s="670"/>
      <c r="BF8" s="553">
        <f t="shared" si="18"/>
        <v>-1.36</v>
      </c>
      <c r="BG8" s="541">
        <f t="shared" si="19"/>
        <v>0.03</v>
      </c>
      <c r="BH8" s="651"/>
      <c r="BI8" s="543"/>
      <c r="BJ8" s="693">
        <v>-25</v>
      </c>
      <c r="BK8" s="670"/>
      <c r="BL8" s="553">
        <f t="shared" si="20"/>
        <v>0</v>
      </c>
      <c r="BM8" s="541">
        <f t="shared" si="21"/>
        <v>0.26333333333333336</v>
      </c>
      <c r="BN8" s="651"/>
      <c r="BO8" s="543"/>
      <c r="BP8" s="693">
        <v>-25</v>
      </c>
      <c r="BQ8" s="670"/>
      <c r="BR8" s="671">
        <f t="shared" si="22"/>
        <v>-1.68</v>
      </c>
      <c r="BS8" s="541">
        <f t="shared" si="23"/>
        <v>2.6666666666666668E-2</v>
      </c>
      <c r="BT8" s="651"/>
      <c r="BU8" s="543"/>
      <c r="BV8" s="693">
        <v>-25</v>
      </c>
      <c r="BW8" s="670"/>
      <c r="BX8" s="671">
        <f t="shared" si="24"/>
        <v>-1.77</v>
      </c>
      <c r="BY8" s="541">
        <f t="shared" si="25"/>
        <v>3.3333333333333333E-2</v>
      </c>
      <c r="BZ8" s="651"/>
      <c r="CA8" s="543"/>
      <c r="CB8" s="693">
        <v>-25</v>
      </c>
      <c r="CC8" s="670">
        <f t="shared" si="31"/>
        <v>-1.1000000000000001</v>
      </c>
      <c r="CD8" s="671"/>
      <c r="CE8" s="541">
        <f t="shared" si="26"/>
        <v>6.6666666666666666E-2</v>
      </c>
      <c r="CF8" s="651"/>
      <c r="CH8" s="693">
        <v>-25</v>
      </c>
      <c r="CI8" s="670">
        <f t="shared" si="27"/>
        <v>0</v>
      </c>
      <c r="CJ8" s="709">
        <v>-1.9E-2</v>
      </c>
      <c r="CK8" s="541">
        <f t="shared" si="28"/>
        <v>7.3333333333333334E-2</v>
      </c>
      <c r="CL8" s="651"/>
      <c r="CN8" s="693">
        <v>-25</v>
      </c>
      <c r="CO8" s="670">
        <f t="shared" si="29"/>
        <v>0</v>
      </c>
      <c r="CP8" s="671"/>
      <c r="CQ8" s="541">
        <f t="shared" si="30"/>
        <v>0.25666666666666665</v>
      </c>
      <c r="CR8" s="651"/>
    </row>
    <row r="9" spans="2:96" ht="13">
      <c r="B9" s="693">
        <v>-20</v>
      </c>
      <c r="C9" s="671">
        <v>-0.43</v>
      </c>
      <c r="D9" s="671">
        <f t="shared" si="0"/>
        <v>-0.77</v>
      </c>
      <c r="E9" s="652">
        <f t="shared" si="1"/>
        <v>0.34</v>
      </c>
      <c r="F9" s="655">
        <f ca="1">VLOOKUP(F5,B5:E10,4)</f>
        <v>0.11333333333333334</v>
      </c>
      <c r="G9" s="554"/>
      <c r="H9" s="693">
        <v>-20</v>
      </c>
      <c r="I9" s="670">
        <v>-0.69</v>
      </c>
      <c r="J9" s="671">
        <f t="shared" si="2"/>
        <v>-0.62</v>
      </c>
      <c r="K9" s="652">
        <f t="shared" si="3"/>
        <v>6.9999999999999951E-2</v>
      </c>
      <c r="L9" s="655">
        <f ca="1">VLOOKUP(L5,H5:K10,4)</f>
        <v>0.18666666666666668</v>
      </c>
      <c r="M9" s="554"/>
      <c r="N9" s="693">
        <v>-20</v>
      </c>
      <c r="O9" s="671">
        <v>0</v>
      </c>
      <c r="P9" s="671">
        <f t="shared" si="4"/>
        <v>-0.57999999999999996</v>
      </c>
      <c r="Q9" s="652">
        <f t="shared" si="5"/>
        <v>9.3333333333333338E-2</v>
      </c>
      <c r="R9" s="655">
        <f ca="1">VLOOKUP(R5,N5:Q10,4)</f>
        <v>9.3333333333333338E-2</v>
      </c>
      <c r="S9" s="543"/>
      <c r="T9" s="693">
        <v>-20</v>
      </c>
      <c r="U9" s="670"/>
      <c r="V9" s="671">
        <f t="shared" si="6"/>
        <v>-1.46</v>
      </c>
      <c r="W9" s="652">
        <f t="shared" si="7"/>
        <v>5.3333333333333337E-2</v>
      </c>
      <c r="X9" s="655">
        <f ca="1">VLOOKUP(X5,T5:W10,4)</f>
        <v>5.3333333333333337E-2</v>
      </c>
      <c r="Y9" s="543"/>
      <c r="Z9" s="693">
        <v>-20</v>
      </c>
      <c r="AA9" s="670">
        <v>-0.53</v>
      </c>
      <c r="AB9" s="671">
        <f t="shared" si="8"/>
        <v>-0.03</v>
      </c>
      <c r="AC9" s="652">
        <f t="shared" si="9"/>
        <v>0.5</v>
      </c>
      <c r="AD9" s="655">
        <f ca="1">VLOOKUP(AD5,Z5:AC10,4)</f>
        <v>3.3333333333333333E-2</v>
      </c>
      <c r="AE9" s="543"/>
      <c r="AF9" s="693">
        <v>-20</v>
      </c>
      <c r="AG9" s="670">
        <v>-0.05</v>
      </c>
      <c r="AH9" s="671">
        <f t="shared" si="10"/>
        <v>-0.02</v>
      </c>
      <c r="AI9" s="652">
        <f t="shared" si="11"/>
        <v>3.0000000000000002E-2</v>
      </c>
      <c r="AJ9" s="655">
        <f ca="1">VLOOKUP(AJ5,AF5:AI10,4)</f>
        <v>3.3333333333333333E-2</v>
      </c>
      <c r="AK9" s="543"/>
      <c r="AL9" s="693">
        <v>-20</v>
      </c>
      <c r="AM9" s="670"/>
      <c r="AN9" s="671">
        <f t="shared" si="12"/>
        <v>0.4</v>
      </c>
      <c r="AO9" s="652">
        <f t="shared" si="13"/>
        <v>2.3333333333333334E-2</v>
      </c>
      <c r="AP9" s="655">
        <f ca="1">VLOOKUP(AP5,AL5:AO10,4)</f>
        <v>2.3333333333333334E-2</v>
      </c>
      <c r="AQ9" s="543"/>
      <c r="AR9" s="693">
        <v>-20</v>
      </c>
      <c r="AS9" s="670"/>
      <c r="AT9" s="671">
        <f t="shared" si="14"/>
        <v>0.33</v>
      </c>
      <c r="AU9" s="652">
        <f t="shared" si="15"/>
        <v>0.03</v>
      </c>
      <c r="AV9" s="655">
        <f ca="1">VLOOKUP(AV5,AR5:AU10,4)</f>
        <v>0.03</v>
      </c>
      <c r="AW9" s="543"/>
      <c r="AX9" s="693">
        <v>-20</v>
      </c>
      <c r="AY9" s="670"/>
      <c r="AZ9" s="553">
        <f t="shared" si="16"/>
        <v>0.53</v>
      </c>
      <c r="BA9" s="541">
        <f t="shared" si="17"/>
        <v>0.26333333333333336</v>
      </c>
      <c r="BB9" s="655">
        <f ca="1">VLOOKUP(BB5,AX5:BA10,4)</f>
        <v>0.26333333333333336</v>
      </c>
      <c r="BC9" s="543"/>
      <c r="BD9" s="693">
        <v>-20</v>
      </c>
      <c r="BE9" s="670"/>
      <c r="BF9" s="553">
        <f t="shared" si="18"/>
        <v>-1.02</v>
      </c>
      <c r="BG9" s="541">
        <f t="shared" si="19"/>
        <v>0.03</v>
      </c>
      <c r="BH9" s="655">
        <f ca="1">VLOOKUP(BH5,BD5:BG10,4)</f>
        <v>0.03</v>
      </c>
      <c r="BI9" s="543"/>
      <c r="BJ9" s="693">
        <v>-20</v>
      </c>
      <c r="BK9" s="670"/>
      <c r="BL9" s="553">
        <f t="shared" si="20"/>
        <v>0.53</v>
      </c>
      <c r="BM9" s="541">
        <f t="shared" si="21"/>
        <v>0.26333333333333336</v>
      </c>
      <c r="BN9" s="655">
        <f ca="1">VLOOKUP(BN5,BJ5:BM10,4)</f>
        <v>0.26333333333333336</v>
      </c>
      <c r="BO9" s="543"/>
      <c r="BP9" s="693">
        <v>-20</v>
      </c>
      <c r="BQ9" s="670"/>
      <c r="BR9" s="671">
        <f t="shared" si="22"/>
        <v>-1.4</v>
      </c>
      <c r="BS9" s="541">
        <f t="shared" si="23"/>
        <v>2.6666666666666668E-2</v>
      </c>
      <c r="BT9" s="655">
        <f ca="1">VLOOKUP(BT5,BP5:BS10,4)</f>
        <v>2.6666666666666668E-2</v>
      </c>
      <c r="BU9" s="543"/>
      <c r="BV9" s="693">
        <v>-20</v>
      </c>
      <c r="BW9" s="670"/>
      <c r="BX9" s="671">
        <f t="shared" si="24"/>
        <v>-1.5</v>
      </c>
      <c r="BY9" s="541">
        <f t="shared" si="25"/>
        <v>3.3333333333333333E-2</v>
      </c>
      <c r="BZ9" s="655">
        <f ca="1">VLOOKUP(BZ5,BV5:BY10,4)</f>
        <v>3.3333333333333333E-2</v>
      </c>
      <c r="CA9" s="543"/>
      <c r="CB9" s="693">
        <v>-20</v>
      </c>
      <c r="CC9" s="670">
        <f t="shared" si="31"/>
        <v>-1.1000000000000001</v>
      </c>
      <c r="CD9" s="671">
        <v>-0.7</v>
      </c>
      <c r="CE9" s="541">
        <f t="shared" si="26"/>
        <v>0.40000000000000013</v>
      </c>
      <c r="CF9" s="655">
        <f ca="1">VLOOKUP(CF5,CB5:CE10,4)</f>
        <v>6.6666666666666666E-2</v>
      </c>
      <c r="CH9" s="693">
        <v>-20</v>
      </c>
      <c r="CI9" s="670">
        <f t="shared" si="27"/>
        <v>-0.15</v>
      </c>
      <c r="CJ9" s="709"/>
      <c r="CK9" s="541">
        <f t="shared" si="28"/>
        <v>7.3333333333333334E-2</v>
      </c>
      <c r="CL9" s="655">
        <f ca="1">VLOOKUP(CL5,CH5:CK10,4)</f>
        <v>7.3333333333333334E-2</v>
      </c>
      <c r="CN9" s="693">
        <v>-20</v>
      </c>
      <c r="CO9" s="670">
        <f t="shared" si="29"/>
        <v>-1.8</v>
      </c>
      <c r="CP9" s="671">
        <v>-0.51</v>
      </c>
      <c r="CQ9" s="541">
        <f t="shared" si="30"/>
        <v>1.29</v>
      </c>
      <c r="CR9" s="655">
        <f ca="1">VLOOKUP(CR5,CN5:CQ10,4)</f>
        <v>0.25666666666666665</v>
      </c>
    </row>
    <row r="10" spans="2:96" ht="13">
      <c r="B10" s="693">
        <v>-15</v>
      </c>
      <c r="C10" s="671">
        <v>-0.37</v>
      </c>
      <c r="D10" s="671">
        <f t="shared" si="0"/>
        <v>-0.67</v>
      </c>
      <c r="E10" s="652">
        <f t="shared" si="1"/>
        <v>0.30000000000000004</v>
      </c>
      <c r="F10" s="651"/>
      <c r="G10" s="554"/>
      <c r="H10" s="693">
        <v>-15</v>
      </c>
      <c r="I10" s="670">
        <v>-0.56999999999999995</v>
      </c>
      <c r="J10" s="671">
        <f t="shared" si="2"/>
        <v>-0.52</v>
      </c>
      <c r="K10" s="652">
        <f t="shared" si="3"/>
        <v>4.9999999999999933E-2</v>
      </c>
      <c r="L10" s="651"/>
      <c r="M10" s="554"/>
      <c r="N10" s="693">
        <v>-15</v>
      </c>
      <c r="O10" s="671">
        <v>-0.45</v>
      </c>
      <c r="P10" s="671">
        <f t="shared" si="4"/>
        <v>-0.48</v>
      </c>
      <c r="Q10" s="652">
        <f t="shared" si="5"/>
        <v>2.9999999999999971E-2</v>
      </c>
      <c r="R10" s="651"/>
      <c r="S10" s="543"/>
      <c r="T10" s="693">
        <v>-15</v>
      </c>
      <c r="U10" s="670"/>
      <c r="V10" s="671">
        <f t="shared" si="6"/>
        <v>-1.26</v>
      </c>
      <c r="W10" s="652">
        <f t="shared" si="7"/>
        <v>5.3333333333333337E-2</v>
      </c>
      <c r="X10" s="651"/>
      <c r="Y10" s="543"/>
      <c r="Z10" s="693">
        <v>-15</v>
      </c>
      <c r="AA10" s="670">
        <v>0</v>
      </c>
      <c r="AB10" s="671">
        <f t="shared" si="8"/>
        <v>0.02</v>
      </c>
      <c r="AC10" s="652">
        <f t="shared" si="9"/>
        <v>3.3333333333333333E-2</v>
      </c>
      <c r="AD10" s="651"/>
      <c r="AE10" s="543"/>
      <c r="AF10" s="693">
        <v>-15</v>
      </c>
      <c r="AG10" s="670">
        <v>0</v>
      </c>
      <c r="AH10" s="671">
        <f t="shared" si="10"/>
        <v>0.01</v>
      </c>
      <c r="AI10" s="652">
        <f t="shared" si="11"/>
        <v>3.3333333333333333E-2</v>
      </c>
      <c r="AJ10" s="651"/>
      <c r="AK10" s="543"/>
      <c r="AL10" s="693">
        <v>-15</v>
      </c>
      <c r="AM10" s="670"/>
      <c r="AN10" s="671">
        <f t="shared" si="12"/>
        <v>0.42</v>
      </c>
      <c r="AO10" s="652">
        <f t="shared" si="13"/>
        <v>2.3333333333333334E-2</v>
      </c>
      <c r="AP10" s="651"/>
      <c r="AQ10" s="543"/>
      <c r="AR10" s="693">
        <v>-15</v>
      </c>
      <c r="AS10" s="670"/>
      <c r="AT10" s="671">
        <f t="shared" si="14"/>
        <v>0.36</v>
      </c>
      <c r="AU10" s="652">
        <f t="shared" si="15"/>
        <v>0.03</v>
      </c>
      <c r="AV10" s="651"/>
      <c r="AW10" s="543"/>
      <c r="AX10" s="693">
        <v>-15</v>
      </c>
      <c r="AY10" s="670"/>
      <c r="AZ10" s="553">
        <f t="shared" si="16"/>
        <v>0</v>
      </c>
      <c r="BA10" s="541">
        <f t="shared" si="17"/>
        <v>0.26333333333333336</v>
      </c>
      <c r="BB10" s="651"/>
      <c r="BC10" s="543"/>
      <c r="BD10" s="693">
        <v>-15</v>
      </c>
      <c r="BE10" s="670"/>
      <c r="BF10" s="553">
        <f t="shared" si="18"/>
        <v>-0.76</v>
      </c>
      <c r="BG10" s="541">
        <f t="shared" si="19"/>
        <v>0.03</v>
      </c>
      <c r="BH10" s="651"/>
      <c r="BI10" s="543"/>
      <c r="BJ10" s="693">
        <v>-15</v>
      </c>
      <c r="BK10" s="670"/>
      <c r="BL10" s="553">
        <f t="shared" si="20"/>
        <v>0</v>
      </c>
      <c r="BM10" s="541">
        <f t="shared" si="21"/>
        <v>0.26333333333333336</v>
      </c>
      <c r="BN10" s="651"/>
      <c r="BO10" s="543"/>
      <c r="BP10" s="693">
        <v>-15</v>
      </c>
      <c r="BQ10" s="670"/>
      <c r="BR10" s="671">
        <f t="shared" si="22"/>
        <v>-1.1399999999999999</v>
      </c>
      <c r="BS10" s="541">
        <f t="shared" si="23"/>
        <v>2.6666666666666668E-2</v>
      </c>
      <c r="BT10" s="651"/>
      <c r="BU10" s="543"/>
      <c r="BV10" s="693">
        <v>-15</v>
      </c>
      <c r="BW10" s="670"/>
      <c r="BX10" s="671">
        <f t="shared" si="24"/>
        <v>-1.24</v>
      </c>
      <c r="BY10" s="541">
        <f t="shared" si="25"/>
        <v>3.3333333333333333E-2</v>
      </c>
      <c r="BZ10" s="651"/>
      <c r="CA10" s="543"/>
      <c r="CB10" s="693">
        <v>-15</v>
      </c>
      <c r="CC10" s="670">
        <f t="shared" si="31"/>
        <v>-1.1000000000000001</v>
      </c>
      <c r="CD10" s="671">
        <v>-0.7</v>
      </c>
      <c r="CE10" s="541">
        <f t="shared" si="26"/>
        <v>0.40000000000000013</v>
      </c>
      <c r="CF10" s="651"/>
      <c r="CH10" s="693">
        <v>-15</v>
      </c>
      <c r="CI10" s="670">
        <f t="shared" si="27"/>
        <v>-0.1</v>
      </c>
      <c r="CJ10" s="709">
        <v>-0.01</v>
      </c>
      <c r="CK10" s="541">
        <f t="shared" si="28"/>
        <v>9.0000000000000011E-2</v>
      </c>
      <c r="CL10" s="651"/>
      <c r="CN10" s="693">
        <v>-15</v>
      </c>
      <c r="CO10" s="670">
        <f t="shared" si="29"/>
        <v>-1.52</v>
      </c>
      <c r="CP10" s="671">
        <v>-0.39</v>
      </c>
      <c r="CQ10" s="541">
        <f t="shared" si="30"/>
        <v>1.1299999999999999</v>
      </c>
      <c r="CR10" s="651"/>
    </row>
    <row r="11" spans="2:96" ht="13">
      <c r="B11" s="693">
        <v>-10</v>
      </c>
      <c r="C11" s="671">
        <v>-0.32</v>
      </c>
      <c r="D11" s="671">
        <f t="shared" si="0"/>
        <v>-0.57999999999999996</v>
      </c>
      <c r="E11" s="652">
        <f t="shared" si="1"/>
        <v>0.25999999999999995</v>
      </c>
      <c r="F11" s="655">
        <f ca="1">VLOOKUP(F7,B5:E10,4)</f>
        <v>0.11333333333333334</v>
      </c>
      <c r="G11" s="554"/>
      <c r="H11" s="693">
        <v>-10</v>
      </c>
      <c r="I11" s="670"/>
      <c r="J11" s="671">
        <f t="shared" si="2"/>
        <v>-0.43</v>
      </c>
      <c r="K11" s="652">
        <f t="shared" si="3"/>
        <v>0.18666666666666668</v>
      </c>
      <c r="L11" s="655">
        <f ca="1">VLOOKUP(L7,H5:K10,4)</f>
        <v>0.18666666666666668</v>
      </c>
      <c r="M11" s="554"/>
      <c r="N11" s="693">
        <v>-10</v>
      </c>
      <c r="O11" s="671">
        <v>-0.34</v>
      </c>
      <c r="P11" s="671">
        <f t="shared" si="4"/>
        <v>-0.4</v>
      </c>
      <c r="Q11" s="652">
        <f t="shared" si="5"/>
        <v>0.06</v>
      </c>
      <c r="R11" s="655">
        <f ca="1">VLOOKUP(R7,N5:Q10,4)</f>
        <v>9.3333333333333338E-2</v>
      </c>
      <c r="S11" s="543"/>
      <c r="T11" s="693">
        <v>-10</v>
      </c>
      <c r="U11" s="670"/>
      <c r="V11" s="671">
        <f t="shared" si="6"/>
        <v>-1.04</v>
      </c>
      <c r="W11" s="652">
        <f t="shared" si="7"/>
        <v>5.3333333333333337E-2</v>
      </c>
      <c r="X11" s="655">
        <f ca="1">VLOOKUP(X7,T5:W10,4)</f>
        <v>5.3333333333333337E-2</v>
      </c>
      <c r="Y11" s="543"/>
      <c r="Z11" s="693">
        <v>-10</v>
      </c>
      <c r="AA11" s="670">
        <v>-0.25</v>
      </c>
      <c r="AB11" s="671">
        <f t="shared" si="8"/>
        <v>0.05</v>
      </c>
      <c r="AC11" s="652">
        <f t="shared" si="9"/>
        <v>0.3</v>
      </c>
      <c r="AD11" s="655">
        <f ca="1">VLOOKUP(AD7,Z5:AC10,4)</f>
        <v>3.3333333333333333E-2</v>
      </c>
      <c r="AE11" s="543"/>
      <c r="AF11" s="693">
        <v>-10</v>
      </c>
      <c r="AG11" s="670">
        <v>0.17</v>
      </c>
      <c r="AH11" s="671">
        <f t="shared" si="10"/>
        <v>0.04</v>
      </c>
      <c r="AI11" s="652">
        <f t="shared" si="11"/>
        <v>0.13</v>
      </c>
      <c r="AJ11" s="655">
        <f ca="1">VLOOKUP(AJ7,AF5:AI10,4)</f>
        <v>3.3333333333333333E-2</v>
      </c>
      <c r="AK11" s="543"/>
      <c r="AL11" s="693">
        <v>-10</v>
      </c>
      <c r="AM11" s="670"/>
      <c r="AN11" s="671">
        <f t="shared" si="12"/>
        <v>0.43</v>
      </c>
      <c r="AO11" s="652">
        <f t="shared" si="13"/>
        <v>2.3333333333333334E-2</v>
      </c>
      <c r="AP11" s="655">
        <f ca="1">VLOOKUP(AP7,AL5:AO10,4)</f>
        <v>2.3333333333333334E-2</v>
      </c>
      <c r="AQ11" s="543"/>
      <c r="AR11" s="693">
        <v>-10</v>
      </c>
      <c r="AS11" s="670"/>
      <c r="AT11" s="671">
        <f t="shared" si="14"/>
        <v>0.37</v>
      </c>
      <c r="AU11" s="652">
        <f t="shared" si="15"/>
        <v>0.03</v>
      </c>
      <c r="AV11" s="655">
        <f ca="1">VLOOKUP(AV7,AR5:AU10,4)</f>
        <v>0.03</v>
      </c>
      <c r="AW11" s="543"/>
      <c r="AX11" s="693">
        <v>-10</v>
      </c>
      <c r="AY11" s="670"/>
      <c r="AZ11" s="553">
        <f t="shared" si="16"/>
        <v>0.5</v>
      </c>
      <c r="BA11" s="541">
        <f t="shared" si="17"/>
        <v>0.26333333333333336</v>
      </c>
      <c r="BB11" s="655">
        <f ca="1">VLOOKUP(BB7,AX5:BA10,4)</f>
        <v>0.26333333333333336</v>
      </c>
      <c r="BC11" s="543"/>
      <c r="BD11" s="693">
        <v>-10</v>
      </c>
      <c r="BE11" s="670"/>
      <c r="BF11" s="553">
        <f t="shared" si="18"/>
        <v>-0.56999999999999995</v>
      </c>
      <c r="BG11" s="541">
        <f t="shared" si="19"/>
        <v>0.03</v>
      </c>
      <c r="BH11" s="655">
        <f ca="1">VLOOKUP(BH7,BD5:BG10,4)</f>
        <v>0.03</v>
      </c>
      <c r="BI11" s="543"/>
      <c r="BJ11" s="693">
        <v>-10</v>
      </c>
      <c r="BK11" s="670"/>
      <c r="BL11" s="553">
        <f t="shared" si="20"/>
        <v>0.5</v>
      </c>
      <c r="BM11" s="541">
        <f t="shared" si="21"/>
        <v>0.26333333333333336</v>
      </c>
      <c r="BN11" s="655">
        <f ca="1">VLOOKUP(BN7,BJ5:BM10,4)</f>
        <v>0.26333333333333336</v>
      </c>
      <c r="BO11" s="543"/>
      <c r="BP11" s="693">
        <v>-10</v>
      </c>
      <c r="BQ11" s="670"/>
      <c r="BR11" s="671">
        <f t="shared" si="22"/>
        <v>-0.91</v>
      </c>
      <c r="BS11" s="541">
        <f t="shared" si="23"/>
        <v>2.6666666666666668E-2</v>
      </c>
      <c r="BT11" s="655">
        <f ca="1">VLOOKUP(BT7,BP5:BS10,4)</f>
        <v>2.6666666666666668E-2</v>
      </c>
      <c r="BU11" s="543"/>
      <c r="BV11" s="693">
        <v>-10</v>
      </c>
      <c r="BW11" s="670"/>
      <c r="BX11" s="671">
        <f t="shared" si="24"/>
        <v>-1.01</v>
      </c>
      <c r="BY11" s="541">
        <f t="shared" si="25"/>
        <v>3.3333333333333333E-2</v>
      </c>
      <c r="BZ11" s="655">
        <f ca="1">VLOOKUP(BZ7,BV5:BY10,4)</f>
        <v>3.3333333333333333E-2</v>
      </c>
      <c r="CA11" s="543"/>
      <c r="CB11" s="693">
        <v>-10</v>
      </c>
      <c r="CC11" s="670">
        <f t="shared" si="31"/>
        <v>-1.2</v>
      </c>
      <c r="CD11" s="671">
        <v>-0.7</v>
      </c>
      <c r="CE11" s="541">
        <f t="shared" si="26"/>
        <v>0.5</v>
      </c>
      <c r="CF11" s="655">
        <f ca="1">VLOOKUP(CF7,CB5:CE10,4)</f>
        <v>6.6666666666666666E-2</v>
      </c>
      <c r="CH11" s="693">
        <v>-10</v>
      </c>
      <c r="CI11" s="670">
        <f t="shared" si="27"/>
        <v>-0.05</v>
      </c>
      <c r="CJ11" s="709">
        <v>1.2E-2</v>
      </c>
      <c r="CK11" s="541">
        <f t="shared" si="28"/>
        <v>6.2E-2</v>
      </c>
      <c r="CL11" s="655">
        <f ca="1">VLOOKUP(CL7,CH5:CK10,4)</f>
        <v>7.3333333333333334E-2</v>
      </c>
      <c r="CN11" s="693">
        <v>-10</v>
      </c>
      <c r="CO11" s="670">
        <f t="shared" si="29"/>
        <v>-1.26</v>
      </c>
      <c r="CP11" s="671">
        <v>-0.28000000000000003</v>
      </c>
      <c r="CQ11" s="541">
        <f t="shared" si="30"/>
        <v>0.98</v>
      </c>
      <c r="CR11" s="655">
        <f ca="1">VLOOKUP(CR7,CN5:CQ10,4)</f>
        <v>0.25666666666666665</v>
      </c>
    </row>
    <row r="12" spans="2:96" ht="13">
      <c r="B12" s="693">
        <v>-5</v>
      </c>
      <c r="C12" s="671"/>
      <c r="D12" s="671">
        <f t="shared" si="0"/>
        <v>0</v>
      </c>
      <c r="E12" s="652">
        <f t="shared" si="1"/>
        <v>0.11333333333333334</v>
      </c>
      <c r="F12" s="1340"/>
      <c r="G12" s="554"/>
      <c r="H12" s="693">
        <v>-5</v>
      </c>
      <c r="I12" s="670"/>
      <c r="J12" s="671"/>
      <c r="K12" s="652"/>
      <c r="L12" s="1340"/>
      <c r="M12" s="554"/>
      <c r="N12" s="693">
        <v>-5</v>
      </c>
      <c r="O12" s="671">
        <v>0</v>
      </c>
      <c r="P12" s="671">
        <f t="shared" si="4"/>
        <v>0</v>
      </c>
      <c r="Q12" s="652"/>
      <c r="R12" s="1340"/>
      <c r="S12" s="543"/>
      <c r="T12" s="693">
        <v>-5</v>
      </c>
      <c r="U12" s="670"/>
      <c r="V12" s="671"/>
      <c r="W12" s="652"/>
      <c r="X12" s="1340"/>
      <c r="Y12" s="543"/>
      <c r="Z12" s="693">
        <v>-5</v>
      </c>
      <c r="AA12" s="670">
        <v>0</v>
      </c>
      <c r="AB12" s="671">
        <f t="shared" si="8"/>
        <v>0.05</v>
      </c>
      <c r="AC12" s="652">
        <f t="shared" si="9"/>
        <v>3.3333333333333333E-2</v>
      </c>
      <c r="AD12" s="1340"/>
      <c r="AE12" s="543"/>
      <c r="AF12" s="693">
        <v>-5</v>
      </c>
      <c r="AG12" s="670">
        <v>0</v>
      </c>
      <c r="AH12" s="671">
        <f t="shared" si="10"/>
        <v>0.04</v>
      </c>
      <c r="AI12" s="652">
        <f t="shared" si="11"/>
        <v>3.3333333333333333E-2</v>
      </c>
      <c r="AJ12" s="1340"/>
      <c r="AK12" s="543"/>
      <c r="AL12" s="693">
        <v>-5</v>
      </c>
      <c r="AM12" s="670"/>
      <c r="AN12" s="671">
        <f t="shared" si="12"/>
        <v>0.42</v>
      </c>
      <c r="AO12" s="652">
        <f t="shared" si="13"/>
        <v>2.3333333333333334E-2</v>
      </c>
      <c r="AP12" s="1340"/>
      <c r="AQ12" s="543"/>
      <c r="AR12" s="693">
        <v>-5</v>
      </c>
      <c r="AS12" s="670"/>
      <c r="AT12" s="671">
        <f t="shared" si="14"/>
        <v>0.38</v>
      </c>
      <c r="AU12" s="652">
        <f t="shared" si="15"/>
        <v>0.03</v>
      </c>
      <c r="AV12" s="1340"/>
      <c r="AW12" s="543"/>
      <c r="AX12" s="693">
        <v>-5</v>
      </c>
      <c r="AY12" s="670"/>
      <c r="AZ12" s="553">
        <f t="shared" si="16"/>
        <v>0</v>
      </c>
      <c r="BA12" s="541">
        <f t="shared" si="17"/>
        <v>0.26333333333333336</v>
      </c>
      <c r="BB12" s="1340"/>
      <c r="BC12" s="543"/>
      <c r="BD12" s="693">
        <v>-5</v>
      </c>
      <c r="BE12" s="670"/>
      <c r="BF12" s="553">
        <f t="shared" si="18"/>
        <v>0</v>
      </c>
      <c r="BG12" s="541">
        <f t="shared" si="19"/>
        <v>0.03</v>
      </c>
      <c r="BH12" s="1340"/>
      <c r="BI12" s="543"/>
      <c r="BJ12" s="693">
        <v>-5</v>
      </c>
      <c r="BK12" s="670"/>
      <c r="BL12" s="553">
        <f t="shared" si="20"/>
        <v>0</v>
      </c>
      <c r="BM12" s="541">
        <f t="shared" si="21"/>
        <v>0.26333333333333336</v>
      </c>
      <c r="BN12" s="1340"/>
      <c r="BO12" s="543"/>
      <c r="BP12" s="693">
        <v>-5</v>
      </c>
      <c r="BQ12" s="670"/>
      <c r="BR12" s="671">
        <f t="shared" si="22"/>
        <v>0</v>
      </c>
      <c r="BS12" s="541">
        <f t="shared" si="23"/>
        <v>2.6666666666666668E-2</v>
      </c>
      <c r="BT12" s="1340"/>
      <c r="BU12" s="543"/>
      <c r="BV12" s="693">
        <v>-5</v>
      </c>
      <c r="BW12" s="670"/>
      <c r="BX12" s="671">
        <f t="shared" si="24"/>
        <v>0</v>
      </c>
      <c r="BY12" s="541">
        <f t="shared" si="25"/>
        <v>3.3333333333333333E-2</v>
      </c>
      <c r="BZ12" s="1340"/>
      <c r="CA12" s="543"/>
      <c r="CB12" s="693">
        <v>-5</v>
      </c>
      <c r="CC12" s="670">
        <f t="shared" si="31"/>
        <v>0</v>
      </c>
      <c r="CD12" s="671"/>
      <c r="CE12" s="541">
        <f t="shared" si="26"/>
        <v>6.6666666666666666E-2</v>
      </c>
      <c r="CF12" s="1340"/>
      <c r="CH12" s="693">
        <v>-5</v>
      </c>
      <c r="CI12" s="670">
        <f t="shared" si="27"/>
        <v>0</v>
      </c>
      <c r="CJ12" s="709"/>
      <c r="CK12" s="541">
        <f t="shared" si="28"/>
        <v>7.3333333333333334E-2</v>
      </c>
      <c r="CL12" s="1340"/>
      <c r="CN12" s="693">
        <v>-5</v>
      </c>
      <c r="CO12" s="670">
        <f t="shared" si="29"/>
        <v>0</v>
      </c>
      <c r="CP12" s="671"/>
      <c r="CQ12" s="541"/>
      <c r="CR12" s="1340"/>
    </row>
    <row r="13" spans="2:96" ht="13">
      <c r="B13" s="693">
        <v>0</v>
      </c>
      <c r="C13" s="671">
        <v>-0.23</v>
      </c>
      <c r="D13" s="671">
        <f t="shared" si="0"/>
        <v>-0.39</v>
      </c>
      <c r="E13" s="652">
        <f t="shared" si="1"/>
        <v>0.16</v>
      </c>
      <c r="F13" s="1339">
        <f ca="1">(((F11-F9)/(F7-F5))*(F4-F5))+F9</f>
        <v>0.11333333333333334</v>
      </c>
      <c r="G13" s="554"/>
      <c r="H13" s="693">
        <v>0</v>
      </c>
      <c r="I13" s="670">
        <v>-0.28000000000000003</v>
      </c>
      <c r="J13" s="671">
        <f>D137</f>
        <v>-0.26</v>
      </c>
      <c r="K13" s="652">
        <f>IF(OR(I13=0,J13=0),$D$138/3,((MAX(I13:J13)-(MIN(I13:J13)))))</f>
        <v>2.0000000000000018E-2</v>
      </c>
      <c r="L13" s="1339">
        <f ca="1">(((L11-L9)/(L7-L5))*(L4-L5))+L9</f>
        <v>0.18666666666666668</v>
      </c>
      <c r="M13" s="554"/>
      <c r="N13" s="693">
        <v>0</v>
      </c>
      <c r="O13" s="671">
        <v>-0.35</v>
      </c>
      <c r="P13" s="671">
        <f t="shared" si="4"/>
        <v>-0.26</v>
      </c>
      <c r="Q13" s="652">
        <f>IF(OR(O13=0,P13=0),$E$138/3,((MAX(O13:P13)-(MIN(O13:P13)))))</f>
        <v>8.9999999999999969E-2</v>
      </c>
      <c r="R13" s="1339">
        <f ca="1">(((R11-R9)/(R7-R5))*(R4-R5))+R9</f>
        <v>9.3333333333333338E-2</v>
      </c>
      <c r="S13" s="543"/>
      <c r="T13" s="693">
        <v>0</v>
      </c>
      <c r="U13" s="670"/>
      <c r="V13" s="671">
        <f>F137</f>
        <v>-0.38</v>
      </c>
      <c r="W13" s="652">
        <f>IF(OR(U13=0,V13=0),$F$138/3,((MAX(U13:V13)-(MIN(U13:V13)))))</f>
        <v>5.3333333333333337E-2</v>
      </c>
      <c r="X13" s="1339">
        <f ca="1">(((X11-X9)/(X7-X5))*(X4-X5))+X9</f>
        <v>5.3333333333333337E-2</v>
      </c>
      <c r="Y13" s="543"/>
      <c r="Z13" s="693">
        <v>0</v>
      </c>
      <c r="AA13" s="670">
        <v>-0.01</v>
      </c>
      <c r="AB13" s="671">
        <f t="shared" si="8"/>
        <v>0.02</v>
      </c>
      <c r="AC13" s="652">
        <f t="shared" si="9"/>
        <v>0.03</v>
      </c>
      <c r="AD13" s="1339">
        <f ca="1">(((AD11-AD9)/(AD7-AD5))*(AD4-AD5))+AD9</f>
        <v>3.3333333333333333E-2</v>
      </c>
      <c r="AE13" s="543"/>
      <c r="AF13" s="693">
        <v>0</v>
      </c>
      <c r="AG13" s="670">
        <v>0.35</v>
      </c>
      <c r="AH13" s="671">
        <f t="shared" si="10"/>
        <v>0.02</v>
      </c>
      <c r="AI13" s="652">
        <f t="shared" si="11"/>
        <v>0.32999999999999996</v>
      </c>
      <c r="AJ13" s="1339">
        <f ca="1">(((AJ11-AJ9)/(AJ7-AJ5))*(AJ4-AJ5))+AJ9</f>
        <v>3.3333333333333333E-2</v>
      </c>
      <c r="AK13" s="543"/>
      <c r="AL13" s="693">
        <v>0</v>
      </c>
      <c r="AM13" s="670"/>
      <c r="AN13" s="671">
        <f t="shared" si="12"/>
        <v>0.38</v>
      </c>
      <c r="AO13" s="652">
        <f t="shared" si="13"/>
        <v>2.3333333333333334E-2</v>
      </c>
      <c r="AP13" s="1339">
        <f ca="1">(((AP11-AP9)/(AP7-AP5))*(AP4-AP5))+AP9</f>
        <v>2.3333333333333334E-2</v>
      </c>
      <c r="AQ13" s="543"/>
      <c r="AR13" s="693">
        <v>0</v>
      </c>
      <c r="AS13" s="670"/>
      <c r="AT13" s="671">
        <f t="shared" si="14"/>
        <v>0.37</v>
      </c>
      <c r="AU13" s="652">
        <f t="shared" si="15"/>
        <v>0.03</v>
      </c>
      <c r="AV13" s="1339">
        <f ca="1">(((AV11-AV9)/(AV7-AV5))*(AV4-AV5))+AV9</f>
        <v>0.03</v>
      </c>
      <c r="AW13" s="543"/>
      <c r="AX13" s="693">
        <v>0</v>
      </c>
      <c r="AY13" s="670"/>
      <c r="AZ13" s="553">
        <f t="shared" si="16"/>
        <v>0.48</v>
      </c>
      <c r="BA13" s="541">
        <f t="shared" si="17"/>
        <v>0.26333333333333336</v>
      </c>
      <c r="BB13" s="1339">
        <f ca="1">(((BB11-BB9)/(BB7-BB5))*(BB4-BB5))+BB9</f>
        <v>0.26333333333333336</v>
      </c>
      <c r="BC13" s="543"/>
      <c r="BD13" s="693">
        <v>0</v>
      </c>
      <c r="BE13" s="670"/>
      <c r="BF13" s="553">
        <f t="shared" si="18"/>
        <v>-0.31</v>
      </c>
      <c r="BG13" s="541">
        <f t="shared" si="19"/>
        <v>0.03</v>
      </c>
      <c r="BH13" s="1339">
        <f ca="1">(((BH11-BH9)/(BH7-BH5))*(BH4-BH5))+BH9</f>
        <v>0.03</v>
      </c>
      <c r="BI13" s="543"/>
      <c r="BJ13" s="693">
        <v>0</v>
      </c>
      <c r="BK13" s="670"/>
      <c r="BL13" s="553">
        <f t="shared" si="20"/>
        <v>0.48</v>
      </c>
      <c r="BM13" s="541">
        <f t="shared" si="21"/>
        <v>0.26333333333333336</v>
      </c>
      <c r="BN13" s="1339">
        <f ca="1">(((BN11-BN9)/(BN7-BN5))*(BN4-BN5))+BN9</f>
        <v>0.26333333333333336</v>
      </c>
      <c r="BO13" s="543"/>
      <c r="BP13" s="693">
        <v>0</v>
      </c>
      <c r="BQ13" s="670"/>
      <c r="BR13" s="671">
        <f t="shared" si="22"/>
        <v>-0.63</v>
      </c>
      <c r="BS13" s="541">
        <f t="shared" si="23"/>
        <v>2.6666666666666668E-2</v>
      </c>
      <c r="BT13" s="1339">
        <f ca="1">(((BT11-BT9)/(BT7-BT5))*(BT4-BT5))+BT9</f>
        <v>2.6666666666666668E-2</v>
      </c>
      <c r="BU13" s="543"/>
      <c r="BV13" s="693">
        <v>0</v>
      </c>
      <c r="BW13" s="670"/>
      <c r="BX13" s="671">
        <f t="shared" si="24"/>
        <v>-0.6</v>
      </c>
      <c r="BY13" s="541">
        <f t="shared" si="25"/>
        <v>3.3333333333333333E-2</v>
      </c>
      <c r="BZ13" s="1339">
        <f ca="1">(((BZ11-BZ9)/(BZ7-BZ5))*(BZ4-BZ5))+BZ9</f>
        <v>3.3333333333333333E-2</v>
      </c>
      <c r="CA13" s="543"/>
      <c r="CB13" s="693">
        <v>0</v>
      </c>
      <c r="CC13" s="670">
        <f t="shared" si="31"/>
        <v>-1.4</v>
      </c>
      <c r="CD13" s="671">
        <v>-0.7</v>
      </c>
      <c r="CE13" s="541">
        <f t="shared" si="26"/>
        <v>0.7</v>
      </c>
      <c r="CF13" s="1339">
        <f ca="1">(((CF11-CF9)/(CF7-CF5))*(CF4-CF5))+CF9</f>
        <v>6.6666666666666666E-2</v>
      </c>
      <c r="CH13" s="693">
        <v>0</v>
      </c>
      <c r="CI13" s="670">
        <f t="shared" si="27"/>
        <v>0.03</v>
      </c>
      <c r="CJ13" s="709">
        <v>4.0000000000000001E-3</v>
      </c>
      <c r="CK13" s="541">
        <f t="shared" si="28"/>
        <v>2.5999999999999999E-2</v>
      </c>
      <c r="CL13" s="1339">
        <f ca="1">(((CL11-CL9)/(CL7-CL5))*(CL4-CL5))+CL9</f>
        <v>7.3333333333333334E-2</v>
      </c>
      <c r="CN13" s="693">
        <v>0</v>
      </c>
      <c r="CO13" s="670">
        <f t="shared" si="29"/>
        <v>-0.79</v>
      </c>
      <c r="CP13" s="671">
        <v>-0.08</v>
      </c>
      <c r="CQ13" s="541">
        <f>IF(OR(CO13=0,CP13=0),$R$138/3,((MAX(CO13:CP13)-(MIN(CO13:CP13)))))</f>
        <v>0.71000000000000008</v>
      </c>
      <c r="CR13" s="1339">
        <f ca="1">(((CR11-CR9)/(CR7-CR5))*(CR4-CR5))+CR9</f>
        <v>0.25666666666666665</v>
      </c>
    </row>
    <row r="14" spans="2:96" s="543" customFormat="1" ht="13.5" thickBot="1">
      <c r="B14" s="683"/>
      <c r="C14" s="683"/>
      <c r="D14" s="684"/>
      <c r="E14" s="683"/>
      <c r="F14" s="554"/>
      <c r="G14" s="554"/>
      <c r="H14" s="683"/>
      <c r="I14" s="683"/>
      <c r="J14" s="683"/>
      <c r="K14" s="683"/>
      <c r="L14" s="554"/>
      <c r="M14" s="554"/>
      <c r="N14" s="683"/>
      <c r="O14" s="683"/>
      <c r="P14" s="683"/>
      <c r="Q14" s="683"/>
      <c r="R14" s="554"/>
      <c r="T14" s="683"/>
      <c r="U14" s="683"/>
      <c r="V14" s="683"/>
      <c r="W14" s="683"/>
      <c r="X14" s="554"/>
      <c r="Z14" s="683"/>
      <c r="AA14" s="683"/>
      <c r="AB14" s="683"/>
      <c r="AC14" s="683"/>
      <c r="AD14" s="554"/>
      <c r="AF14" s="683"/>
      <c r="AG14" s="683"/>
      <c r="AH14" s="683"/>
      <c r="AI14" s="683"/>
      <c r="AJ14" s="554"/>
      <c r="AL14" s="556"/>
      <c r="AM14" s="683"/>
      <c r="AN14" s="683"/>
      <c r="AO14" s="683"/>
      <c r="AP14" s="554"/>
      <c r="AR14" s="556"/>
      <c r="AS14" s="683"/>
      <c r="AT14" s="683"/>
      <c r="AU14" s="683"/>
      <c r="AV14" s="554"/>
      <c r="AX14" s="683"/>
      <c r="AY14" s="556"/>
      <c r="AZ14" s="556"/>
      <c r="BA14" s="556"/>
      <c r="BB14" s="554"/>
      <c r="BD14" s="683"/>
      <c r="BE14" s="556"/>
      <c r="BF14" s="556"/>
      <c r="BG14" s="556"/>
      <c r="BH14" s="554"/>
      <c r="BJ14" s="683"/>
      <c r="BK14" s="556"/>
      <c r="BL14" s="556"/>
      <c r="BM14" s="556"/>
      <c r="BN14" s="554"/>
      <c r="BP14" s="683"/>
      <c r="BQ14" s="556"/>
      <c r="BR14" s="556"/>
      <c r="BS14" s="556"/>
      <c r="BT14" s="554"/>
      <c r="BV14" s="683"/>
      <c r="BW14" s="556"/>
      <c r="BX14" s="556"/>
      <c r="BY14" s="556"/>
      <c r="BZ14" s="554"/>
      <c r="CB14" s="683"/>
      <c r="CC14" s="556"/>
      <c r="CD14" s="556"/>
      <c r="CE14" s="556"/>
      <c r="CF14" s="554"/>
      <c r="CH14" s="683"/>
      <c r="CI14" s="556"/>
      <c r="CJ14" s="556"/>
      <c r="CK14" s="556"/>
      <c r="CL14" s="554"/>
      <c r="CN14" s="683"/>
      <c r="CO14" s="556"/>
      <c r="CP14" s="556"/>
      <c r="CQ14" s="556"/>
      <c r="CR14" s="554"/>
    </row>
    <row r="15" spans="2:96" ht="22.5" customHeight="1">
      <c r="B15" s="1195" t="s">
        <v>358</v>
      </c>
      <c r="C15" s="1197" t="str">
        <f>C3</f>
        <v>Thermocouple Data Logger, Merek : MADGETECH, Model : OctTemp 2000, SN : P40270</v>
      </c>
      <c r="D15" s="1197"/>
      <c r="E15" s="1197"/>
      <c r="F15" s="546" t="str">
        <f>F3</f>
        <v>Interpolasi</v>
      </c>
      <c r="G15" s="547"/>
      <c r="H15" s="1195" t="s">
        <v>358</v>
      </c>
      <c r="I15" s="1197" t="str">
        <f>I3</f>
        <v>Thermocouple Data Logger, Merek : MADGETECH, Model : OctTemp 2000, SN : P41878</v>
      </c>
      <c r="J15" s="1197"/>
      <c r="K15" s="1197"/>
      <c r="L15" s="546" t="str">
        <f>L3</f>
        <v>Interpolasi</v>
      </c>
      <c r="M15" s="547"/>
      <c r="N15" s="1195" t="s">
        <v>358</v>
      </c>
      <c r="O15" s="1197" t="str">
        <f>O3</f>
        <v>Mobile Corder, Merek : Yokogawa, Model : GP 10, SN : S5T810599</v>
      </c>
      <c r="P15" s="1198"/>
      <c r="Q15" s="1197"/>
      <c r="R15" s="546" t="str">
        <f>R3</f>
        <v>Interpolasi</v>
      </c>
      <c r="S15" s="543"/>
      <c r="T15" s="1195" t="s">
        <v>358</v>
      </c>
      <c r="U15" s="1197" t="str">
        <f>U3</f>
        <v>Wireless Temperature Recorder, Merek : HIOKI, Model : LR 8510, SN : 200936000</v>
      </c>
      <c r="V15" s="1198"/>
      <c r="W15" s="1197"/>
      <c r="X15" s="546" t="str">
        <f>X3</f>
        <v>Interpolasi</v>
      </c>
      <c r="Y15" s="543"/>
      <c r="Z15" s="1195" t="s">
        <v>358</v>
      </c>
      <c r="AA15" s="1197" t="str">
        <f>AA3</f>
        <v>Wireless Temperature Recorder, Merek : HIOKI, Model : LR 8510, SN : 200936001</v>
      </c>
      <c r="AB15" s="1198"/>
      <c r="AC15" s="1197"/>
      <c r="AD15" s="546" t="str">
        <f>AD3</f>
        <v>Interpolasi</v>
      </c>
      <c r="AE15" s="543"/>
      <c r="AF15" s="1195" t="s">
        <v>358</v>
      </c>
      <c r="AG15" s="1197" t="str">
        <f>AG3</f>
        <v>Wireless Temperature Recorder, Merek : HIOKI, Model : LR 8510, SN : 200821397</v>
      </c>
      <c r="AH15" s="1198"/>
      <c r="AI15" s="1197"/>
      <c r="AJ15" s="546" t="str">
        <f>AJ3</f>
        <v>Interpolasi</v>
      </c>
      <c r="AK15" s="543"/>
      <c r="AL15" s="1199" t="s">
        <v>358</v>
      </c>
      <c r="AM15" s="1197" t="str">
        <f>AM3</f>
        <v>Wireless Temperature Recorder, Merek : HIOKI, Model : LR 8510, SN : 210411983</v>
      </c>
      <c r="AN15" s="1198"/>
      <c r="AO15" s="1197"/>
      <c r="AP15" s="546" t="str">
        <f>AP3</f>
        <v>Interpolasi</v>
      </c>
      <c r="AQ15" s="543"/>
      <c r="AR15" s="1199" t="s">
        <v>358</v>
      </c>
      <c r="AS15" s="1197" t="str">
        <f>AS3</f>
        <v>Wireless Temperature Recorder, Merek : HIOKI, Model : LR 8510, SN : 210411984</v>
      </c>
      <c r="AT15" s="1198"/>
      <c r="AU15" s="1197"/>
      <c r="AV15" s="546" t="str">
        <f>AV3</f>
        <v>Interpolasi</v>
      </c>
      <c r="AW15" s="543"/>
      <c r="AX15" s="1195" t="s">
        <v>358</v>
      </c>
      <c r="AY15" s="1193" t="str">
        <f>AY3</f>
        <v>Wireless Temperature Recorder, Merek : HIOKI, Model : LR 8510, SN : 210411985</v>
      </c>
      <c r="AZ15" s="1194"/>
      <c r="BA15" s="1193"/>
      <c r="BB15" s="546" t="str">
        <f>BB3</f>
        <v>Interpolasi</v>
      </c>
      <c r="BC15" s="543"/>
      <c r="BD15" s="1195" t="s">
        <v>358</v>
      </c>
      <c r="BE15" s="1193" t="str">
        <f>BE3</f>
        <v>Wireless Temperature Recorder, Merek : HIOKI, Model : LR 8510, SN : 210746054</v>
      </c>
      <c r="BF15" s="1194"/>
      <c r="BG15" s="1193"/>
      <c r="BH15" s="546" t="str">
        <f>BH3</f>
        <v>Interpolasi</v>
      </c>
      <c r="BI15" s="543"/>
      <c r="BJ15" s="1195" t="s">
        <v>358</v>
      </c>
      <c r="BK15" s="1193" t="str">
        <f>BK3</f>
        <v>Wireless Temperature Recorder, Merek : HIOKI, Model : LR 8510, SN : 210746055</v>
      </c>
      <c r="BL15" s="1194"/>
      <c r="BM15" s="1193"/>
      <c r="BN15" s="546" t="str">
        <f>BN3</f>
        <v>Interpolasi</v>
      </c>
      <c r="BO15" s="543"/>
      <c r="BP15" s="1195" t="s">
        <v>358</v>
      </c>
      <c r="BQ15" s="1193" t="str">
        <f>BQ3</f>
        <v>Wireless Temperature Recorder, Merek : HIOKI, Model : LR 8510, SN : 210746056</v>
      </c>
      <c r="BR15" s="1194"/>
      <c r="BS15" s="1193"/>
      <c r="BT15" s="546" t="str">
        <f>BT3</f>
        <v>Interpolasi</v>
      </c>
      <c r="BU15" s="543"/>
      <c r="BV15" s="1195" t="s">
        <v>358</v>
      </c>
      <c r="BW15" s="1193" t="str">
        <f>BW3</f>
        <v>Wireless Temperature Recorder, Merek : HIOKI, Model : LR 8510, SN : 200821396</v>
      </c>
      <c r="BX15" s="1194"/>
      <c r="BY15" s="1193"/>
      <c r="BZ15" s="546" t="str">
        <f>BZ3</f>
        <v>Interpolasi</v>
      </c>
      <c r="CA15" s="543"/>
      <c r="CB15" s="1195" t="s">
        <v>358</v>
      </c>
      <c r="CC15" s="1193" t="str">
        <f>CC3</f>
        <v>Reference Thermometer, Merek : APPA, Model : APPA51, SN : 03002948</v>
      </c>
      <c r="CD15" s="1194"/>
      <c r="CE15" s="1193"/>
      <c r="CF15" s="546" t="str">
        <f>CF3</f>
        <v>Interpolasi</v>
      </c>
      <c r="CH15" s="1195" t="s">
        <v>358</v>
      </c>
      <c r="CI15" s="1193" t="str">
        <f t="shared" ref="CI15:CI25" si="32">CI3</f>
        <v>Reference Thermometer, Merek : FLUKE, Model : 1524, SN : 1803038</v>
      </c>
      <c r="CJ15" s="1194"/>
      <c r="CK15" s="1193"/>
      <c r="CL15" s="546" t="str">
        <f>CL3</f>
        <v>Interpolasi</v>
      </c>
      <c r="CN15" s="1195" t="s">
        <v>358</v>
      </c>
      <c r="CO15" s="1193" t="str">
        <f t="shared" ref="CO15:CO25" si="33">CO3</f>
        <v>Reference Thermometer, Merek : FLUKE, Model : 1524, SN : 1803037</v>
      </c>
      <c r="CP15" s="1194"/>
      <c r="CQ15" s="1193"/>
      <c r="CR15" s="546" t="str">
        <f>CR3</f>
        <v>Interpolasi</v>
      </c>
    </row>
    <row r="16" spans="2:96" ht="13">
      <c r="B16" s="1196"/>
      <c r="C16" s="669">
        <f>C4</f>
        <v>2021</v>
      </c>
      <c r="D16" s="669">
        <f>D4</f>
        <v>2022</v>
      </c>
      <c r="E16" s="682" t="s">
        <v>357</v>
      </c>
      <c r="F16" s="656">
        <f ca="1">$B$243</f>
        <v>-26.693000000000005</v>
      </c>
      <c r="G16" s="551"/>
      <c r="H16" s="1196"/>
      <c r="I16" s="677">
        <f>I4</f>
        <v>2021</v>
      </c>
      <c r="J16" s="681">
        <f>J4</f>
        <v>2022</v>
      </c>
      <c r="K16" s="682" t="s">
        <v>357</v>
      </c>
      <c r="L16" s="656">
        <f ca="1">$B$243</f>
        <v>-26.693000000000005</v>
      </c>
      <c r="M16" s="551"/>
      <c r="N16" s="1196"/>
      <c r="O16" s="677">
        <f>O4</f>
        <v>2021</v>
      </c>
      <c r="P16" s="681">
        <f>P4</f>
        <v>2023</v>
      </c>
      <c r="Q16" s="682" t="s">
        <v>357</v>
      </c>
      <c r="R16" s="656">
        <f ca="1">$B$243</f>
        <v>-26.693000000000005</v>
      </c>
      <c r="S16" s="543"/>
      <c r="T16" s="1196"/>
      <c r="U16" s="668"/>
      <c r="V16" s="681">
        <f>V4</f>
        <v>2022</v>
      </c>
      <c r="W16" s="682" t="s">
        <v>357</v>
      </c>
      <c r="X16" s="656">
        <f ca="1">$B$243</f>
        <v>-26.693000000000005</v>
      </c>
      <c r="Y16" s="543"/>
      <c r="Z16" s="1196"/>
      <c r="AA16" s="668">
        <f>AA4</f>
        <v>2021</v>
      </c>
      <c r="AB16" s="681">
        <f>AB4</f>
        <v>2023</v>
      </c>
      <c r="AC16" s="682" t="s">
        <v>357</v>
      </c>
      <c r="AD16" s="656">
        <f ca="1">$B$243</f>
        <v>-26.693000000000005</v>
      </c>
      <c r="AE16" s="543"/>
      <c r="AF16" s="1196"/>
      <c r="AG16" s="668">
        <f>AG4</f>
        <v>2021</v>
      </c>
      <c r="AH16" s="677">
        <f>AH4</f>
        <v>2023</v>
      </c>
      <c r="AI16" s="682" t="s">
        <v>357</v>
      </c>
      <c r="AJ16" s="656">
        <f ca="1">$B$243</f>
        <v>-26.693000000000005</v>
      </c>
      <c r="AK16" s="543"/>
      <c r="AL16" s="1200"/>
      <c r="AM16" s="677">
        <f>AM4</f>
        <v>0</v>
      </c>
      <c r="AN16" s="681">
        <f>AN4</f>
        <v>2023</v>
      </c>
      <c r="AO16" s="682" t="s">
        <v>357</v>
      </c>
      <c r="AP16" s="656">
        <f ca="1">$B$243</f>
        <v>-26.693000000000005</v>
      </c>
      <c r="AQ16" s="543"/>
      <c r="AR16" s="1200"/>
      <c r="AS16" s="677">
        <f>AS4</f>
        <v>2021</v>
      </c>
      <c r="AT16" s="681">
        <f>AT4</f>
        <v>2023</v>
      </c>
      <c r="AU16" s="682" t="s">
        <v>357</v>
      </c>
      <c r="AV16" s="656">
        <f ca="1">$B$243</f>
        <v>-26.693000000000005</v>
      </c>
      <c r="AW16" s="543"/>
      <c r="AX16" s="1196"/>
      <c r="AY16" s="668">
        <f>AY4</f>
        <v>0</v>
      </c>
      <c r="AZ16" s="549">
        <f>AZ4</f>
        <v>2021</v>
      </c>
      <c r="BA16" s="550" t="s">
        <v>357</v>
      </c>
      <c r="BB16" s="656">
        <f ca="1">$B$243</f>
        <v>-26.693000000000005</v>
      </c>
      <c r="BC16" s="543"/>
      <c r="BD16" s="1196"/>
      <c r="BE16" s="668">
        <f>BE4</f>
        <v>0</v>
      </c>
      <c r="BF16" s="549"/>
      <c r="BG16" s="550" t="s">
        <v>357</v>
      </c>
      <c r="BH16" s="656">
        <f ca="1">$B$243</f>
        <v>-26.693000000000005</v>
      </c>
      <c r="BI16" s="543"/>
      <c r="BJ16" s="1196"/>
      <c r="BK16" s="668">
        <f>BK4</f>
        <v>2021</v>
      </c>
      <c r="BL16" s="549">
        <f>BL4</f>
        <v>2021</v>
      </c>
      <c r="BM16" s="550" t="s">
        <v>357</v>
      </c>
      <c r="BN16" s="656">
        <f ca="1">$B$243</f>
        <v>-26.693000000000005</v>
      </c>
      <c r="BO16" s="543"/>
      <c r="BP16" s="1196"/>
      <c r="BQ16" s="668">
        <f>BQ4</f>
        <v>2021</v>
      </c>
      <c r="BR16" s="549">
        <f>BR4</f>
        <v>2022</v>
      </c>
      <c r="BS16" s="550" t="s">
        <v>357</v>
      </c>
      <c r="BT16" s="656">
        <f ca="1">$B$243</f>
        <v>-26.693000000000005</v>
      </c>
      <c r="BU16" s="543"/>
      <c r="BV16" s="1196"/>
      <c r="BW16" s="552">
        <f>BW4</f>
        <v>0</v>
      </c>
      <c r="BX16" s="549">
        <f>BX4</f>
        <v>2022</v>
      </c>
      <c r="BY16" s="550" t="s">
        <v>357</v>
      </c>
      <c r="BZ16" s="656">
        <f ca="1">$B$243</f>
        <v>-26.693000000000005</v>
      </c>
      <c r="CA16" s="543"/>
      <c r="CB16" s="1196"/>
      <c r="CC16" s="668">
        <f>CC4</f>
        <v>2022</v>
      </c>
      <c r="CD16" s="669">
        <f>CD4</f>
        <v>2020</v>
      </c>
      <c r="CE16" s="550" t="s">
        <v>357</v>
      </c>
      <c r="CF16" s="656">
        <f ca="1">$B$243</f>
        <v>-26.693000000000005</v>
      </c>
      <c r="CH16" s="1196"/>
      <c r="CI16" s="668">
        <f t="shared" si="32"/>
        <v>2021</v>
      </c>
      <c r="CJ16" s="669">
        <f t="shared" ref="CJ16:CJ25" si="34">CJ4</f>
        <v>2019</v>
      </c>
      <c r="CK16" s="550" t="s">
        <v>357</v>
      </c>
      <c r="CL16" s="656">
        <f ca="1">$B$243</f>
        <v>-26.693000000000005</v>
      </c>
      <c r="CN16" s="1196"/>
      <c r="CO16" s="668">
        <f t="shared" si="33"/>
        <v>2021</v>
      </c>
      <c r="CP16" s="669">
        <f t="shared" ref="CP16:CP23" si="35">CP4</f>
        <v>2020</v>
      </c>
      <c r="CQ16" s="550" t="s">
        <v>357</v>
      </c>
      <c r="CR16" s="656">
        <f ca="1">$B$243</f>
        <v>-26.693000000000005</v>
      </c>
    </row>
    <row r="17" spans="2:96" ht="12" customHeight="1">
      <c r="B17" s="693">
        <v>-40</v>
      </c>
      <c r="C17" s="671"/>
      <c r="D17" s="671">
        <f>U129</f>
        <v>0</v>
      </c>
      <c r="E17" s="652">
        <f t="shared" ref="E17:E25" si="36">IF(OR(C17=0,D17=0),$U$138/3,((MAX(C17:D17)-(MIN(C17:D17)))))</f>
        <v>0.11333333333333334</v>
      </c>
      <c r="F17" s="654">
        <f ca="1">IF($L$4&lt;=$B$6,$B$5,IF($L$4&lt;=$B$8,$B$7,IF($L$4&lt;=$B$10,$B$9,IF($L$4&lt;=$B$12,$B$11,IF($L$4&lt;=$B$13,$B$13)))))</f>
        <v>-30</v>
      </c>
      <c r="G17" s="554"/>
      <c r="H17" s="693">
        <v>-40</v>
      </c>
      <c r="I17" s="671"/>
      <c r="J17" s="671">
        <f>V129</f>
        <v>0</v>
      </c>
      <c r="K17" s="652">
        <f t="shared" ref="K17:K23" si="37">IF(OR(I17=0,J17=0),$V$138/3,((MAX(I17:J17)-(MIN(I17:J17)))))</f>
        <v>0.18666666666666668</v>
      </c>
      <c r="L17" s="654">
        <f ca="1">IF($L$4&lt;=$B$6,$B$5,IF($L$4&lt;=$B$8,$B$7,IF($L$4&lt;=$B$10,$B$9,IF($L$4&lt;=$B$12,$B$11,IF($L$4&lt;=$B$13,$B$13)))))</f>
        <v>-30</v>
      </c>
      <c r="M17" s="554"/>
      <c r="N17" s="693">
        <v>-40</v>
      </c>
      <c r="O17" s="671">
        <v>0</v>
      </c>
      <c r="P17" s="671">
        <f>W129</f>
        <v>0</v>
      </c>
      <c r="Q17" s="652">
        <f t="shared" ref="Q17:Q23" si="38">IF(OR(O17=0,P17=0),$W$138/3,((MAX(O17:P17)-(MIN(O17:P17)))))</f>
        <v>9.3333333333333338E-2</v>
      </c>
      <c r="R17" s="654">
        <f ca="1">IF($L$4&lt;=$B$6,$B$5,IF($L$4&lt;=$B$8,$B$7,IF($L$4&lt;=$B$10,$B$9,IF($L$4&lt;=$B$12,$B$11,IF($L$4&lt;=$B$13,$B$13)))))</f>
        <v>-30</v>
      </c>
      <c r="S17" s="543"/>
      <c r="T17" s="693">
        <v>-40</v>
      </c>
      <c r="U17" s="671"/>
      <c r="V17" s="671">
        <f>X129</f>
        <v>-2.65</v>
      </c>
      <c r="W17" s="652">
        <f t="shared" ref="W17:W23" si="39">IF(OR(U17=0,V17=0),$X$138/3,((MAX(U17:V17)-(MIN(U17:V17)))))</f>
        <v>4.6666666666666669E-2</v>
      </c>
      <c r="X17" s="654">
        <f ca="1">IF($L$4&lt;=$B$6,$B$5,IF($L$4&lt;=$B$8,$B$7,IF($L$4&lt;=$B$10,$B$9,IF($L$4&lt;=$B$12,$B$11,IF($L$4&lt;=$B$13,$B$13)))))</f>
        <v>-30</v>
      </c>
      <c r="Y17" s="543"/>
      <c r="Z17" s="693">
        <v>-40</v>
      </c>
      <c r="AA17" s="671">
        <v>0</v>
      </c>
      <c r="AB17" s="671">
        <f>Y129</f>
        <v>-0.04</v>
      </c>
      <c r="AC17" s="652">
        <f t="shared" ref="AC17:AC25" si="40">IF(OR(AA17=0,AB17=0),$Y$138/3,((MAX(AA17:AB17)-(MIN(AA17:AB17)))))</f>
        <v>0.03</v>
      </c>
      <c r="AD17" s="654">
        <f ca="1">IF($L$4&lt;=$B$6,$B$5,IF($L$4&lt;=$B$8,$B$7,IF($L$4&lt;=$B$10,$B$9,IF($L$4&lt;=$B$12,$B$11,IF($L$4&lt;=$B$13,$B$13)))))</f>
        <v>-30</v>
      </c>
      <c r="AE17" s="543"/>
      <c r="AF17" s="693">
        <v>-40</v>
      </c>
      <c r="AG17" s="671">
        <v>0</v>
      </c>
      <c r="AH17" s="671">
        <f>Z129</f>
        <v>-0.02</v>
      </c>
      <c r="AI17" s="652">
        <f t="shared" ref="AI17:AI25" si="41">IF(OR(AG17=0,AH17=0),$Z$138/3,((MAX(AG17:AH17)-(MIN(AG17:AH17)))))</f>
        <v>3.6666666666666667E-2</v>
      </c>
      <c r="AJ17" s="654">
        <f ca="1">IF($L$4&lt;=$B$6,$B$5,IF($L$4&lt;=$B$8,$B$7,IF($L$4&lt;=$B$10,$B$9,IF($L$4&lt;=$B$12,$B$11,IF($L$4&lt;=$B$13,$B$13)))))</f>
        <v>-30</v>
      </c>
      <c r="AK17" s="543"/>
      <c r="AL17" s="693">
        <v>-40</v>
      </c>
      <c r="AM17" s="671"/>
      <c r="AN17" s="671">
        <f>AA129</f>
        <v>0.38</v>
      </c>
      <c r="AO17" s="652">
        <f t="shared" ref="AO17:AO25" si="42">IF(OR(AM17=0,AN17=0),$AA$138/3,((MAX(AM17:AN17)-(MIN(AM17:AN17)))))</f>
        <v>2.6666666666666668E-2</v>
      </c>
      <c r="AP17" s="654">
        <f ca="1">IF($L$4&lt;=$B$6,$B$5,IF($L$4&lt;=$B$8,$B$7,IF($L$4&lt;=$B$10,$B$9,IF($L$4&lt;=$B$12,$B$11,IF($L$4&lt;=$B$13,$B$13)))))</f>
        <v>-30</v>
      </c>
      <c r="AQ17" s="543"/>
      <c r="AR17" s="693">
        <v>-40</v>
      </c>
      <c r="AS17" s="671"/>
      <c r="AT17" s="671">
        <f>AB129</f>
        <v>0.28999999999999998</v>
      </c>
      <c r="AU17" s="652">
        <f t="shared" ref="AU17:AU25" si="43">IF(OR(AS17=0,AT17=0),$AB$138/3,((MAX(AS17:AT17)-(MIN(AS17:AT17)))))</f>
        <v>0.03</v>
      </c>
      <c r="AV17" s="654">
        <f ca="1">IF($L$4&lt;=$B$6,$B$5,IF($L$4&lt;=$B$8,$B$7,IF($L$4&lt;=$B$10,$B$9,IF($L$4&lt;=$B$12,$B$11,IF($L$4&lt;=$B$13,$B$13)))))</f>
        <v>-30</v>
      </c>
      <c r="AW17" s="543"/>
      <c r="AX17" s="693">
        <v>-40</v>
      </c>
      <c r="AY17" s="671"/>
      <c r="AZ17" s="553">
        <f>AC129</f>
        <v>0</v>
      </c>
      <c r="BA17" s="541">
        <f t="shared" ref="BA17:BA25" si="44">IF(OR(AY17=0,AZ17=0),$AC$138/3,((MAX(AY17:AZ17)-(MIN(AY17:AZ17)))))</f>
        <v>0.26333333333333336</v>
      </c>
      <c r="BB17" s="654">
        <f ca="1">IF($L$4&lt;=$B$6,$B$5,IF($L$4&lt;=$B$8,$B$7,IF($L$4&lt;=$B$10,$B$9,IF($L$4&lt;=$B$12,$B$11,IF($L$4&lt;=$B$13,$B$13)))))</f>
        <v>-30</v>
      </c>
      <c r="BC17" s="543"/>
      <c r="BD17" s="693">
        <v>-40</v>
      </c>
      <c r="BE17" s="671"/>
      <c r="BF17" s="553">
        <f>AD129</f>
        <v>-2.59</v>
      </c>
      <c r="BG17" s="541">
        <f t="shared" ref="BG17:BG25" si="45">IF(OR(BE17=0,BF17=0),$AD$138/3,((MAX(BE17:BF17)-(MIN(BE17:BF17)))))</f>
        <v>0.02</v>
      </c>
      <c r="BH17" s="654">
        <f ca="1">IF($L$4&lt;=$B$6,$B$5,IF($L$4&lt;=$B$8,$B$7,IF($L$4&lt;=$B$10,$B$9,IF($L$4&lt;=$B$12,$B$11,IF($L$4&lt;=$B$13,$B$13)))))</f>
        <v>-30</v>
      </c>
      <c r="BI17" s="543"/>
      <c r="BJ17" s="693">
        <v>-40</v>
      </c>
      <c r="BK17" s="671"/>
      <c r="BL17" s="553">
        <f>AE129</f>
        <v>0</v>
      </c>
      <c r="BM17" s="541">
        <f t="shared" ref="BM17:BM25" si="46">IF(OR(BK17=0,BL17=0),$AE$138/3,((MAX(BK17:BL17)-(MIN(BK17:BL17)))))</f>
        <v>0.26333333333333336</v>
      </c>
      <c r="BN17" s="654">
        <f ca="1">IF($L$4&lt;=$B$6,$B$5,IF($L$4&lt;=$B$8,$B$7,IF($L$4&lt;=$B$10,$B$9,IF($L$4&lt;=$B$12,$B$11,IF($L$4&lt;=$B$13,$B$13)))))</f>
        <v>-30</v>
      </c>
      <c r="BO17" s="543"/>
      <c r="BP17" s="693">
        <v>-40</v>
      </c>
      <c r="BQ17" s="671"/>
      <c r="BR17" s="671">
        <f>AF129</f>
        <v>-2.33</v>
      </c>
      <c r="BS17" s="541">
        <f t="shared" ref="BS17:BS25" si="47">IF(OR(BQ17=0,BR17=0),$AF$138/3,((MAX(BQ17:BR17)-(MIN(BQ17:BR17)))))</f>
        <v>2.6666666666666668E-2</v>
      </c>
      <c r="BT17" s="654">
        <f ca="1">IF($L$4&lt;=$B$6,$B$5,IF($L$4&lt;=$B$8,$B$7,IF($L$4&lt;=$B$10,$B$9,IF($L$4&lt;=$B$12,$B$11,IF($L$4&lt;=$B$13,$B$13)))))</f>
        <v>-30</v>
      </c>
      <c r="BU17" s="543"/>
      <c r="BV17" s="693">
        <v>-40</v>
      </c>
      <c r="BW17" s="671"/>
      <c r="BX17" s="671">
        <f>AG129</f>
        <v>-2.75</v>
      </c>
      <c r="BY17" s="541">
        <f t="shared" ref="BY17:BY25" si="48">IF(OR(BW17=0,BX17=0),$AG$138/3,((MAX(BW17:BX17)-(MIN(BW17:BX17)))))</f>
        <v>3.3333333333333333E-2</v>
      </c>
      <c r="BZ17" s="654">
        <f ca="1">IF($L$4&lt;=$B$6,$B$5,IF($L$4&lt;=$B$8,$B$7,IF($L$4&lt;=$B$10,$B$9,IF($L$4&lt;=$B$12,$B$11,IF($L$4&lt;=$B$13,$B$13)))))</f>
        <v>-30</v>
      </c>
      <c r="CA17" s="543"/>
      <c r="CB17" s="693">
        <v>-40</v>
      </c>
      <c r="CC17" s="671">
        <f>CC5</f>
        <v>-1.7</v>
      </c>
      <c r="CD17" s="671"/>
      <c r="CE17" s="541">
        <f t="shared" ref="CE17:CE25" si="49">CE5</f>
        <v>6.6666666666666666E-2</v>
      </c>
      <c r="CF17" s="654">
        <f ca="1">IF($L$4&lt;=$B$6,$B$5,IF($L$4&lt;=$B$8,$B$7,IF($L$4&lt;=$B$10,$B$9,IF($L$4&lt;=$B$12,$B$11,IF($L$4&lt;=$B$13,$B$13)))))</f>
        <v>-30</v>
      </c>
      <c r="CH17" s="693">
        <v>-40</v>
      </c>
      <c r="CI17" s="671">
        <f t="shared" si="32"/>
        <v>0</v>
      </c>
      <c r="CJ17" s="709">
        <f t="shared" si="34"/>
        <v>0</v>
      </c>
      <c r="CK17" s="541">
        <f t="shared" ref="CK17:CK25" si="50">CK5</f>
        <v>7.3333333333333334E-2</v>
      </c>
      <c r="CL17" s="654">
        <f ca="1">IF($L$4&lt;=$B$6,$B$5,IF($L$4&lt;=$B$8,$B$7,IF($L$4&lt;=$B$10,$B$9,IF($L$4&lt;=$B$12,$B$11,IF($L$4&lt;=$B$13,$B$13)))))</f>
        <v>-30</v>
      </c>
      <c r="CN17" s="693">
        <v>-40</v>
      </c>
      <c r="CO17" s="671">
        <f t="shared" si="33"/>
        <v>0</v>
      </c>
      <c r="CP17" s="671">
        <f t="shared" si="35"/>
        <v>0</v>
      </c>
      <c r="CQ17" s="541">
        <f t="shared" ref="CQ17:CQ23" si="51">CQ5</f>
        <v>0.25666666666666665</v>
      </c>
      <c r="CR17" s="654">
        <f ca="1">IF($L$4&lt;=$B$6,$B$5,IF($L$4&lt;=$B$8,$B$7,IF($L$4&lt;=$B$10,$B$9,IF($L$4&lt;=$B$12,$B$11,IF($L$4&lt;=$B$13,$B$13)))))</f>
        <v>-30</v>
      </c>
    </row>
    <row r="18" spans="2:96" ht="12" customHeight="1">
      <c r="B18" s="693">
        <v>-35</v>
      </c>
      <c r="C18" s="671"/>
      <c r="D18" s="671">
        <f t="shared" ref="D18:D22" si="52">U130</f>
        <v>0</v>
      </c>
      <c r="E18" s="652">
        <f t="shared" si="36"/>
        <v>0.11333333333333334</v>
      </c>
      <c r="F18" s="651"/>
      <c r="G18" s="554"/>
      <c r="H18" s="693">
        <v>-35</v>
      </c>
      <c r="I18" s="671"/>
      <c r="J18" s="671">
        <f t="shared" ref="J18:J22" si="53">V130</f>
        <v>0</v>
      </c>
      <c r="K18" s="652">
        <f t="shared" si="37"/>
        <v>0.18666666666666668</v>
      </c>
      <c r="L18" s="651"/>
      <c r="M18" s="554"/>
      <c r="N18" s="693">
        <v>-35</v>
      </c>
      <c r="O18" s="671">
        <v>0</v>
      </c>
      <c r="P18" s="671">
        <f t="shared" ref="P18:P25" si="54">W130</f>
        <v>0</v>
      </c>
      <c r="Q18" s="652">
        <f t="shared" si="38"/>
        <v>9.3333333333333338E-2</v>
      </c>
      <c r="R18" s="651"/>
      <c r="S18" s="543"/>
      <c r="T18" s="693">
        <v>-35</v>
      </c>
      <c r="U18" s="671"/>
      <c r="V18" s="671">
        <f t="shared" ref="V18:V22" si="55">X130</f>
        <v>0</v>
      </c>
      <c r="W18" s="652">
        <f t="shared" si="39"/>
        <v>4.6666666666666669E-2</v>
      </c>
      <c r="X18" s="651"/>
      <c r="Y18" s="543"/>
      <c r="Z18" s="693">
        <v>-35</v>
      </c>
      <c r="AA18" s="671">
        <v>0</v>
      </c>
      <c r="AB18" s="671">
        <f t="shared" ref="AB18:AB22" si="56">Y130</f>
        <v>-7.0000000000000007E-2</v>
      </c>
      <c r="AC18" s="652">
        <f t="shared" si="40"/>
        <v>0.03</v>
      </c>
      <c r="AD18" s="651"/>
      <c r="AE18" s="543"/>
      <c r="AF18" s="693">
        <v>-35</v>
      </c>
      <c r="AG18" s="671">
        <v>0</v>
      </c>
      <c r="AH18" s="671">
        <f t="shared" ref="AH18:AH22" si="57">Z130</f>
        <v>-0.04</v>
      </c>
      <c r="AI18" s="652">
        <f t="shared" si="41"/>
        <v>3.6666666666666667E-2</v>
      </c>
      <c r="AJ18" s="651"/>
      <c r="AK18" s="543"/>
      <c r="AL18" s="693">
        <v>-35</v>
      </c>
      <c r="AM18" s="671"/>
      <c r="AN18" s="671">
        <f t="shared" ref="AN18:AN22" si="58">AA130</f>
        <v>0.37</v>
      </c>
      <c r="AO18" s="652">
        <f t="shared" si="42"/>
        <v>2.6666666666666668E-2</v>
      </c>
      <c r="AP18" s="651"/>
      <c r="AQ18" s="543"/>
      <c r="AR18" s="693">
        <v>-35</v>
      </c>
      <c r="AS18" s="671"/>
      <c r="AT18" s="671">
        <f t="shared" ref="AT18:AT22" si="59">AB130</f>
        <v>0.26</v>
      </c>
      <c r="AU18" s="652">
        <f t="shared" si="43"/>
        <v>0.03</v>
      </c>
      <c r="AV18" s="651"/>
      <c r="AW18" s="543"/>
      <c r="AX18" s="693">
        <v>-35</v>
      </c>
      <c r="AY18" s="671"/>
      <c r="AZ18" s="553">
        <f t="shared" ref="AZ18:AZ22" si="60">AC130</f>
        <v>0</v>
      </c>
      <c r="BA18" s="541">
        <f t="shared" si="44"/>
        <v>0.26333333333333336</v>
      </c>
      <c r="BB18" s="651"/>
      <c r="BC18" s="543"/>
      <c r="BD18" s="693">
        <v>-35</v>
      </c>
      <c r="BE18" s="671"/>
      <c r="BF18" s="553">
        <f t="shared" ref="BF18:BF22" si="61">AD130</f>
        <v>0</v>
      </c>
      <c r="BG18" s="541">
        <f t="shared" si="45"/>
        <v>0.02</v>
      </c>
      <c r="BH18" s="651"/>
      <c r="BI18" s="543"/>
      <c r="BJ18" s="693">
        <v>-35</v>
      </c>
      <c r="BK18" s="671"/>
      <c r="BL18" s="553">
        <f t="shared" ref="BL18:BL22" si="62">AE130</f>
        <v>0</v>
      </c>
      <c r="BM18" s="541">
        <f t="shared" si="46"/>
        <v>0.26333333333333336</v>
      </c>
      <c r="BN18" s="651"/>
      <c r="BO18" s="543"/>
      <c r="BP18" s="693">
        <v>-35</v>
      </c>
      <c r="BQ18" s="671"/>
      <c r="BR18" s="671">
        <f t="shared" ref="BR18:BR22" si="63">AF130</f>
        <v>0</v>
      </c>
      <c r="BS18" s="541">
        <f t="shared" si="47"/>
        <v>2.6666666666666668E-2</v>
      </c>
      <c r="BT18" s="651"/>
      <c r="BU18" s="543"/>
      <c r="BV18" s="693">
        <v>-35</v>
      </c>
      <c r="BW18" s="671"/>
      <c r="BX18" s="671">
        <f t="shared" ref="BX18:BX22" si="64">AG130</f>
        <v>0</v>
      </c>
      <c r="BY18" s="541">
        <f t="shared" si="48"/>
        <v>3.3333333333333333E-2</v>
      </c>
      <c r="BZ18" s="651"/>
      <c r="CA18" s="543"/>
      <c r="CB18" s="693">
        <v>-35</v>
      </c>
      <c r="CC18" s="671">
        <f t="shared" ref="CC18:CC25" si="65">CC6</f>
        <v>-1.4</v>
      </c>
      <c r="CD18" s="671"/>
      <c r="CE18" s="541">
        <f t="shared" si="49"/>
        <v>6.6666666666666666E-2</v>
      </c>
      <c r="CF18" s="651"/>
      <c r="CH18" s="693">
        <v>-35</v>
      </c>
      <c r="CI18" s="671">
        <f t="shared" si="32"/>
        <v>0</v>
      </c>
      <c r="CJ18" s="709">
        <f t="shared" si="34"/>
        <v>0</v>
      </c>
      <c r="CK18" s="541">
        <f t="shared" si="50"/>
        <v>7.3333333333333334E-2</v>
      </c>
      <c r="CL18" s="651"/>
      <c r="CN18" s="693">
        <v>-35</v>
      </c>
      <c r="CO18" s="671">
        <f t="shared" si="33"/>
        <v>0</v>
      </c>
      <c r="CP18" s="671">
        <f t="shared" si="35"/>
        <v>0</v>
      </c>
      <c r="CQ18" s="541">
        <f t="shared" si="51"/>
        <v>0.25666666666666665</v>
      </c>
      <c r="CR18" s="651"/>
    </row>
    <row r="19" spans="2:96" ht="12" customHeight="1">
      <c r="B19" s="693">
        <v>-30</v>
      </c>
      <c r="C19" s="671"/>
      <c r="D19" s="671">
        <f t="shared" si="52"/>
        <v>0</v>
      </c>
      <c r="E19" s="652">
        <f t="shared" si="36"/>
        <v>0.11333333333333334</v>
      </c>
      <c r="F19" s="654">
        <f ca="1">IF($L$4&lt;=$B$5,$B$5,IF($L$4&lt;=$B$6,$B$6,IF($L$4&lt;=$B$7,$B$7,IF($L$4&lt;=$B$8,$B$8,IF($L$4&lt;=$B$9,$B$9,IF($L$4&lt;=$B$10,$B$10,IF($L$4&lt;=$B$11,$B$11)))))))</f>
        <v>-25</v>
      </c>
      <c r="G19" s="554"/>
      <c r="H19" s="693">
        <v>-30</v>
      </c>
      <c r="I19" s="671"/>
      <c r="J19" s="671">
        <f t="shared" si="53"/>
        <v>0</v>
      </c>
      <c r="K19" s="652">
        <f t="shared" si="37"/>
        <v>0.18666666666666668</v>
      </c>
      <c r="L19" s="654">
        <f ca="1">IF($L$4&lt;=$B$5,$B$5,IF($L$4&lt;=$B$6,$B$6,IF($L$4&lt;=$B$7,$B$7,IF($L$4&lt;=$B$8,$B$8,IF($L$4&lt;=$B$9,$B$9,IF($L$4&lt;=$B$10,$B$10,IF($L$4&lt;=$B$11,$B$11)))))))</f>
        <v>-25</v>
      </c>
      <c r="M19" s="554"/>
      <c r="N19" s="693">
        <v>-30</v>
      </c>
      <c r="O19" s="671">
        <v>0</v>
      </c>
      <c r="P19" s="671">
        <f t="shared" si="54"/>
        <v>0</v>
      </c>
      <c r="Q19" s="652">
        <f t="shared" si="38"/>
        <v>9.3333333333333338E-2</v>
      </c>
      <c r="R19" s="654">
        <f ca="1">IF($L$4&lt;=$B$5,$B$5,IF($L$4&lt;=$B$6,$B$6,IF($L$4&lt;=$B$7,$B$7,IF($L$4&lt;=$B$8,$B$8,IF($L$4&lt;=$B$9,$B$9,IF($L$4&lt;=$B$10,$B$10,IF($L$4&lt;=$B$11,$B$11)))))))</f>
        <v>-25</v>
      </c>
      <c r="S19" s="557"/>
      <c r="T19" s="693">
        <v>-30</v>
      </c>
      <c r="U19" s="671"/>
      <c r="V19" s="671">
        <f t="shared" si="55"/>
        <v>0</v>
      </c>
      <c r="W19" s="652">
        <f t="shared" si="39"/>
        <v>4.6666666666666669E-2</v>
      </c>
      <c r="X19" s="654">
        <f ca="1">IF($L$4&lt;=$B$5,$B$5,IF($L$4&lt;=$B$6,$B$6,IF($L$4&lt;=$B$7,$B$7,IF($L$4&lt;=$B$8,$B$8,IF($L$4&lt;=$B$9,$B$9,IF($L$4&lt;=$B$10,$B$10,IF($L$4&lt;=$B$11,$B$11)))))))</f>
        <v>-25</v>
      </c>
      <c r="Y19" s="557"/>
      <c r="Z19" s="693">
        <v>-30</v>
      </c>
      <c r="AA19" s="671">
        <v>0</v>
      </c>
      <c r="AB19" s="671">
        <f t="shared" si="56"/>
        <v>-0.06</v>
      </c>
      <c r="AC19" s="652">
        <f t="shared" si="40"/>
        <v>0.03</v>
      </c>
      <c r="AD19" s="654">
        <f ca="1">IF($L$4&lt;=$B$5,$B$5,IF($L$4&lt;=$B$6,$B$6,IF($L$4&lt;=$B$7,$B$7,IF($L$4&lt;=$B$8,$B$8,IF($L$4&lt;=$B$9,$B$9,IF($L$4&lt;=$B$10,$B$10,IF($L$4&lt;=$B$11,$B$11)))))))</f>
        <v>-25</v>
      </c>
      <c r="AE19" s="557"/>
      <c r="AF19" s="693">
        <v>-30</v>
      </c>
      <c r="AG19" s="671">
        <v>0</v>
      </c>
      <c r="AH19" s="671">
        <f t="shared" si="57"/>
        <v>-0.04</v>
      </c>
      <c r="AI19" s="652">
        <f t="shared" si="41"/>
        <v>3.6666666666666667E-2</v>
      </c>
      <c r="AJ19" s="654">
        <f ca="1">IF($L$4&lt;=$B$5,$B$5,IF($L$4&lt;=$B$6,$B$6,IF($L$4&lt;=$B$7,$B$7,IF($L$4&lt;=$B$8,$B$8,IF($L$4&lt;=$B$9,$B$9,IF($L$4&lt;=$B$10,$B$10,IF($L$4&lt;=$B$11,$B$11)))))))</f>
        <v>-25</v>
      </c>
      <c r="AK19" s="557"/>
      <c r="AL19" s="693">
        <v>-30</v>
      </c>
      <c r="AM19" s="671"/>
      <c r="AN19" s="671">
        <f t="shared" si="58"/>
        <v>0.38</v>
      </c>
      <c r="AO19" s="652">
        <f t="shared" si="42"/>
        <v>2.6666666666666668E-2</v>
      </c>
      <c r="AP19" s="654">
        <f ca="1">IF($L$4&lt;=$B$5,$B$5,IF($L$4&lt;=$B$6,$B$6,IF($L$4&lt;=$B$7,$B$7,IF($L$4&lt;=$B$8,$B$8,IF($L$4&lt;=$B$9,$B$9,IF($L$4&lt;=$B$10,$B$10,IF($L$4&lt;=$B$11,$B$11)))))))</f>
        <v>-25</v>
      </c>
      <c r="AQ19" s="543"/>
      <c r="AR19" s="693">
        <v>-30</v>
      </c>
      <c r="AS19" s="671"/>
      <c r="AT19" s="671">
        <f t="shared" si="59"/>
        <v>0.26</v>
      </c>
      <c r="AU19" s="652">
        <f t="shared" si="43"/>
        <v>0.03</v>
      </c>
      <c r="AV19" s="654">
        <f ca="1">IF($L$4&lt;=$B$5,$B$5,IF($L$4&lt;=$B$6,$B$6,IF($L$4&lt;=$B$7,$B$7,IF($L$4&lt;=$B$8,$B$8,IF($L$4&lt;=$B$9,$B$9,IF($L$4&lt;=$B$10,$B$10,IF($L$4&lt;=$B$11,$B$11)))))))</f>
        <v>-25</v>
      </c>
      <c r="AW19" s="543"/>
      <c r="AX19" s="693">
        <v>-30</v>
      </c>
      <c r="AY19" s="671"/>
      <c r="AZ19" s="553">
        <f t="shared" si="60"/>
        <v>0</v>
      </c>
      <c r="BA19" s="541">
        <f t="shared" si="44"/>
        <v>0.26333333333333336</v>
      </c>
      <c r="BB19" s="654">
        <f ca="1">IF($L$4&lt;=$B$5,$B$5,IF($L$4&lt;=$B$6,$B$6,IF($L$4&lt;=$B$7,$B$7,IF($L$4&lt;=$B$8,$B$8,IF($L$4&lt;=$B$9,$B$9,IF($L$4&lt;=$B$10,$B$10,IF($L$4&lt;=$B$11,$B$11)))))))</f>
        <v>-25</v>
      </c>
      <c r="BC19" s="543"/>
      <c r="BD19" s="693">
        <v>-30</v>
      </c>
      <c r="BE19" s="671"/>
      <c r="BF19" s="553">
        <f t="shared" si="61"/>
        <v>0</v>
      </c>
      <c r="BG19" s="541">
        <f t="shared" si="45"/>
        <v>0.02</v>
      </c>
      <c r="BH19" s="654">
        <f ca="1">IF($L$4&lt;=$B$5,$B$5,IF($L$4&lt;=$B$6,$B$6,IF($L$4&lt;=$B$7,$B$7,IF($L$4&lt;=$B$8,$B$8,IF($L$4&lt;=$B$9,$B$9,IF($L$4&lt;=$B$10,$B$10,IF($L$4&lt;=$B$11,$B$11)))))))</f>
        <v>-25</v>
      </c>
      <c r="BI19" s="543"/>
      <c r="BJ19" s="693">
        <v>-30</v>
      </c>
      <c r="BK19" s="671"/>
      <c r="BL19" s="553">
        <f t="shared" si="62"/>
        <v>0</v>
      </c>
      <c r="BM19" s="541">
        <f t="shared" si="46"/>
        <v>0.26333333333333336</v>
      </c>
      <c r="BN19" s="654">
        <f ca="1">IF($L$4&lt;=$B$5,$B$5,IF($L$4&lt;=$B$6,$B$6,IF($L$4&lt;=$B$7,$B$7,IF($L$4&lt;=$B$8,$B$8,IF($L$4&lt;=$B$9,$B$9,IF($L$4&lt;=$B$10,$B$10,IF($L$4&lt;=$B$11,$B$11)))))))</f>
        <v>-25</v>
      </c>
      <c r="BO19" s="543"/>
      <c r="BP19" s="693">
        <v>-30</v>
      </c>
      <c r="BQ19" s="671"/>
      <c r="BR19" s="671">
        <f t="shared" si="63"/>
        <v>0</v>
      </c>
      <c r="BS19" s="541">
        <f t="shared" si="47"/>
        <v>2.6666666666666668E-2</v>
      </c>
      <c r="BT19" s="654">
        <f ca="1">IF($L$4&lt;=$B$5,$B$5,IF($L$4&lt;=$B$6,$B$6,IF($L$4&lt;=$B$7,$B$7,IF($L$4&lt;=$B$8,$B$8,IF($L$4&lt;=$B$9,$B$9,IF($L$4&lt;=$B$10,$B$10,IF($L$4&lt;=$B$11,$B$11)))))))</f>
        <v>-25</v>
      </c>
      <c r="BU19" s="543"/>
      <c r="BV19" s="693">
        <v>-30</v>
      </c>
      <c r="BW19" s="671"/>
      <c r="BX19" s="671">
        <f t="shared" si="64"/>
        <v>0</v>
      </c>
      <c r="BY19" s="541">
        <f t="shared" si="48"/>
        <v>3.3333333333333333E-2</v>
      </c>
      <c r="BZ19" s="654">
        <f ca="1">IF($L$4&lt;=$B$5,$B$5,IF($L$4&lt;=$B$6,$B$6,IF($L$4&lt;=$B$7,$B$7,IF($L$4&lt;=$B$8,$B$8,IF($L$4&lt;=$B$9,$B$9,IF($L$4&lt;=$B$10,$B$10,IF($L$4&lt;=$B$11,$B$11)))))))</f>
        <v>-25</v>
      </c>
      <c r="CA19" s="543"/>
      <c r="CB19" s="693">
        <v>-30</v>
      </c>
      <c r="CC19" s="671">
        <f t="shared" si="65"/>
        <v>-1.2</v>
      </c>
      <c r="CD19" s="671"/>
      <c r="CE19" s="541">
        <f t="shared" si="49"/>
        <v>6.6666666666666666E-2</v>
      </c>
      <c r="CF19" s="654">
        <f ca="1">IF($L$4&lt;=$B$5,$B$5,IF($L$4&lt;=$B$6,$B$6,IF($L$4&lt;=$B$7,$B$7,IF($L$4&lt;=$B$8,$B$8,IF($L$4&lt;=$B$9,$B$9,IF($L$4&lt;=$B$10,$B$10,IF($L$4&lt;=$B$11,$B$11)))))))</f>
        <v>-25</v>
      </c>
      <c r="CH19" s="693">
        <v>-30</v>
      </c>
      <c r="CI19" s="671">
        <f t="shared" si="32"/>
        <v>0</v>
      </c>
      <c r="CJ19" s="709">
        <f t="shared" si="34"/>
        <v>0</v>
      </c>
      <c r="CK19" s="541">
        <f t="shared" si="50"/>
        <v>7.3333333333333334E-2</v>
      </c>
      <c r="CL19" s="654">
        <f ca="1">IF($L$4&lt;=$B$5,$B$5,IF($L$4&lt;=$B$6,$B$6,IF($L$4&lt;=$B$7,$B$7,IF($L$4&lt;=$B$8,$B$8,IF($L$4&lt;=$B$9,$B$9,IF($L$4&lt;=$B$10,$B$10,IF($L$4&lt;=$B$11,$B$11)))))))</f>
        <v>-25</v>
      </c>
      <c r="CN19" s="693">
        <v>-30</v>
      </c>
      <c r="CO19" s="671">
        <f t="shared" si="33"/>
        <v>0</v>
      </c>
      <c r="CP19" s="671">
        <f t="shared" si="35"/>
        <v>0</v>
      </c>
      <c r="CQ19" s="541">
        <f t="shared" si="51"/>
        <v>0.25666666666666665</v>
      </c>
      <c r="CR19" s="654">
        <f ca="1">IF($L$4&lt;=$B$5,$B$5,IF($L$4&lt;=$B$6,$B$6,IF($L$4&lt;=$B$7,$B$7,IF($L$4&lt;=$B$8,$B$8,IF($L$4&lt;=$B$9,$B$9,IF($L$4&lt;=$B$10,$B$10,IF($L$4&lt;=$B$11,$B$11)))))))</f>
        <v>-25</v>
      </c>
    </row>
    <row r="20" spans="2:96" ht="13">
      <c r="B20" s="693">
        <v>-25</v>
      </c>
      <c r="C20" s="671"/>
      <c r="D20" s="671">
        <f t="shared" si="52"/>
        <v>0</v>
      </c>
      <c r="E20" s="652">
        <f t="shared" si="36"/>
        <v>0.11333333333333334</v>
      </c>
      <c r="F20" s="651"/>
      <c r="G20" s="554"/>
      <c r="H20" s="693">
        <v>-25</v>
      </c>
      <c r="I20" s="671"/>
      <c r="J20" s="671">
        <f t="shared" si="53"/>
        <v>0</v>
      </c>
      <c r="K20" s="652">
        <f t="shared" si="37"/>
        <v>0.18666666666666668</v>
      </c>
      <c r="L20" s="651"/>
      <c r="M20" s="554"/>
      <c r="N20" s="693">
        <v>-25</v>
      </c>
      <c r="O20" s="671">
        <v>-0.53</v>
      </c>
      <c r="P20" s="671">
        <f t="shared" si="54"/>
        <v>0</v>
      </c>
      <c r="Q20" s="652">
        <f t="shared" si="38"/>
        <v>9.3333333333333338E-2</v>
      </c>
      <c r="R20" s="651"/>
      <c r="S20" s="555"/>
      <c r="T20" s="693">
        <v>-25</v>
      </c>
      <c r="U20" s="671"/>
      <c r="V20" s="671">
        <f t="shared" si="55"/>
        <v>-1.67</v>
      </c>
      <c r="W20" s="652">
        <f t="shared" si="39"/>
        <v>4.6666666666666669E-2</v>
      </c>
      <c r="X20" s="651"/>
      <c r="Y20" s="555"/>
      <c r="Z20" s="693">
        <v>-25</v>
      </c>
      <c r="AA20" s="671">
        <v>0</v>
      </c>
      <c r="AB20" s="671">
        <f t="shared" si="56"/>
        <v>-0.03</v>
      </c>
      <c r="AC20" s="652">
        <f t="shared" si="40"/>
        <v>0.03</v>
      </c>
      <c r="AD20" s="651"/>
      <c r="AE20" s="555"/>
      <c r="AF20" s="693">
        <v>-25</v>
      </c>
      <c r="AG20" s="671">
        <v>0</v>
      </c>
      <c r="AH20" s="671">
        <f t="shared" si="57"/>
        <v>-0.01</v>
      </c>
      <c r="AI20" s="652">
        <f t="shared" si="41"/>
        <v>3.6666666666666667E-2</v>
      </c>
      <c r="AJ20" s="651"/>
      <c r="AK20" s="555"/>
      <c r="AL20" s="693">
        <v>-25</v>
      </c>
      <c r="AM20" s="671"/>
      <c r="AN20" s="671">
        <f t="shared" si="58"/>
        <v>0.4</v>
      </c>
      <c r="AO20" s="652">
        <f t="shared" si="42"/>
        <v>2.6666666666666668E-2</v>
      </c>
      <c r="AP20" s="651"/>
      <c r="AQ20" s="543"/>
      <c r="AR20" s="693">
        <v>-25</v>
      </c>
      <c r="AS20" s="671"/>
      <c r="AT20" s="671">
        <f t="shared" si="59"/>
        <v>0.28000000000000003</v>
      </c>
      <c r="AU20" s="652">
        <f t="shared" si="43"/>
        <v>0.03</v>
      </c>
      <c r="AV20" s="651"/>
      <c r="AW20" s="543"/>
      <c r="AX20" s="693">
        <v>-25</v>
      </c>
      <c r="AY20" s="671"/>
      <c r="AZ20" s="553">
        <f t="shared" si="60"/>
        <v>0</v>
      </c>
      <c r="BA20" s="541">
        <f t="shared" si="44"/>
        <v>0.26333333333333336</v>
      </c>
      <c r="BB20" s="651"/>
      <c r="BC20" s="543"/>
      <c r="BD20" s="693">
        <v>-25</v>
      </c>
      <c r="BE20" s="671"/>
      <c r="BF20" s="553">
        <f t="shared" si="61"/>
        <v>-1.28</v>
      </c>
      <c r="BG20" s="541">
        <f t="shared" si="45"/>
        <v>0.02</v>
      </c>
      <c r="BH20" s="651"/>
      <c r="BI20" s="543"/>
      <c r="BJ20" s="693">
        <v>-25</v>
      </c>
      <c r="BK20" s="671"/>
      <c r="BL20" s="553">
        <f t="shared" si="62"/>
        <v>0</v>
      </c>
      <c r="BM20" s="541">
        <f t="shared" si="46"/>
        <v>0.26333333333333336</v>
      </c>
      <c r="BN20" s="651"/>
      <c r="BO20" s="543"/>
      <c r="BP20" s="693">
        <v>-25</v>
      </c>
      <c r="BQ20" s="671"/>
      <c r="BR20" s="671">
        <f t="shared" si="63"/>
        <v>-1.55</v>
      </c>
      <c r="BS20" s="541">
        <f t="shared" si="47"/>
        <v>2.6666666666666668E-2</v>
      </c>
      <c r="BT20" s="651"/>
      <c r="BU20" s="543"/>
      <c r="BV20" s="693">
        <v>-25</v>
      </c>
      <c r="BW20" s="671"/>
      <c r="BX20" s="671">
        <f t="shared" si="64"/>
        <v>-1.74</v>
      </c>
      <c r="BY20" s="541">
        <f t="shared" si="48"/>
        <v>3.3333333333333333E-2</v>
      </c>
      <c r="BZ20" s="651"/>
      <c r="CA20" s="543"/>
      <c r="CB20" s="693">
        <v>-25</v>
      </c>
      <c r="CC20" s="671">
        <f t="shared" si="65"/>
        <v>-1.1000000000000001</v>
      </c>
      <c r="CD20" s="671"/>
      <c r="CE20" s="541">
        <f t="shared" si="49"/>
        <v>6.6666666666666666E-2</v>
      </c>
      <c r="CF20" s="651"/>
      <c r="CH20" s="693">
        <v>-25</v>
      </c>
      <c r="CI20" s="671">
        <f t="shared" si="32"/>
        <v>0</v>
      </c>
      <c r="CJ20" s="709">
        <f t="shared" si="34"/>
        <v>-1.9E-2</v>
      </c>
      <c r="CK20" s="541">
        <f t="shared" si="50"/>
        <v>7.3333333333333334E-2</v>
      </c>
      <c r="CL20" s="651"/>
      <c r="CN20" s="693">
        <v>-25</v>
      </c>
      <c r="CO20" s="671">
        <f t="shared" si="33"/>
        <v>0</v>
      </c>
      <c r="CP20" s="671">
        <f t="shared" si="35"/>
        <v>0</v>
      </c>
      <c r="CQ20" s="541">
        <f t="shared" si="51"/>
        <v>0.25666666666666665</v>
      </c>
      <c r="CR20" s="651"/>
    </row>
    <row r="21" spans="2:96" ht="13">
      <c r="B21" s="693">
        <v>-20</v>
      </c>
      <c r="C21" s="671">
        <v>-0.48</v>
      </c>
      <c r="D21" s="671">
        <f t="shared" si="52"/>
        <v>-0.67</v>
      </c>
      <c r="E21" s="652">
        <f t="shared" si="36"/>
        <v>0.19000000000000006</v>
      </c>
      <c r="F21" s="655">
        <f ca="1">VLOOKUP(F17,B17:E22,4)</f>
        <v>0.11333333333333334</v>
      </c>
      <c r="G21" s="554"/>
      <c r="H21" s="693">
        <v>-20</v>
      </c>
      <c r="I21" s="671">
        <v>-0.69</v>
      </c>
      <c r="J21" s="671">
        <f t="shared" si="53"/>
        <v>-0.59</v>
      </c>
      <c r="K21" s="652">
        <f t="shared" si="37"/>
        <v>9.9999999999999978E-2</v>
      </c>
      <c r="L21" s="655">
        <f ca="1">VLOOKUP(L17,H17:K22,4)</f>
        <v>0.18666666666666668</v>
      </c>
      <c r="M21" s="554"/>
      <c r="N21" s="693">
        <v>-20</v>
      </c>
      <c r="O21" s="671">
        <v>0</v>
      </c>
      <c r="P21" s="671">
        <f t="shared" si="54"/>
        <v>-0.5</v>
      </c>
      <c r="Q21" s="652">
        <f t="shared" si="38"/>
        <v>9.3333333333333338E-2</v>
      </c>
      <c r="R21" s="655">
        <f ca="1">VLOOKUP(R17,N17:Q22,4)</f>
        <v>9.3333333333333338E-2</v>
      </c>
      <c r="S21" s="557"/>
      <c r="T21" s="693">
        <v>-20</v>
      </c>
      <c r="U21" s="671"/>
      <c r="V21" s="671">
        <f t="shared" si="55"/>
        <v>-1.45</v>
      </c>
      <c r="W21" s="652">
        <f t="shared" si="39"/>
        <v>4.6666666666666669E-2</v>
      </c>
      <c r="X21" s="655">
        <f ca="1">VLOOKUP(X17,T17:W22,4)</f>
        <v>4.6666666666666669E-2</v>
      </c>
      <c r="Y21" s="557"/>
      <c r="Z21" s="693">
        <v>-20</v>
      </c>
      <c r="AA21" s="671">
        <v>-0.54</v>
      </c>
      <c r="AB21" s="671">
        <f t="shared" si="56"/>
        <v>0.01</v>
      </c>
      <c r="AC21" s="652">
        <f t="shared" si="40"/>
        <v>0.55000000000000004</v>
      </c>
      <c r="AD21" s="655">
        <f ca="1">VLOOKUP(AD17,Z17:AC22,4)</f>
        <v>0.03</v>
      </c>
      <c r="AE21" s="557"/>
      <c r="AF21" s="693">
        <v>-20</v>
      </c>
      <c r="AG21" s="671">
        <v>-0.14000000000000001</v>
      </c>
      <c r="AH21" s="671">
        <f t="shared" si="57"/>
        <v>0.02</v>
      </c>
      <c r="AI21" s="652">
        <f t="shared" si="41"/>
        <v>0.16</v>
      </c>
      <c r="AJ21" s="655">
        <f ca="1">VLOOKUP(AJ17,AF17:AI22,4)</f>
        <v>3.6666666666666667E-2</v>
      </c>
      <c r="AK21" s="557"/>
      <c r="AL21" s="693">
        <v>-20</v>
      </c>
      <c r="AM21" s="671"/>
      <c r="AN21" s="671">
        <f t="shared" si="58"/>
        <v>0.42</v>
      </c>
      <c r="AO21" s="652">
        <f t="shared" si="42"/>
        <v>2.6666666666666668E-2</v>
      </c>
      <c r="AP21" s="655">
        <f ca="1">VLOOKUP(AP17,AL17:AO22,4)</f>
        <v>2.6666666666666668E-2</v>
      </c>
      <c r="AQ21" s="543"/>
      <c r="AR21" s="693">
        <v>-20</v>
      </c>
      <c r="AS21" s="671"/>
      <c r="AT21" s="671">
        <f t="shared" si="59"/>
        <v>0.3</v>
      </c>
      <c r="AU21" s="652">
        <f t="shared" si="43"/>
        <v>0.03</v>
      </c>
      <c r="AV21" s="655">
        <f ca="1">VLOOKUP(AV17,AR17:AU22,4)</f>
        <v>0.03</v>
      </c>
      <c r="AW21" s="543"/>
      <c r="AX21" s="693">
        <v>-20</v>
      </c>
      <c r="AY21" s="671"/>
      <c r="AZ21" s="553">
        <f t="shared" si="60"/>
        <v>0.62</v>
      </c>
      <c r="BA21" s="541">
        <f t="shared" si="44"/>
        <v>0.26333333333333336</v>
      </c>
      <c r="BB21" s="655">
        <f ca="1">VLOOKUP(BB17,AX17:BA22,4)</f>
        <v>0.26333333333333336</v>
      </c>
      <c r="BC21" s="543"/>
      <c r="BD21" s="693">
        <v>-20</v>
      </c>
      <c r="BE21" s="671"/>
      <c r="BF21" s="553">
        <f t="shared" si="61"/>
        <v>-0.97</v>
      </c>
      <c r="BG21" s="541">
        <f t="shared" si="45"/>
        <v>0.02</v>
      </c>
      <c r="BH21" s="655">
        <f ca="1">VLOOKUP(BH17,BD17:BG22,4)</f>
        <v>0.02</v>
      </c>
      <c r="BI21" s="543"/>
      <c r="BJ21" s="693">
        <v>-20</v>
      </c>
      <c r="BK21" s="671"/>
      <c r="BL21" s="553">
        <f t="shared" si="62"/>
        <v>0.62</v>
      </c>
      <c r="BM21" s="541">
        <f t="shared" si="46"/>
        <v>0.26333333333333336</v>
      </c>
      <c r="BN21" s="655">
        <f ca="1">VLOOKUP(BN17,BJ17:BM22,4)</f>
        <v>0.26333333333333336</v>
      </c>
      <c r="BO21" s="543"/>
      <c r="BP21" s="693">
        <v>-20</v>
      </c>
      <c r="BQ21" s="671"/>
      <c r="BR21" s="671">
        <f t="shared" si="63"/>
        <v>-1.29</v>
      </c>
      <c r="BS21" s="541">
        <f t="shared" si="47"/>
        <v>2.6666666666666668E-2</v>
      </c>
      <c r="BT21" s="655">
        <f ca="1">VLOOKUP(BT17,BP17:BS22,4)</f>
        <v>2.6666666666666668E-2</v>
      </c>
      <c r="BU21" s="543"/>
      <c r="BV21" s="693">
        <v>-20</v>
      </c>
      <c r="BW21" s="671"/>
      <c r="BX21" s="671">
        <f t="shared" si="64"/>
        <v>-1.45</v>
      </c>
      <c r="BY21" s="541">
        <f t="shared" si="48"/>
        <v>3.3333333333333333E-2</v>
      </c>
      <c r="BZ21" s="655">
        <f ca="1">VLOOKUP(BZ17,BV17:BY22,4)</f>
        <v>3.3333333333333333E-2</v>
      </c>
      <c r="CA21" s="543"/>
      <c r="CB21" s="693">
        <v>-20</v>
      </c>
      <c r="CC21" s="671">
        <f t="shared" si="65"/>
        <v>-1.1000000000000001</v>
      </c>
      <c r="CD21" s="671">
        <v>-0.7</v>
      </c>
      <c r="CE21" s="541">
        <f t="shared" si="49"/>
        <v>0.40000000000000013</v>
      </c>
      <c r="CF21" s="655">
        <f ca="1">VLOOKUP(CF17,CB17:CE22,4)</f>
        <v>6.6666666666666666E-2</v>
      </c>
      <c r="CH21" s="693">
        <v>-20</v>
      </c>
      <c r="CI21" s="671">
        <f t="shared" si="32"/>
        <v>-0.15</v>
      </c>
      <c r="CJ21" s="709">
        <f t="shared" si="34"/>
        <v>0</v>
      </c>
      <c r="CK21" s="541">
        <f t="shared" si="50"/>
        <v>7.3333333333333334E-2</v>
      </c>
      <c r="CL21" s="655">
        <f ca="1">VLOOKUP(CL17,CH17:CK22,4)</f>
        <v>7.3333333333333334E-2</v>
      </c>
      <c r="CN21" s="693">
        <v>-20</v>
      </c>
      <c r="CO21" s="671">
        <f t="shared" si="33"/>
        <v>-1.8</v>
      </c>
      <c r="CP21" s="671">
        <f t="shared" si="35"/>
        <v>-0.51</v>
      </c>
      <c r="CQ21" s="541">
        <f t="shared" si="51"/>
        <v>1.29</v>
      </c>
      <c r="CR21" s="655">
        <f ca="1">VLOOKUP(CR17,CN17:CQ22,4)</f>
        <v>0.25666666666666665</v>
      </c>
    </row>
    <row r="22" spans="2:96" ht="13">
      <c r="B22" s="693">
        <v>-15</v>
      </c>
      <c r="C22" s="671">
        <v>-0.4</v>
      </c>
      <c r="D22" s="671">
        <f t="shared" si="52"/>
        <v>-0.57999999999999996</v>
      </c>
      <c r="E22" s="652">
        <f t="shared" si="36"/>
        <v>0.17999999999999994</v>
      </c>
      <c r="F22" s="651"/>
      <c r="G22" s="554"/>
      <c r="H22" s="693">
        <v>-15</v>
      </c>
      <c r="I22" s="671">
        <v>-0.56000000000000005</v>
      </c>
      <c r="J22" s="671">
        <f t="shared" si="53"/>
        <v>-0.51</v>
      </c>
      <c r="K22" s="652">
        <f t="shared" si="37"/>
        <v>5.0000000000000044E-2</v>
      </c>
      <c r="L22" s="651"/>
      <c r="M22" s="554"/>
      <c r="N22" s="693">
        <v>-15</v>
      </c>
      <c r="O22" s="671">
        <v>-0.44</v>
      </c>
      <c r="P22" s="671">
        <f t="shared" si="54"/>
        <v>-0.41</v>
      </c>
      <c r="Q22" s="652">
        <f t="shared" si="38"/>
        <v>3.0000000000000027E-2</v>
      </c>
      <c r="R22" s="651"/>
      <c r="S22" s="543"/>
      <c r="T22" s="693">
        <v>-15</v>
      </c>
      <c r="U22" s="671"/>
      <c r="V22" s="671">
        <f t="shared" si="55"/>
        <v>-1.23</v>
      </c>
      <c r="W22" s="652">
        <f t="shared" si="39"/>
        <v>4.6666666666666669E-2</v>
      </c>
      <c r="X22" s="651"/>
      <c r="Y22" s="543"/>
      <c r="Z22" s="693">
        <v>-15</v>
      </c>
      <c r="AA22" s="671">
        <v>0</v>
      </c>
      <c r="AB22" s="671">
        <f t="shared" si="56"/>
        <v>0.05</v>
      </c>
      <c r="AC22" s="652">
        <f t="shared" si="40"/>
        <v>0.03</v>
      </c>
      <c r="AD22" s="651"/>
      <c r="AE22" s="543"/>
      <c r="AF22" s="693">
        <v>-15</v>
      </c>
      <c r="AG22" s="671">
        <v>0</v>
      </c>
      <c r="AH22" s="671">
        <f t="shared" si="57"/>
        <v>0.05</v>
      </c>
      <c r="AI22" s="652">
        <f t="shared" si="41"/>
        <v>3.6666666666666667E-2</v>
      </c>
      <c r="AJ22" s="651"/>
      <c r="AK22" s="543"/>
      <c r="AL22" s="693">
        <v>-15</v>
      </c>
      <c r="AM22" s="671"/>
      <c r="AN22" s="671">
        <f t="shared" si="58"/>
        <v>0.44</v>
      </c>
      <c r="AO22" s="652">
        <f t="shared" si="42"/>
        <v>2.6666666666666668E-2</v>
      </c>
      <c r="AP22" s="651"/>
      <c r="AQ22" s="543"/>
      <c r="AR22" s="693">
        <v>-15</v>
      </c>
      <c r="AS22" s="671"/>
      <c r="AT22" s="671">
        <f t="shared" si="59"/>
        <v>0.33</v>
      </c>
      <c r="AU22" s="652">
        <f t="shared" si="43"/>
        <v>0.03</v>
      </c>
      <c r="AV22" s="651"/>
      <c r="AW22" s="543"/>
      <c r="AX22" s="693">
        <v>-15</v>
      </c>
      <c r="AY22" s="671"/>
      <c r="AZ22" s="553">
        <f t="shared" si="60"/>
        <v>0</v>
      </c>
      <c r="BA22" s="541">
        <f t="shared" si="44"/>
        <v>0.26333333333333336</v>
      </c>
      <c r="BB22" s="651"/>
      <c r="BC22" s="543"/>
      <c r="BD22" s="693">
        <v>-15</v>
      </c>
      <c r="BE22" s="671"/>
      <c r="BF22" s="553">
        <f t="shared" si="61"/>
        <v>-0.72</v>
      </c>
      <c r="BG22" s="541">
        <f t="shared" si="45"/>
        <v>0.02</v>
      </c>
      <c r="BH22" s="651"/>
      <c r="BI22" s="543"/>
      <c r="BJ22" s="693">
        <v>-15</v>
      </c>
      <c r="BK22" s="671"/>
      <c r="BL22" s="553">
        <f t="shared" si="62"/>
        <v>0</v>
      </c>
      <c r="BM22" s="541">
        <f t="shared" si="46"/>
        <v>0.26333333333333336</v>
      </c>
      <c r="BN22" s="651"/>
      <c r="BO22" s="543"/>
      <c r="BP22" s="693">
        <v>-15</v>
      </c>
      <c r="BQ22" s="671"/>
      <c r="BR22" s="671">
        <f t="shared" si="63"/>
        <v>-1.04</v>
      </c>
      <c r="BS22" s="541">
        <f t="shared" si="47"/>
        <v>2.6666666666666668E-2</v>
      </c>
      <c r="BT22" s="651"/>
      <c r="BU22" s="543"/>
      <c r="BV22" s="693">
        <v>-15</v>
      </c>
      <c r="BW22" s="671"/>
      <c r="BX22" s="671">
        <f t="shared" si="64"/>
        <v>-1.18</v>
      </c>
      <c r="BY22" s="541">
        <f t="shared" si="48"/>
        <v>3.3333333333333333E-2</v>
      </c>
      <c r="BZ22" s="651"/>
      <c r="CA22" s="543"/>
      <c r="CB22" s="693">
        <v>-15</v>
      </c>
      <c r="CC22" s="671">
        <f t="shared" si="65"/>
        <v>-1.1000000000000001</v>
      </c>
      <c r="CD22" s="671">
        <v>-0.7</v>
      </c>
      <c r="CE22" s="541">
        <f t="shared" si="49"/>
        <v>0.40000000000000013</v>
      </c>
      <c r="CF22" s="651"/>
      <c r="CH22" s="693">
        <v>-15</v>
      </c>
      <c r="CI22" s="671">
        <f t="shared" si="32"/>
        <v>-0.1</v>
      </c>
      <c r="CJ22" s="709">
        <f t="shared" si="34"/>
        <v>-0.01</v>
      </c>
      <c r="CK22" s="541">
        <f t="shared" si="50"/>
        <v>9.0000000000000011E-2</v>
      </c>
      <c r="CL22" s="651"/>
      <c r="CN22" s="693">
        <v>-15</v>
      </c>
      <c r="CO22" s="671">
        <f t="shared" si="33"/>
        <v>-1.52</v>
      </c>
      <c r="CP22" s="671">
        <f t="shared" si="35"/>
        <v>-0.39</v>
      </c>
      <c r="CQ22" s="541">
        <f t="shared" si="51"/>
        <v>1.1299999999999999</v>
      </c>
      <c r="CR22" s="651"/>
    </row>
    <row r="23" spans="2:96" ht="13">
      <c r="B23" s="693">
        <v>-10</v>
      </c>
      <c r="C23" s="671">
        <v>-0.33</v>
      </c>
      <c r="D23" s="671">
        <f>U135</f>
        <v>-0.5</v>
      </c>
      <c r="E23" s="652">
        <f t="shared" si="36"/>
        <v>0.16999999999999998</v>
      </c>
      <c r="F23" s="655">
        <f ca="1">VLOOKUP(F19,B17:E22,4)</f>
        <v>0.11333333333333334</v>
      </c>
      <c r="G23" s="554"/>
      <c r="H23" s="693">
        <v>-10</v>
      </c>
      <c r="I23" s="671"/>
      <c r="J23" s="671">
        <f>V135</f>
        <v>-0.42</v>
      </c>
      <c r="K23" s="652">
        <f t="shared" si="37"/>
        <v>0.18666666666666668</v>
      </c>
      <c r="L23" s="655">
        <f ca="1">VLOOKUP(L19,H17:K22,4)</f>
        <v>0.18666666666666668</v>
      </c>
      <c r="M23" s="554"/>
      <c r="N23" s="693">
        <v>-10</v>
      </c>
      <c r="O23" s="671">
        <v>-0.34</v>
      </c>
      <c r="P23" s="671">
        <f t="shared" si="54"/>
        <v>-0.34</v>
      </c>
      <c r="Q23" s="652">
        <f t="shared" si="38"/>
        <v>0</v>
      </c>
      <c r="R23" s="655">
        <f ca="1">VLOOKUP(R19,N17:Q22,4)</f>
        <v>9.3333333333333338E-2</v>
      </c>
      <c r="S23" s="543"/>
      <c r="T23" s="693">
        <v>-10</v>
      </c>
      <c r="U23" s="671"/>
      <c r="V23" s="671">
        <f>X135</f>
        <v>-0.99</v>
      </c>
      <c r="W23" s="652">
        <f t="shared" si="39"/>
        <v>4.6666666666666669E-2</v>
      </c>
      <c r="X23" s="655">
        <f ca="1">VLOOKUP(X19,T17:W22,4)</f>
        <v>4.6666666666666669E-2</v>
      </c>
      <c r="Y23" s="543"/>
      <c r="Z23" s="693">
        <v>-10</v>
      </c>
      <c r="AA23" s="671">
        <v>-0.28000000000000003</v>
      </c>
      <c r="AB23" s="671">
        <f>Y135</f>
        <v>0.08</v>
      </c>
      <c r="AC23" s="652">
        <f t="shared" si="40"/>
        <v>0.36000000000000004</v>
      </c>
      <c r="AD23" s="655">
        <f ca="1">VLOOKUP(AD19,Z17:AC22,4)</f>
        <v>0.03</v>
      </c>
      <c r="AE23" s="543"/>
      <c r="AF23" s="693">
        <v>-10</v>
      </c>
      <c r="AG23" s="671">
        <v>0.1</v>
      </c>
      <c r="AH23" s="671">
        <f>Z135</f>
        <v>0.08</v>
      </c>
      <c r="AI23" s="652">
        <f t="shared" si="41"/>
        <v>2.0000000000000004E-2</v>
      </c>
      <c r="AJ23" s="655">
        <f ca="1">VLOOKUP(AJ19,AF17:AI22,4)</f>
        <v>3.6666666666666667E-2</v>
      </c>
      <c r="AK23" s="543"/>
      <c r="AL23" s="693">
        <v>-10</v>
      </c>
      <c r="AM23" s="671"/>
      <c r="AN23" s="671">
        <f>AA135</f>
        <v>0.44</v>
      </c>
      <c r="AO23" s="652">
        <f t="shared" si="42"/>
        <v>2.6666666666666668E-2</v>
      </c>
      <c r="AP23" s="655">
        <f ca="1">VLOOKUP(AP19,AL17:AO22,4)</f>
        <v>2.6666666666666668E-2</v>
      </c>
      <c r="AQ23" s="543"/>
      <c r="AR23" s="693">
        <v>-10</v>
      </c>
      <c r="AS23" s="671"/>
      <c r="AT23" s="671">
        <f>AB135</f>
        <v>0.35</v>
      </c>
      <c r="AU23" s="652">
        <f t="shared" si="43"/>
        <v>0.03</v>
      </c>
      <c r="AV23" s="655">
        <f ca="1">VLOOKUP(AV19,AR17:AU22,4)</f>
        <v>0.03</v>
      </c>
      <c r="AW23" s="543"/>
      <c r="AX23" s="693">
        <v>-10</v>
      </c>
      <c r="AY23" s="671"/>
      <c r="AZ23" s="553">
        <f>AC135</f>
        <v>0.59</v>
      </c>
      <c r="BA23" s="541">
        <f t="shared" si="44"/>
        <v>0.26333333333333336</v>
      </c>
      <c r="BB23" s="655">
        <f ca="1">VLOOKUP(BB19,AX17:BA22,4)</f>
        <v>0.26333333333333336</v>
      </c>
      <c r="BC23" s="543"/>
      <c r="BD23" s="693">
        <v>-10</v>
      </c>
      <c r="BE23" s="671"/>
      <c r="BF23" s="553">
        <f>AD135</f>
        <v>-0.52</v>
      </c>
      <c r="BG23" s="541">
        <f t="shared" si="45"/>
        <v>0.02</v>
      </c>
      <c r="BH23" s="655">
        <f ca="1">VLOOKUP(BH19,BD17:BG22,4)</f>
        <v>0.02</v>
      </c>
      <c r="BI23" s="543"/>
      <c r="BJ23" s="693">
        <v>-10</v>
      </c>
      <c r="BK23" s="671"/>
      <c r="BL23" s="553">
        <f>AE135</f>
        <v>0.59</v>
      </c>
      <c r="BM23" s="541">
        <f t="shared" si="46"/>
        <v>0.26333333333333336</v>
      </c>
      <c r="BN23" s="655">
        <f ca="1">VLOOKUP(BN19,BJ17:BM22,4)</f>
        <v>0.26333333333333336</v>
      </c>
      <c r="BO23" s="543"/>
      <c r="BP23" s="693">
        <v>-10</v>
      </c>
      <c r="BQ23" s="671"/>
      <c r="BR23" s="671">
        <f>AF135</f>
        <v>-0.83</v>
      </c>
      <c r="BS23" s="541">
        <f t="shared" si="47"/>
        <v>2.6666666666666668E-2</v>
      </c>
      <c r="BT23" s="655">
        <f ca="1">VLOOKUP(BT19,BP17:BS22,4)</f>
        <v>2.6666666666666668E-2</v>
      </c>
      <c r="BU23" s="543"/>
      <c r="BV23" s="693">
        <v>-10</v>
      </c>
      <c r="BW23" s="671"/>
      <c r="BX23" s="671">
        <f>AG135</f>
        <v>-0.94</v>
      </c>
      <c r="BY23" s="541">
        <f t="shared" si="48"/>
        <v>3.3333333333333333E-2</v>
      </c>
      <c r="BZ23" s="655">
        <f ca="1">VLOOKUP(BZ19,BV17:BY22,4)</f>
        <v>3.3333333333333333E-2</v>
      </c>
      <c r="CA23" s="543"/>
      <c r="CB23" s="693">
        <v>-10</v>
      </c>
      <c r="CC23" s="671">
        <f t="shared" si="65"/>
        <v>-1.2</v>
      </c>
      <c r="CD23" s="671">
        <v>-0.7</v>
      </c>
      <c r="CE23" s="541">
        <f t="shared" si="49"/>
        <v>0.5</v>
      </c>
      <c r="CF23" s="655">
        <f ca="1">VLOOKUP(CF19,CB17:CE22,4)</f>
        <v>6.6666666666666666E-2</v>
      </c>
      <c r="CH23" s="693">
        <v>-10</v>
      </c>
      <c r="CI23" s="671">
        <f t="shared" si="32"/>
        <v>-0.05</v>
      </c>
      <c r="CJ23" s="709">
        <f t="shared" si="34"/>
        <v>1.2E-2</v>
      </c>
      <c r="CK23" s="541">
        <f t="shared" si="50"/>
        <v>6.2E-2</v>
      </c>
      <c r="CL23" s="655">
        <f ca="1">VLOOKUP(CL19,CH17:CK22,4)</f>
        <v>7.3333333333333334E-2</v>
      </c>
      <c r="CN23" s="693">
        <v>-10</v>
      </c>
      <c r="CO23" s="671">
        <f t="shared" si="33"/>
        <v>-1.26</v>
      </c>
      <c r="CP23" s="671">
        <f t="shared" si="35"/>
        <v>-0.28000000000000003</v>
      </c>
      <c r="CQ23" s="541">
        <f t="shared" si="51"/>
        <v>0.98</v>
      </c>
      <c r="CR23" s="655">
        <f ca="1">VLOOKUP(CR19,CN17:CQ22,4)</f>
        <v>0.25666666666666665</v>
      </c>
    </row>
    <row r="24" spans="2:96" ht="13">
      <c r="B24" s="693">
        <v>-5</v>
      </c>
      <c r="C24" s="671"/>
      <c r="D24" s="671">
        <f>U136</f>
        <v>0</v>
      </c>
      <c r="E24" s="652">
        <f t="shared" si="36"/>
        <v>0.11333333333333334</v>
      </c>
      <c r="F24" s="1340"/>
      <c r="G24" s="554"/>
      <c r="H24" s="693">
        <v>-5</v>
      </c>
      <c r="I24" s="671"/>
      <c r="J24" s="671"/>
      <c r="K24" s="652"/>
      <c r="L24" s="1340"/>
      <c r="M24" s="554"/>
      <c r="N24" s="693">
        <v>-5</v>
      </c>
      <c r="O24" s="671">
        <v>0</v>
      </c>
      <c r="P24" s="671">
        <f t="shared" si="54"/>
        <v>0</v>
      </c>
      <c r="Q24" s="652"/>
      <c r="R24" s="1340"/>
      <c r="S24" s="543"/>
      <c r="T24" s="693">
        <v>-5</v>
      </c>
      <c r="U24" s="671"/>
      <c r="V24" s="671"/>
      <c r="W24" s="652"/>
      <c r="X24" s="1340"/>
      <c r="Y24" s="543"/>
      <c r="Z24" s="693">
        <v>-5</v>
      </c>
      <c r="AA24" s="671">
        <v>0</v>
      </c>
      <c r="AB24" s="671">
        <f>Y136</f>
        <v>0.08</v>
      </c>
      <c r="AC24" s="652">
        <f t="shared" si="40"/>
        <v>0.03</v>
      </c>
      <c r="AD24" s="1340"/>
      <c r="AE24" s="543"/>
      <c r="AF24" s="693">
        <v>-5</v>
      </c>
      <c r="AG24" s="671">
        <v>0</v>
      </c>
      <c r="AH24" s="671">
        <f>Z136</f>
        <v>0.08</v>
      </c>
      <c r="AI24" s="652">
        <f t="shared" si="41"/>
        <v>3.6666666666666667E-2</v>
      </c>
      <c r="AJ24" s="1340"/>
      <c r="AK24" s="543"/>
      <c r="AL24" s="693">
        <v>-5</v>
      </c>
      <c r="AM24" s="671"/>
      <c r="AN24" s="671">
        <f>AA136</f>
        <v>0.42</v>
      </c>
      <c r="AO24" s="652">
        <f t="shared" si="42"/>
        <v>2.6666666666666668E-2</v>
      </c>
      <c r="AP24" s="1340"/>
      <c r="AQ24" s="543"/>
      <c r="AR24" s="693">
        <v>-5</v>
      </c>
      <c r="AS24" s="671"/>
      <c r="AT24" s="671">
        <f>AB136</f>
        <v>0.36</v>
      </c>
      <c r="AU24" s="652">
        <f t="shared" si="43"/>
        <v>0.03</v>
      </c>
      <c r="AV24" s="1340"/>
      <c r="AW24" s="543"/>
      <c r="AX24" s="693">
        <v>-5</v>
      </c>
      <c r="AY24" s="671"/>
      <c r="AZ24" s="553">
        <f>AC136</f>
        <v>0</v>
      </c>
      <c r="BA24" s="541">
        <f t="shared" si="44"/>
        <v>0.26333333333333336</v>
      </c>
      <c r="BB24" s="1340"/>
      <c r="BC24" s="543"/>
      <c r="BD24" s="693">
        <v>-5</v>
      </c>
      <c r="BE24" s="671"/>
      <c r="BF24" s="553">
        <f>AD136</f>
        <v>0</v>
      </c>
      <c r="BG24" s="541">
        <f t="shared" si="45"/>
        <v>0.02</v>
      </c>
      <c r="BH24" s="1340"/>
      <c r="BI24" s="543"/>
      <c r="BJ24" s="693">
        <v>-5</v>
      </c>
      <c r="BK24" s="671"/>
      <c r="BL24" s="553">
        <f>AE136</f>
        <v>0</v>
      </c>
      <c r="BM24" s="541">
        <f t="shared" si="46"/>
        <v>0.26333333333333336</v>
      </c>
      <c r="BN24" s="1340"/>
      <c r="BO24" s="543"/>
      <c r="BP24" s="693">
        <v>-5</v>
      </c>
      <c r="BQ24" s="671"/>
      <c r="BR24" s="671">
        <f>AF136</f>
        <v>0</v>
      </c>
      <c r="BS24" s="541">
        <f t="shared" si="47"/>
        <v>2.6666666666666668E-2</v>
      </c>
      <c r="BT24" s="1340"/>
      <c r="BU24" s="543"/>
      <c r="BV24" s="693">
        <v>-5</v>
      </c>
      <c r="BW24" s="671"/>
      <c r="BX24" s="671">
        <f>AG136</f>
        <v>0</v>
      </c>
      <c r="BY24" s="541">
        <f t="shared" si="48"/>
        <v>3.3333333333333333E-2</v>
      </c>
      <c r="BZ24" s="1340"/>
      <c r="CA24" s="543"/>
      <c r="CB24" s="693">
        <v>-5</v>
      </c>
      <c r="CC24" s="671">
        <f t="shared" si="65"/>
        <v>0</v>
      </c>
      <c r="CD24" s="671"/>
      <c r="CE24" s="541">
        <f t="shared" si="49"/>
        <v>6.6666666666666666E-2</v>
      </c>
      <c r="CF24" s="1340"/>
      <c r="CH24" s="693">
        <v>-5</v>
      </c>
      <c r="CI24" s="671">
        <f t="shared" si="32"/>
        <v>0</v>
      </c>
      <c r="CJ24" s="709">
        <f t="shared" si="34"/>
        <v>0</v>
      </c>
      <c r="CK24" s="541">
        <f t="shared" si="50"/>
        <v>7.3333333333333334E-2</v>
      </c>
      <c r="CL24" s="1340"/>
      <c r="CN24" s="693">
        <v>-5</v>
      </c>
      <c r="CO24" s="671">
        <f t="shared" si="33"/>
        <v>0</v>
      </c>
      <c r="CP24" s="671"/>
      <c r="CQ24" s="541"/>
      <c r="CR24" s="1340"/>
    </row>
    <row r="25" spans="2:96" ht="13">
      <c r="B25" s="693">
        <v>0</v>
      </c>
      <c r="C25" s="671">
        <v>-0.2</v>
      </c>
      <c r="D25" s="671">
        <f>U137</f>
        <v>-0.34</v>
      </c>
      <c r="E25" s="652">
        <f t="shared" si="36"/>
        <v>0.14000000000000001</v>
      </c>
      <c r="F25" s="1339">
        <f ca="1">(((F23-F21)/(F19-F17))*(F16-F17))+F21</f>
        <v>0.11333333333333334</v>
      </c>
      <c r="G25" s="554"/>
      <c r="H25" s="693">
        <v>0</v>
      </c>
      <c r="I25" s="671">
        <v>-0.25</v>
      </c>
      <c r="J25" s="671">
        <f>V137</f>
        <v>-0.26</v>
      </c>
      <c r="K25" s="652">
        <f>IF(OR(I25=0,J25=0),$V$138/3,((MAX(I25:J25)-(MIN(I25:J25)))))</f>
        <v>1.0000000000000009E-2</v>
      </c>
      <c r="L25" s="1339">
        <f ca="1">(((L23-L21)/(L19-L17))*(L16-L17))+L21</f>
        <v>0.18666666666666668</v>
      </c>
      <c r="M25" s="554"/>
      <c r="N25" s="693">
        <v>0</v>
      </c>
      <c r="O25" s="671">
        <v>-0.32</v>
      </c>
      <c r="P25" s="671">
        <f t="shared" si="54"/>
        <v>-0.21</v>
      </c>
      <c r="Q25" s="652">
        <f>IF(OR(O25=0,P25=0),$W$138/3,((MAX(O25:P25)-(MIN(O25:P25)))))</f>
        <v>0.11000000000000001</v>
      </c>
      <c r="R25" s="1339">
        <f ca="1">(((R23-R21)/(R19-R17))*(R16-R17))+R21</f>
        <v>9.3333333333333338E-2</v>
      </c>
      <c r="S25" s="543"/>
      <c r="T25" s="693">
        <v>0</v>
      </c>
      <c r="U25" s="671"/>
      <c r="V25" s="671">
        <f>X137</f>
        <v>-0.34</v>
      </c>
      <c r="W25" s="652">
        <f>IF(OR(U25=0,V25=0),$X$138/3,((MAX(U25:V25)-(MIN(U25:V25)))))</f>
        <v>4.6666666666666669E-2</v>
      </c>
      <c r="X25" s="1339">
        <f ca="1">(((X23-X21)/(X19-X17))*(X16-X17))+X21</f>
        <v>4.6666666666666669E-2</v>
      </c>
      <c r="Y25" s="543"/>
      <c r="Z25" s="693">
        <v>0</v>
      </c>
      <c r="AA25" s="671">
        <v>-0.06</v>
      </c>
      <c r="AB25" s="671">
        <f>Y137</f>
        <v>0.05</v>
      </c>
      <c r="AC25" s="652">
        <f t="shared" si="40"/>
        <v>0.11</v>
      </c>
      <c r="AD25" s="1339">
        <f ca="1">(((AD23-AD21)/(AD19-AD17))*(AD16-AD17))+AD21</f>
        <v>0.03</v>
      </c>
      <c r="AE25" s="543"/>
      <c r="AF25" s="693">
        <v>0</v>
      </c>
      <c r="AG25" s="671">
        <v>0.28999999999999998</v>
      </c>
      <c r="AH25" s="671">
        <f>Z137</f>
        <v>0.06</v>
      </c>
      <c r="AI25" s="652">
        <f t="shared" si="41"/>
        <v>0.22999999999999998</v>
      </c>
      <c r="AJ25" s="1339">
        <f ca="1">(((AJ23-AJ21)/(AJ19-AJ17))*(AJ16-AJ17))+AJ21</f>
        <v>3.6666666666666667E-2</v>
      </c>
      <c r="AK25" s="543"/>
      <c r="AL25" s="693">
        <v>0</v>
      </c>
      <c r="AM25" s="671"/>
      <c r="AN25" s="671">
        <f>AA137</f>
        <v>0.38</v>
      </c>
      <c r="AO25" s="652">
        <f t="shared" si="42"/>
        <v>2.6666666666666668E-2</v>
      </c>
      <c r="AP25" s="1339">
        <f ca="1">(((AP23-AP21)/(AP19-AP17))*(AP16-AP17))+AP21</f>
        <v>2.6666666666666668E-2</v>
      </c>
      <c r="AQ25" s="543"/>
      <c r="AR25" s="693">
        <v>0</v>
      </c>
      <c r="AS25" s="671"/>
      <c r="AT25" s="671">
        <f>AB137</f>
        <v>0.35</v>
      </c>
      <c r="AU25" s="652">
        <f t="shared" si="43"/>
        <v>0.03</v>
      </c>
      <c r="AV25" s="1339">
        <f ca="1">(((AV23-AV21)/(AV19-AV17))*(AV16-AV17))+AV21</f>
        <v>0.03</v>
      </c>
      <c r="AW25" s="543"/>
      <c r="AX25" s="693">
        <v>0</v>
      </c>
      <c r="AY25" s="671"/>
      <c r="AZ25" s="553">
        <f>AC137</f>
        <v>0.56000000000000005</v>
      </c>
      <c r="BA25" s="541">
        <f t="shared" si="44"/>
        <v>0.26333333333333336</v>
      </c>
      <c r="BB25" s="1339">
        <f ca="1">(((BB23-BB21)/(BB19-BB17))*(BB16-BB17))+BB21</f>
        <v>0.26333333333333336</v>
      </c>
      <c r="BC25" s="543"/>
      <c r="BD25" s="693">
        <v>0</v>
      </c>
      <c r="BE25" s="671"/>
      <c r="BF25" s="553">
        <f>AD137</f>
        <v>-0.28000000000000003</v>
      </c>
      <c r="BG25" s="541">
        <f t="shared" si="45"/>
        <v>0.02</v>
      </c>
      <c r="BH25" s="1339">
        <f ca="1">(((BH23-BH21)/(BH19-BH17))*(BH16-BH17))+BH21</f>
        <v>0.02</v>
      </c>
      <c r="BI25" s="543"/>
      <c r="BJ25" s="693">
        <v>0</v>
      </c>
      <c r="BK25" s="671"/>
      <c r="BL25" s="553">
        <f>AE137</f>
        <v>0.56000000000000005</v>
      </c>
      <c r="BM25" s="541">
        <f t="shared" si="46"/>
        <v>0.26333333333333336</v>
      </c>
      <c r="BN25" s="1339">
        <f ca="1">(((BN23-BN21)/(BN19-BN17))*(BN16-BN17))+BN21</f>
        <v>0.26333333333333336</v>
      </c>
      <c r="BO25" s="543"/>
      <c r="BP25" s="693">
        <v>0</v>
      </c>
      <c r="BQ25" s="671"/>
      <c r="BR25" s="671">
        <f>AF137</f>
        <v>-0.56999999999999995</v>
      </c>
      <c r="BS25" s="541">
        <f t="shared" si="47"/>
        <v>2.6666666666666668E-2</v>
      </c>
      <c r="BT25" s="1339">
        <f ca="1">(((BT23-BT21)/(BT19-BT17))*(BT16-BT17))+BT21</f>
        <v>2.6666666666666668E-2</v>
      </c>
      <c r="BU25" s="543"/>
      <c r="BV25" s="693">
        <v>0</v>
      </c>
      <c r="BW25" s="671"/>
      <c r="BX25" s="671">
        <f>AG137</f>
        <v>-0.56000000000000005</v>
      </c>
      <c r="BY25" s="541">
        <f t="shared" si="48"/>
        <v>3.3333333333333333E-2</v>
      </c>
      <c r="BZ25" s="1339">
        <f ca="1">(((BZ23-BZ21)/(BZ19-BZ17))*(BZ16-BZ17))+BZ21</f>
        <v>3.3333333333333333E-2</v>
      </c>
      <c r="CA25" s="543"/>
      <c r="CB25" s="693">
        <v>0</v>
      </c>
      <c r="CC25" s="671">
        <f t="shared" si="65"/>
        <v>-1.4</v>
      </c>
      <c r="CD25" s="671">
        <v>-0.7</v>
      </c>
      <c r="CE25" s="541">
        <f t="shared" si="49"/>
        <v>0.7</v>
      </c>
      <c r="CF25" s="1339">
        <f ca="1">(((CF23-CF21)/(CF19-CF17))*(CF16-CF17))+CF21</f>
        <v>6.6666666666666666E-2</v>
      </c>
      <c r="CH25" s="693">
        <v>0</v>
      </c>
      <c r="CI25" s="671">
        <f t="shared" si="32"/>
        <v>0.03</v>
      </c>
      <c r="CJ25" s="709">
        <f t="shared" si="34"/>
        <v>4.0000000000000001E-3</v>
      </c>
      <c r="CK25" s="541">
        <f t="shared" si="50"/>
        <v>2.5999999999999999E-2</v>
      </c>
      <c r="CL25" s="1339">
        <f ca="1">(((CL23-CL21)/(CL19-CL17))*(CL16-CL17))+CL21</f>
        <v>7.3333333333333334E-2</v>
      </c>
      <c r="CN25" s="693">
        <v>0</v>
      </c>
      <c r="CO25" s="671">
        <f t="shared" si="33"/>
        <v>-0.79</v>
      </c>
      <c r="CP25" s="671">
        <f>CP13</f>
        <v>-0.08</v>
      </c>
      <c r="CQ25" s="541">
        <f>CQ13</f>
        <v>0.71000000000000008</v>
      </c>
      <c r="CR25" s="1339">
        <f ca="1">(((CR23-CR21)/(CR19-CR17))*(CR16-CR17))+CR21</f>
        <v>0.25666666666666665</v>
      </c>
    </row>
    <row r="26" spans="2:96" s="543" customFormat="1" ht="13">
      <c r="B26" s="678"/>
      <c r="C26" s="679"/>
      <c r="D26" s="679"/>
      <c r="E26" s="683"/>
      <c r="F26" s="554"/>
      <c r="G26" s="554"/>
      <c r="H26" s="678"/>
      <c r="I26" s="679"/>
      <c r="J26" s="679"/>
      <c r="K26" s="683"/>
      <c r="L26" s="554"/>
      <c r="M26" s="554"/>
      <c r="N26" s="678"/>
      <c r="O26" s="679"/>
      <c r="P26" s="679"/>
      <c r="Q26" s="683"/>
      <c r="R26" s="554"/>
      <c r="T26" s="678"/>
      <c r="U26" s="679"/>
      <c r="V26" s="679"/>
      <c r="W26" s="683"/>
      <c r="X26" s="554"/>
      <c r="Z26" s="678"/>
      <c r="AA26" s="679"/>
      <c r="AB26" s="679"/>
      <c r="AC26" s="683"/>
      <c r="AD26" s="554"/>
      <c r="AF26" s="678"/>
      <c r="AG26" s="679"/>
      <c r="AH26" s="679"/>
      <c r="AI26" s="683"/>
      <c r="AJ26" s="554"/>
      <c r="AL26" s="558"/>
      <c r="AM26" s="679"/>
      <c r="AN26" s="679"/>
      <c r="AO26" s="683"/>
      <c r="AP26" s="554"/>
      <c r="AR26" s="558"/>
      <c r="AS26" s="679"/>
      <c r="AT26" s="679"/>
      <c r="AU26" s="683"/>
      <c r="AV26" s="554"/>
      <c r="AX26" s="678"/>
      <c r="AY26" s="544"/>
      <c r="AZ26" s="544"/>
      <c r="BA26" s="556"/>
      <c r="BB26" s="554"/>
      <c r="BD26" s="678"/>
      <c r="BE26" s="544"/>
      <c r="BF26" s="544"/>
      <c r="BG26" s="556"/>
      <c r="BH26" s="554"/>
      <c r="BJ26" s="678"/>
      <c r="BK26" s="544"/>
      <c r="BL26" s="544"/>
      <c r="BM26" s="556"/>
      <c r="BN26" s="554"/>
      <c r="BP26" s="678"/>
      <c r="BQ26" s="544"/>
      <c r="BR26" s="544"/>
      <c r="BS26" s="556"/>
      <c r="BT26" s="554"/>
      <c r="BV26" s="678"/>
      <c r="BW26" s="544"/>
      <c r="BX26" s="544"/>
      <c r="BY26" s="556"/>
      <c r="BZ26" s="554"/>
      <c r="CB26" s="678"/>
      <c r="CC26" s="544"/>
      <c r="CD26" s="544"/>
      <c r="CE26" s="556"/>
      <c r="CF26" s="554"/>
      <c r="CH26" s="678"/>
      <c r="CI26" s="544"/>
      <c r="CJ26" s="544"/>
      <c r="CK26" s="556"/>
      <c r="CL26" s="554"/>
      <c r="CN26" s="678"/>
      <c r="CO26" s="544"/>
      <c r="CP26" s="544"/>
      <c r="CQ26" s="556"/>
      <c r="CR26" s="554"/>
    </row>
    <row r="27" spans="2:96" ht="24" customHeight="1">
      <c r="B27" s="1195" t="s">
        <v>359</v>
      </c>
      <c r="C27" s="1197" t="str">
        <f>C15</f>
        <v>Thermocouple Data Logger, Merek : MADGETECH, Model : OctTemp 2000, SN : P40270</v>
      </c>
      <c r="D27" s="1197"/>
      <c r="E27" s="1197"/>
      <c r="F27" s="546" t="str">
        <f>F15</f>
        <v>Interpolasi</v>
      </c>
      <c r="G27" s="547"/>
      <c r="H27" s="1195" t="s">
        <v>359</v>
      </c>
      <c r="I27" s="1197" t="str">
        <f>I15</f>
        <v>Thermocouple Data Logger, Merek : MADGETECH, Model : OctTemp 2000, SN : P41878</v>
      </c>
      <c r="J27" s="1197"/>
      <c r="K27" s="1197"/>
      <c r="L27" s="546" t="str">
        <f>L15</f>
        <v>Interpolasi</v>
      </c>
      <c r="M27" s="547"/>
      <c r="N27" s="1195" t="s">
        <v>359</v>
      </c>
      <c r="O27" s="1197" t="str">
        <f>O15</f>
        <v>Mobile Corder, Merek : Yokogawa, Model : GP 10, SN : S5T810599</v>
      </c>
      <c r="P27" s="1198"/>
      <c r="Q27" s="1197"/>
      <c r="R27" s="546" t="str">
        <f>R15</f>
        <v>Interpolasi</v>
      </c>
      <c r="S27" s="543"/>
      <c r="T27" s="1195" t="s">
        <v>359</v>
      </c>
      <c r="U27" s="1197" t="str">
        <f>U15</f>
        <v>Wireless Temperature Recorder, Merek : HIOKI, Model : LR 8510, SN : 200936000</v>
      </c>
      <c r="V27" s="1198"/>
      <c r="W27" s="1197"/>
      <c r="X27" s="546" t="str">
        <f>X15</f>
        <v>Interpolasi</v>
      </c>
      <c r="Y27" s="543"/>
      <c r="Z27" s="1195" t="s">
        <v>359</v>
      </c>
      <c r="AA27" s="1197" t="str">
        <f>AA15</f>
        <v>Wireless Temperature Recorder, Merek : HIOKI, Model : LR 8510, SN : 200936001</v>
      </c>
      <c r="AB27" s="1198"/>
      <c r="AC27" s="1197"/>
      <c r="AD27" s="546" t="str">
        <f>AD15</f>
        <v>Interpolasi</v>
      </c>
      <c r="AE27" s="543"/>
      <c r="AF27" s="1195" t="s">
        <v>359</v>
      </c>
      <c r="AG27" s="1197" t="str">
        <f>AG15</f>
        <v>Wireless Temperature Recorder, Merek : HIOKI, Model : LR 8510, SN : 200821397</v>
      </c>
      <c r="AH27" s="1198"/>
      <c r="AI27" s="1197"/>
      <c r="AJ27" s="546" t="str">
        <f>AJ15</f>
        <v>Interpolasi</v>
      </c>
      <c r="AK27" s="543"/>
      <c r="AL27" s="1199" t="s">
        <v>359</v>
      </c>
      <c r="AM27" s="1197" t="str">
        <f>AM15</f>
        <v>Wireless Temperature Recorder, Merek : HIOKI, Model : LR 8510, SN : 210411983</v>
      </c>
      <c r="AN27" s="1198"/>
      <c r="AO27" s="1197"/>
      <c r="AP27" s="546" t="str">
        <f>AP15</f>
        <v>Interpolasi</v>
      </c>
      <c r="AQ27" s="543"/>
      <c r="AR27" s="1199" t="s">
        <v>359</v>
      </c>
      <c r="AS27" s="1197" t="str">
        <f>AS15</f>
        <v>Wireless Temperature Recorder, Merek : HIOKI, Model : LR 8510, SN : 210411984</v>
      </c>
      <c r="AT27" s="1198"/>
      <c r="AU27" s="1197"/>
      <c r="AV27" s="546" t="str">
        <f>AV15</f>
        <v>Interpolasi</v>
      </c>
      <c r="AW27" s="543"/>
      <c r="AX27" s="1195" t="s">
        <v>359</v>
      </c>
      <c r="AY27" s="1193" t="str">
        <f>AY15</f>
        <v>Wireless Temperature Recorder, Merek : HIOKI, Model : LR 8510, SN : 210411985</v>
      </c>
      <c r="AZ27" s="1194"/>
      <c r="BA27" s="1193"/>
      <c r="BB27" s="546" t="str">
        <f>BB15</f>
        <v>Interpolasi</v>
      </c>
      <c r="BC27" s="543"/>
      <c r="BD27" s="1195" t="s">
        <v>359</v>
      </c>
      <c r="BE27" s="1193" t="str">
        <f>BE15</f>
        <v>Wireless Temperature Recorder, Merek : HIOKI, Model : LR 8510, SN : 210746054</v>
      </c>
      <c r="BF27" s="1194"/>
      <c r="BG27" s="1193"/>
      <c r="BH27" s="546" t="str">
        <f>BH15</f>
        <v>Interpolasi</v>
      </c>
      <c r="BI27" s="543"/>
      <c r="BJ27" s="1195" t="s">
        <v>359</v>
      </c>
      <c r="BK27" s="1193" t="str">
        <f>BK15</f>
        <v>Wireless Temperature Recorder, Merek : HIOKI, Model : LR 8510, SN : 210746055</v>
      </c>
      <c r="BL27" s="1194"/>
      <c r="BM27" s="1193"/>
      <c r="BN27" s="546" t="str">
        <f>BN15</f>
        <v>Interpolasi</v>
      </c>
      <c r="BO27" s="543"/>
      <c r="BP27" s="1195" t="s">
        <v>359</v>
      </c>
      <c r="BQ27" s="1193" t="str">
        <f>BQ15</f>
        <v>Wireless Temperature Recorder, Merek : HIOKI, Model : LR 8510, SN : 210746056</v>
      </c>
      <c r="BR27" s="1194"/>
      <c r="BS27" s="1193"/>
      <c r="BT27" s="546" t="str">
        <f>BT15</f>
        <v>Interpolasi</v>
      </c>
      <c r="BU27" s="543"/>
      <c r="BV27" s="1195" t="s">
        <v>359</v>
      </c>
      <c r="BW27" s="1193" t="str">
        <f>BW15</f>
        <v>Wireless Temperature Recorder, Merek : HIOKI, Model : LR 8510, SN : 200821396</v>
      </c>
      <c r="BX27" s="1194"/>
      <c r="BY27" s="1193"/>
      <c r="BZ27" s="546" t="str">
        <f>BZ15</f>
        <v>Interpolasi</v>
      </c>
      <c r="CA27" s="543"/>
      <c r="CB27" s="1195" t="s">
        <v>359</v>
      </c>
      <c r="CC27" s="1193" t="str">
        <f>CC15</f>
        <v>Reference Thermometer, Merek : APPA, Model : APPA51, SN : 03002948</v>
      </c>
      <c r="CD27" s="1194"/>
      <c r="CE27" s="1193"/>
      <c r="CF27" s="546" t="str">
        <f>CF15</f>
        <v>Interpolasi</v>
      </c>
      <c r="CH27" s="1195" t="s">
        <v>359</v>
      </c>
      <c r="CI27" s="1193" t="str">
        <f t="shared" ref="CI27:CI37" si="66">CI15</f>
        <v>Reference Thermometer, Merek : FLUKE, Model : 1524, SN : 1803038</v>
      </c>
      <c r="CJ27" s="1194"/>
      <c r="CK27" s="1193"/>
      <c r="CL27" s="546" t="str">
        <f>CL15</f>
        <v>Interpolasi</v>
      </c>
      <c r="CN27" s="1195" t="s">
        <v>359</v>
      </c>
      <c r="CO27" s="1193" t="str">
        <f t="shared" ref="CO27:CO37" si="67">CO15</f>
        <v>Reference Thermometer, Merek : FLUKE, Model : 1524, SN : 1803037</v>
      </c>
      <c r="CP27" s="1194"/>
      <c r="CQ27" s="1193"/>
      <c r="CR27" s="546" t="str">
        <f>CR15</f>
        <v>Interpolasi</v>
      </c>
    </row>
    <row r="28" spans="2:96" ht="13">
      <c r="B28" s="1196"/>
      <c r="C28" s="681">
        <f>C16</f>
        <v>2021</v>
      </c>
      <c r="D28" s="681">
        <f>D16</f>
        <v>2022</v>
      </c>
      <c r="E28" s="682" t="s">
        <v>357</v>
      </c>
      <c r="F28" s="656">
        <f ca="1">$B$243</f>
        <v>-26.693000000000005</v>
      </c>
      <c r="G28" s="551"/>
      <c r="H28" s="1196"/>
      <c r="I28" s="677">
        <f>I16</f>
        <v>2021</v>
      </c>
      <c r="J28" s="681">
        <f>J16</f>
        <v>2022</v>
      </c>
      <c r="K28" s="682" t="s">
        <v>357</v>
      </c>
      <c r="L28" s="656">
        <f ca="1">$B$243</f>
        <v>-26.693000000000005</v>
      </c>
      <c r="M28" s="551"/>
      <c r="N28" s="1196"/>
      <c r="O28" s="677">
        <f>O4</f>
        <v>2021</v>
      </c>
      <c r="P28" s="681">
        <f>P4</f>
        <v>2023</v>
      </c>
      <c r="Q28" s="682" t="s">
        <v>357</v>
      </c>
      <c r="R28" s="656">
        <f ca="1">$B$243</f>
        <v>-26.693000000000005</v>
      </c>
      <c r="S28" s="543"/>
      <c r="T28" s="1196"/>
      <c r="U28" s="668">
        <f>U16</f>
        <v>0</v>
      </c>
      <c r="V28" s="681">
        <f>V4</f>
        <v>2022</v>
      </c>
      <c r="W28" s="682" t="s">
        <v>357</v>
      </c>
      <c r="X28" s="656">
        <f ca="1">$B$243</f>
        <v>-26.693000000000005</v>
      </c>
      <c r="Y28" s="543"/>
      <c r="Z28" s="1196"/>
      <c r="AA28" s="668">
        <f>AA16</f>
        <v>2021</v>
      </c>
      <c r="AB28" s="681">
        <f>AB16</f>
        <v>2023</v>
      </c>
      <c r="AC28" s="682" t="s">
        <v>357</v>
      </c>
      <c r="AD28" s="656">
        <f ca="1">$B$243</f>
        <v>-26.693000000000005</v>
      </c>
      <c r="AE28" s="543"/>
      <c r="AF28" s="1196"/>
      <c r="AG28" s="668">
        <f>AG16</f>
        <v>2021</v>
      </c>
      <c r="AH28" s="677">
        <f>AH16</f>
        <v>2023</v>
      </c>
      <c r="AI28" s="682" t="s">
        <v>357</v>
      </c>
      <c r="AJ28" s="656">
        <f ca="1">$B$243</f>
        <v>-26.693000000000005</v>
      </c>
      <c r="AK28" s="543"/>
      <c r="AL28" s="1200"/>
      <c r="AM28" s="677">
        <f>AM16</f>
        <v>0</v>
      </c>
      <c r="AN28" s="681">
        <f>AN16</f>
        <v>2023</v>
      </c>
      <c r="AO28" s="682" t="s">
        <v>357</v>
      </c>
      <c r="AP28" s="656">
        <f ca="1">$B$243</f>
        <v>-26.693000000000005</v>
      </c>
      <c r="AQ28" s="543"/>
      <c r="AR28" s="1200"/>
      <c r="AS28" s="677">
        <f>AS16</f>
        <v>2021</v>
      </c>
      <c r="AT28" s="681">
        <f>AT16</f>
        <v>2023</v>
      </c>
      <c r="AU28" s="682" t="s">
        <v>357</v>
      </c>
      <c r="AV28" s="656">
        <f ca="1">$B$243</f>
        <v>-26.693000000000005</v>
      </c>
      <c r="AW28" s="543"/>
      <c r="AX28" s="1196"/>
      <c r="AY28" s="668">
        <f>AY16</f>
        <v>0</v>
      </c>
      <c r="AZ28" s="549">
        <f>AZ16</f>
        <v>2021</v>
      </c>
      <c r="BA28" s="550" t="s">
        <v>357</v>
      </c>
      <c r="BB28" s="656">
        <f ca="1">$B$243</f>
        <v>-26.693000000000005</v>
      </c>
      <c r="BC28" s="543"/>
      <c r="BD28" s="1196"/>
      <c r="BE28" s="668">
        <f>BE16</f>
        <v>0</v>
      </c>
      <c r="BF28" s="549"/>
      <c r="BG28" s="550" t="s">
        <v>357</v>
      </c>
      <c r="BH28" s="656">
        <f ca="1">$B$243</f>
        <v>-26.693000000000005</v>
      </c>
      <c r="BI28" s="543"/>
      <c r="BJ28" s="1196"/>
      <c r="BK28" s="668">
        <f>BK16</f>
        <v>2021</v>
      </c>
      <c r="BL28" s="549">
        <f>BL16</f>
        <v>2021</v>
      </c>
      <c r="BM28" s="550" t="s">
        <v>357</v>
      </c>
      <c r="BN28" s="656">
        <f ca="1">$B$243</f>
        <v>-26.693000000000005</v>
      </c>
      <c r="BO28" s="543"/>
      <c r="BP28" s="1196"/>
      <c r="BQ28" s="668">
        <f>BQ16</f>
        <v>2021</v>
      </c>
      <c r="BR28" s="549">
        <f>BR16</f>
        <v>2022</v>
      </c>
      <c r="BS28" s="550" t="s">
        <v>357</v>
      </c>
      <c r="BT28" s="656">
        <f ca="1">$B$243</f>
        <v>-26.693000000000005</v>
      </c>
      <c r="BU28" s="543"/>
      <c r="BV28" s="1196"/>
      <c r="BW28" s="552">
        <f>BW16</f>
        <v>0</v>
      </c>
      <c r="BX28" s="549">
        <f>BX16</f>
        <v>2022</v>
      </c>
      <c r="BY28" s="550" t="s">
        <v>357</v>
      </c>
      <c r="BZ28" s="656">
        <f ca="1">$B$243</f>
        <v>-26.693000000000005</v>
      </c>
      <c r="CA28" s="543"/>
      <c r="CB28" s="1196"/>
      <c r="CC28" s="668">
        <f>CC16</f>
        <v>2022</v>
      </c>
      <c r="CD28" s="669">
        <f>CD16</f>
        <v>2020</v>
      </c>
      <c r="CE28" s="550" t="s">
        <v>357</v>
      </c>
      <c r="CF28" s="656">
        <f ca="1">$B$243</f>
        <v>-26.693000000000005</v>
      </c>
      <c r="CH28" s="1196"/>
      <c r="CI28" s="668">
        <f t="shared" si="66"/>
        <v>2021</v>
      </c>
      <c r="CJ28" s="669">
        <f>CJ16</f>
        <v>2019</v>
      </c>
      <c r="CK28" s="550" t="s">
        <v>357</v>
      </c>
      <c r="CL28" s="656">
        <f ca="1">$B$243</f>
        <v>-26.693000000000005</v>
      </c>
      <c r="CN28" s="1196"/>
      <c r="CO28" s="668">
        <f t="shared" si="67"/>
        <v>2021</v>
      </c>
      <c r="CP28" s="669">
        <f>CP16</f>
        <v>2020</v>
      </c>
      <c r="CQ28" s="550" t="s">
        <v>357</v>
      </c>
      <c r="CR28" s="656">
        <f ca="1">$B$243</f>
        <v>-26.693000000000005</v>
      </c>
    </row>
    <row r="29" spans="2:96" ht="13">
      <c r="B29" s="693">
        <v>-40</v>
      </c>
      <c r="C29" s="671"/>
      <c r="D29" s="671">
        <f t="shared" ref="D29:D35" si="68">C143</f>
        <v>0</v>
      </c>
      <c r="E29" s="652">
        <f t="shared" ref="E29:E37" si="69">IF(OR(C29=0,D29=0),$C$152/3,((MAX(C29:D29)-(MIN(C29:D29)))))</f>
        <v>0.11333333333333334</v>
      </c>
      <c r="F29" s="654">
        <f ca="1">IF($L$4&lt;=$B$6,$B$5,IF($L$4&lt;=$B$8,$B$7,IF($L$4&lt;=$B$10,$B$9,IF($L$4&lt;=$B$12,$B$11,IF($L$4&lt;=$B$13,$B$13)))))</f>
        <v>-30</v>
      </c>
      <c r="G29" s="554"/>
      <c r="H29" s="693">
        <v>-40</v>
      </c>
      <c r="I29" s="671"/>
      <c r="J29" s="671">
        <f t="shared" ref="J29:J35" si="70">D143</f>
        <v>0</v>
      </c>
      <c r="K29" s="652">
        <f t="shared" ref="K29:K35" si="71">IF(OR(I29=0,J29=0),$D$152/3,((MAX(I29:J29)-(MIN(I29:J29)))))</f>
        <v>0.18666666666666668</v>
      </c>
      <c r="L29" s="654">
        <f ca="1">IF($L$4&lt;=$B$6,$B$5,IF($L$4&lt;=$B$8,$B$7,IF($L$4&lt;=$B$10,$B$9,IF($L$4&lt;=$B$12,$B$11,IF($L$4&lt;=$B$13,$B$13)))))</f>
        <v>-30</v>
      </c>
      <c r="M29" s="554"/>
      <c r="N29" s="693">
        <v>-40</v>
      </c>
      <c r="O29" s="671">
        <v>0</v>
      </c>
      <c r="P29" s="671">
        <f t="shared" ref="P29:P37" si="72">E143</f>
        <v>0</v>
      </c>
      <c r="Q29" s="652">
        <f t="shared" ref="Q29:Q35" si="73">IF(OR(O29=0,P29=0),$E$152/3,((MAX(O29:P29)-(MIN(O29:P29)))))</f>
        <v>9.3333333333333338E-2</v>
      </c>
      <c r="R29" s="654">
        <f ca="1">IF($L$4&lt;=$B$6,$B$5,IF($L$4&lt;=$B$8,$B$7,IF($L$4&lt;=$B$10,$B$9,IF($L$4&lt;=$B$12,$B$11,IF($L$4&lt;=$B$13,$B$13)))))</f>
        <v>-30</v>
      </c>
      <c r="S29" s="543"/>
      <c r="T29" s="693">
        <v>-40</v>
      </c>
      <c r="U29" s="671"/>
      <c r="V29" s="671">
        <f t="shared" ref="V29:V35" si="74">F143</f>
        <v>-2.67</v>
      </c>
      <c r="W29" s="652">
        <f t="shared" ref="W29:W35" si="75">IF(OR(U29=0,V29=0),$F$152/3,((MAX(U29:V29)-(MIN(U29:V29)))))</f>
        <v>4.6666666666666669E-2</v>
      </c>
      <c r="X29" s="654">
        <f ca="1">IF($L$4&lt;=$B$6,$B$5,IF($L$4&lt;=$B$8,$B$7,IF($L$4&lt;=$B$10,$B$9,IF($L$4&lt;=$B$12,$B$11,IF($L$4&lt;=$B$13,$B$13)))))</f>
        <v>-30</v>
      </c>
      <c r="Y29" s="543"/>
      <c r="Z29" s="693">
        <v>-40</v>
      </c>
      <c r="AA29" s="671">
        <v>0</v>
      </c>
      <c r="AB29" s="671">
        <f t="shared" ref="AB29:AB37" si="76">G143</f>
        <v>0.05</v>
      </c>
      <c r="AC29" s="652">
        <f t="shared" ref="AC29:AC37" si="77">IF(OR(AA29=0,AB29=0),$G$152/3,((MAX(AA29:AB29)-(MIN(AA29:AB29)))))</f>
        <v>2.6666666666666668E-2</v>
      </c>
      <c r="AD29" s="654">
        <f ca="1">IF($L$4&lt;=$B$6,$B$5,IF($L$4&lt;=$B$8,$B$7,IF($L$4&lt;=$B$10,$B$9,IF($L$4&lt;=$B$12,$B$11,IF($L$4&lt;=$B$13,$B$13)))))</f>
        <v>-30</v>
      </c>
      <c r="AE29" s="543"/>
      <c r="AF29" s="693">
        <v>-40</v>
      </c>
      <c r="AG29" s="671">
        <v>0</v>
      </c>
      <c r="AH29" s="671">
        <f t="shared" ref="AH29:AH37" si="78">H143</f>
        <v>0.02</v>
      </c>
      <c r="AI29" s="652">
        <f t="shared" ref="AI29:AI37" si="79">IF(OR(AG29=0,AH29=0),$H$152/3,((MAX(AG29:AH29)-(MIN(AG29:AH29)))))</f>
        <v>4.3333333333333335E-2</v>
      </c>
      <c r="AJ29" s="654">
        <f ca="1">IF($L$4&lt;=$B$6,$B$5,IF($L$4&lt;=$B$8,$B$7,IF($L$4&lt;=$B$10,$B$9,IF($L$4&lt;=$B$12,$B$11,IF($L$4&lt;=$B$13,$B$13)))))</f>
        <v>-30</v>
      </c>
      <c r="AK29" s="543"/>
      <c r="AL29" s="693">
        <v>-40</v>
      </c>
      <c r="AM29" s="671"/>
      <c r="AN29" s="671">
        <f t="shared" ref="AN29:AN37" si="80">I143</f>
        <v>0.4</v>
      </c>
      <c r="AO29" s="652">
        <f t="shared" ref="AO29:AO37" si="81">IF(OR(AM29=0,AN29=0),$I$152/3,((MAX(AM29:AN29)-(MIN(AM29:AN29)))))</f>
        <v>0.03</v>
      </c>
      <c r="AP29" s="654">
        <f ca="1">IF($L$4&lt;=$B$6,$B$5,IF($L$4&lt;=$B$8,$B$7,IF($L$4&lt;=$B$10,$B$9,IF($L$4&lt;=$B$12,$B$11,IF($L$4&lt;=$B$13,$B$13)))))</f>
        <v>-30</v>
      </c>
      <c r="AQ29" s="543"/>
      <c r="AR29" s="693">
        <v>-40</v>
      </c>
      <c r="AS29" s="671"/>
      <c r="AT29" s="671">
        <f t="shared" ref="AT29:AT37" si="82">J143</f>
        <v>0.32</v>
      </c>
      <c r="AU29" s="652">
        <f t="shared" ref="AU29:AU37" si="83">IF(OR(AS29=0,AT29=0),$J$152/3,((MAX(AS29:AT29)-(MIN(AS29:AT29)))))</f>
        <v>0.03</v>
      </c>
      <c r="AV29" s="654">
        <f ca="1">IF($L$4&lt;=$B$6,$B$5,IF($L$4&lt;=$B$8,$B$7,IF($L$4&lt;=$B$10,$B$9,IF($L$4&lt;=$B$12,$B$11,IF($L$4&lt;=$B$13,$B$13)))))</f>
        <v>-30</v>
      </c>
      <c r="AW29" s="543"/>
      <c r="AX29" s="693">
        <v>-40</v>
      </c>
      <c r="AY29" s="671"/>
      <c r="AZ29" s="553">
        <f t="shared" ref="AZ29:AZ37" si="84">K143</f>
        <v>0</v>
      </c>
      <c r="BA29" s="541">
        <f t="shared" ref="BA29:BA37" si="85">IF(OR(AY29=0,AZ29=0),$K$152/3,((MAX(AY29:AZ29)-(MIN(AY29:AZ29)))))</f>
        <v>0.26333333333333336</v>
      </c>
      <c r="BB29" s="654">
        <f ca="1">IF($L$4&lt;=$B$6,$B$5,IF($L$4&lt;=$B$8,$B$7,IF($L$4&lt;=$B$10,$B$9,IF($L$4&lt;=$B$12,$B$11,IF($L$4&lt;=$B$13,$B$13)))))</f>
        <v>-30</v>
      </c>
      <c r="BC29" s="543"/>
      <c r="BD29" s="693">
        <v>-40</v>
      </c>
      <c r="BE29" s="671"/>
      <c r="BF29" s="553">
        <f t="shared" ref="BF29:BF37" si="86">L143</f>
        <v>-3.34</v>
      </c>
      <c r="BG29" s="541">
        <f t="shared" ref="BG29:BG37" si="87">IF(OR(BE29=0,BF29=0),$L$152/3,((MAX(BE29:BF29)-(MIN(BE29:BF29)))))</f>
        <v>2.6666666666666668E-2</v>
      </c>
      <c r="BH29" s="654">
        <f ca="1">IF($L$4&lt;=$B$6,$B$5,IF($L$4&lt;=$B$8,$B$7,IF($L$4&lt;=$B$10,$B$9,IF($L$4&lt;=$B$12,$B$11,IF($L$4&lt;=$B$13,$B$13)))))</f>
        <v>-30</v>
      </c>
      <c r="BI29" s="543"/>
      <c r="BJ29" s="693">
        <v>-40</v>
      </c>
      <c r="BK29" s="671"/>
      <c r="BL29" s="553">
        <f t="shared" ref="BL29:BL37" si="88">M143</f>
        <v>0</v>
      </c>
      <c r="BM29" s="541">
        <f t="shared" ref="BM29:BM37" si="89">IF(OR(BK29=0,BL29=0),$M$152/3,((MAX(BK29:BL29)-(MIN(BK29:BL29)))))</f>
        <v>0.26333333333333336</v>
      </c>
      <c r="BN29" s="654">
        <f ca="1">IF($L$4&lt;=$B$6,$B$5,IF($L$4&lt;=$B$8,$B$7,IF($L$4&lt;=$B$10,$B$9,IF($L$4&lt;=$B$12,$B$11,IF($L$4&lt;=$B$13,$B$13)))))</f>
        <v>-30</v>
      </c>
      <c r="BO29" s="543"/>
      <c r="BP29" s="693">
        <v>-40</v>
      </c>
      <c r="BQ29" s="671"/>
      <c r="BR29" s="671">
        <f t="shared" ref="BR29:BR37" si="90">N143</f>
        <v>-2.44</v>
      </c>
      <c r="BS29" s="541">
        <f t="shared" ref="BS29:BS37" si="91">IF(OR(BQ29=0,BR29=0),$N$152/3,((MAX(BQ29:BR29)-(MIN(BQ29:BR29)))))</f>
        <v>2.3333333333333334E-2</v>
      </c>
      <c r="BT29" s="654">
        <f ca="1">IF($L$4&lt;=$B$6,$B$5,IF($L$4&lt;=$B$8,$B$7,IF($L$4&lt;=$B$10,$B$9,IF($L$4&lt;=$B$12,$B$11,IF($L$4&lt;=$B$13,$B$13)))))</f>
        <v>-30</v>
      </c>
      <c r="BU29" s="543"/>
      <c r="BV29" s="693">
        <v>-40</v>
      </c>
      <c r="BW29" s="671"/>
      <c r="BX29" s="671">
        <f t="shared" ref="BX29:BX37" si="92">O143</f>
        <v>-2.71</v>
      </c>
      <c r="BY29" s="541">
        <f t="shared" ref="BY29:BY37" si="93">IF(OR(BW29=0,BX29=0),$O$152/3,((MAX(BW29:BX29)-(MIN(BW29:BX29)))))</f>
        <v>3.3333333333333333E-2</v>
      </c>
      <c r="BZ29" s="654">
        <f ca="1">IF($L$4&lt;=$B$6,$B$5,IF($L$4&lt;=$B$8,$B$7,IF($L$4&lt;=$B$10,$B$9,IF($L$4&lt;=$B$12,$B$11,IF($L$4&lt;=$B$13,$B$13)))))</f>
        <v>-30</v>
      </c>
      <c r="CA29" s="543"/>
      <c r="CB29" s="693">
        <v>-40</v>
      </c>
      <c r="CC29" s="671">
        <f>CC5</f>
        <v>-1.7</v>
      </c>
      <c r="CD29" s="671"/>
      <c r="CE29" s="541">
        <f t="shared" ref="CE29:CE37" si="94">CE17</f>
        <v>6.6666666666666666E-2</v>
      </c>
      <c r="CF29" s="654">
        <f ca="1">IF($L$4&lt;=$B$6,$B$5,IF($L$4&lt;=$B$8,$B$7,IF($L$4&lt;=$B$10,$B$9,IF($L$4&lt;=$B$12,$B$11,IF($L$4&lt;=$B$13,$B$13)))))</f>
        <v>-30</v>
      </c>
      <c r="CH29" s="693">
        <v>-40</v>
      </c>
      <c r="CI29" s="671">
        <f t="shared" si="66"/>
        <v>0</v>
      </c>
      <c r="CJ29" s="671">
        <f t="shared" ref="CJ29:CJ35" si="95">CJ5</f>
        <v>0</v>
      </c>
      <c r="CK29" s="541">
        <f t="shared" ref="CK29:CK37" si="96">CK17</f>
        <v>7.3333333333333334E-2</v>
      </c>
      <c r="CL29" s="654">
        <f ca="1">IF($L$4&lt;=$B$6,$B$5,IF($L$4&lt;=$B$8,$B$7,IF($L$4&lt;=$B$10,$B$9,IF($L$4&lt;=$B$12,$B$11,IF($L$4&lt;=$B$13,$B$13)))))</f>
        <v>-30</v>
      </c>
      <c r="CN29" s="693">
        <v>-40</v>
      </c>
      <c r="CO29" s="671">
        <f t="shared" si="67"/>
        <v>0</v>
      </c>
      <c r="CP29" s="671">
        <f t="shared" ref="CP29:CP35" si="97">CP5</f>
        <v>0</v>
      </c>
      <c r="CQ29" s="541">
        <f t="shared" ref="CQ29:CQ35" si="98">CQ17</f>
        <v>0.25666666666666665</v>
      </c>
      <c r="CR29" s="654">
        <f ca="1">IF($L$4&lt;=$B$6,$B$5,IF($L$4&lt;=$B$8,$B$7,IF($L$4&lt;=$B$10,$B$9,IF($L$4&lt;=$B$12,$B$11,IF($L$4&lt;=$B$13,$B$13)))))</f>
        <v>-30</v>
      </c>
    </row>
    <row r="30" spans="2:96" ht="13">
      <c r="B30" s="693">
        <v>-35</v>
      </c>
      <c r="C30" s="671"/>
      <c r="D30" s="671">
        <f t="shared" si="68"/>
        <v>0</v>
      </c>
      <c r="E30" s="652">
        <f t="shared" si="69"/>
        <v>0.11333333333333334</v>
      </c>
      <c r="F30" s="651"/>
      <c r="G30" s="554"/>
      <c r="H30" s="693">
        <v>-35</v>
      </c>
      <c r="I30" s="671"/>
      <c r="J30" s="671">
        <f t="shared" si="70"/>
        <v>0</v>
      </c>
      <c r="K30" s="652">
        <f t="shared" si="71"/>
        <v>0.18666666666666668</v>
      </c>
      <c r="L30" s="651"/>
      <c r="M30" s="554"/>
      <c r="N30" s="693">
        <v>-35</v>
      </c>
      <c r="O30" s="671">
        <v>0</v>
      </c>
      <c r="P30" s="671">
        <f t="shared" si="72"/>
        <v>0</v>
      </c>
      <c r="Q30" s="652">
        <f t="shared" si="73"/>
        <v>9.3333333333333338E-2</v>
      </c>
      <c r="R30" s="651"/>
      <c r="S30" s="543"/>
      <c r="T30" s="693">
        <v>-35</v>
      </c>
      <c r="U30" s="671"/>
      <c r="V30" s="671">
        <f t="shared" si="74"/>
        <v>0</v>
      </c>
      <c r="W30" s="652">
        <f t="shared" si="75"/>
        <v>4.6666666666666669E-2</v>
      </c>
      <c r="X30" s="651"/>
      <c r="Y30" s="543"/>
      <c r="Z30" s="693">
        <v>-35</v>
      </c>
      <c r="AA30" s="671">
        <v>0</v>
      </c>
      <c r="AB30" s="671">
        <f t="shared" si="76"/>
        <v>-0.01</v>
      </c>
      <c r="AC30" s="652">
        <f t="shared" si="77"/>
        <v>2.6666666666666668E-2</v>
      </c>
      <c r="AD30" s="651"/>
      <c r="AE30" s="543"/>
      <c r="AF30" s="693">
        <v>-35</v>
      </c>
      <c r="AG30" s="671">
        <v>0</v>
      </c>
      <c r="AH30" s="671">
        <f t="shared" si="78"/>
        <v>-0.01</v>
      </c>
      <c r="AI30" s="652">
        <f t="shared" si="79"/>
        <v>4.3333333333333335E-2</v>
      </c>
      <c r="AJ30" s="651"/>
      <c r="AK30" s="543"/>
      <c r="AL30" s="693">
        <v>-35</v>
      </c>
      <c r="AM30" s="671"/>
      <c r="AN30" s="671">
        <f t="shared" si="80"/>
        <v>0.38</v>
      </c>
      <c r="AO30" s="652">
        <f t="shared" si="81"/>
        <v>0.03</v>
      </c>
      <c r="AP30" s="651"/>
      <c r="AQ30" s="543"/>
      <c r="AR30" s="693">
        <v>-35</v>
      </c>
      <c r="AS30" s="671"/>
      <c r="AT30" s="671">
        <f t="shared" si="82"/>
        <v>0.3</v>
      </c>
      <c r="AU30" s="652">
        <f t="shared" si="83"/>
        <v>0.03</v>
      </c>
      <c r="AV30" s="651"/>
      <c r="AW30" s="543"/>
      <c r="AX30" s="693">
        <v>-35</v>
      </c>
      <c r="AY30" s="671"/>
      <c r="AZ30" s="553">
        <f t="shared" si="84"/>
        <v>0</v>
      </c>
      <c r="BA30" s="541">
        <f t="shared" si="85"/>
        <v>0.26333333333333336</v>
      </c>
      <c r="BB30" s="651"/>
      <c r="BC30" s="543"/>
      <c r="BD30" s="693">
        <v>-35</v>
      </c>
      <c r="BE30" s="671"/>
      <c r="BF30" s="553">
        <f t="shared" si="86"/>
        <v>0</v>
      </c>
      <c r="BG30" s="541">
        <f t="shared" si="87"/>
        <v>2.6666666666666668E-2</v>
      </c>
      <c r="BH30" s="651"/>
      <c r="BI30" s="543"/>
      <c r="BJ30" s="693">
        <v>-35</v>
      </c>
      <c r="BK30" s="671"/>
      <c r="BL30" s="553">
        <f t="shared" si="88"/>
        <v>0</v>
      </c>
      <c r="BM30" s="541">
        <f t="shared" si="89"/>
        <v>0.26333333333333336</v>
      </c>
      <c r="BN30" s="651"/>
      <c r="BO30" s="543"/>
      <c r="BP30" s="693">
        <v>-35</v>
      </c>
      <c r="BQ30" s="671"/>
      <c r="BR30" s="671">
        <f t="shared" si="90"/>
        <v>0</v>
      </c>
      <c r="BS30" s="541">
        <f t="shared" si="91"/>
        <v>2.3333333333333334E-2</v>
      </c>
      <c r="BT30" s="651"/>
      <c r="BU30" s="543"/>
      <c r="BV30" s="693">
        <v>-35</v>
      </c>
      <c r="BW30" s="671"/>
      <c r="BX30" s="671">
        <f t="shared" si="92"/>
        <v>0</v>
      </c>
      <c r="BY30" s="541">
        <f t="shared" si="93"/>
        <v>3.3333333333333333E-2</v>
      </c>
      <c r="BZ30" s="651"/>
      <c r="CA30" s="543"/>
      <c r="CB30" s="693">
        <v>-35</v>
      </c>
      <c r="CC30" s="671">
        <f t="shared" ref="CC30:CC37" si="99">CC6</f>
        <v>-1.4</v>
      </c>
      <c r="CD30" s="671"/>
      <c r="CE30" s="541">
        <f t="shared" si="94"/>
        <v>6.6666666666666666E-2</v>
      </c>
      <c r="CF30" s="651"/>
      <c r="CH30" s="693">
        <v>-35</v>
      </c>
      <c r="CI30" s="671">
        <f t="shared" si="66"/>
        <v>0</v>
      </c>
      <c r="CJ30" s="671">
        <f t="shared" si="95"/>
        <v>0</v>
      </c>
      <c r="CK30" s="541">
        <f t="shared" si="96"/>
        <v>7.3333333333333334E-2</v>
      </c>
      <c r="CL30" s="651"/>
      <c r="CN30" s="693">
        <v>-35</v>
      </c>
      <c r="CO30" s="671">
        <f t="shared" si="67"/>
        <v>0</v>
      </c>
      <c r="CP30" s="671">
        <f t="shared" si="97"/>
        <v>0</v>
      </c>
      <c r="CQ30" s="541">
        <f t="shared" si="98"/>
        <v>0.25666666666666665</v>
      </c>
      <c r="CR30" s="651"/>
    </row>
    <row r="31" spans="2:96" ht="13">
      <c r="B31" s="693">
        <v>-30</v>
      </c>
      <c r="C31" s="671"/>
      <c r="D31" s="671">
        <f t="shared" si="68"/>
        <v>0</v>
      </c>
      <c r="E31" s="652">
        <f t="shared" si="69"/>
        <v>0.11333333333333334</v>
      </c>
      <c r="F31" s="654">
        <f ca="1">IF($L$4&lt;=$B$5,$B$5,IF($L$4&lt;=$B$6,$B$6,IF($L$4&lt;=$B$7,$B$7,IF($L$4&lt;=$B$8,$B$8,IF($L$4&lt;=$B$9,$B$9,IF($L$4&lt;=$B$10,$B$10,IF($L$4&lt;=$B$11,$B$11)))))))</f>
        <v>-25</v>
      </c>
      <c r="G31" s="554"/>
      <c r="H31" s="693">
        <v>-30</v>
      </c>
      <c r="I31" s="671"/>
      <c r="J31" s="671">
        <f t="shared" si="70"/>
        <v>0</v>
      </c>
      <c r="K31" s="652">
        <f t="shared" si="71"/>
        <v>0.18666666666666668</v>
      </c>
      <c r="L31" s="654">
        <f ca="1">IF($L$4&lt;=$B$5,$B$5,IF($L$4&lt;=$B$6,$B$6,IF($L$4&lt;=$B$7,$B$7,IF($L$4&lt;=$B$8,$B$8,IF($L$4&lt;=$B$9,$B$9,IF($L$4&lt;=$B$10,$B$10,IF($L$4&lt;=$B$11,$B$11)))))))</f>
        <v>-25</v>
      </c>
      <c r="M31" s="554"/>
      <c r="N31" s="693">
        <v>-30</v>
      </c>
      <c r="O31" s="671">
        <v>0</v>
      </c>
      <c r="P31" s="671">
        <f t="shared" si="72"/>
        <v>0</v>
      </c>
      <c r="Q31" s="652">
        <f t="shared" si="73"/>
        <v>9.3333333333333338E-2</v>
      </c>
      <c r="R31" s="654">
        <f ca="1">IF($L$4&lt;=$B$5,$B$5,IF($L$4&lt;=$B$6,$B$6,IF($L$4&lt;=$B$7,$B$7,IF($L$4&lt;=$B$8,$B$8,IF($L$4&lt;=$B$9,$B$9,IF($L$4&lt;=$B$10,$B$10,IF($L$4&lt;=$B$11,$B$11)))))))</f>
        <v>-25</v>
      </c>
      <c r="S31" s="543"/>
      <c r="T31" s="693">
        <v>-30</v>
      </c>
      <c r="U31" s="671"/>
      <c r="V31" s="671">
        <f t="shared" si="74"/>
        <v>0</v>
      </c>
      <c r="W31" s="652">
        <f t="shared" si="75"/>
        <v>4.6666666666666669E-2</v>
      </c>
      <c r="X31" s="654">
        <f ca="1">IF($L$4&lt;=$B$5,$B$5,IF($L$4&lt;=$B$6,$B$6,IF($L$4&lt;=$B$7,$B$7,IF($L$4&lt;=$B$8,$B$8,IF($L$4&lt;=$B$9,$B$9,IF($L$4&lt;=$B$10,$B$10,IF($L$4&lt;=$B$11,$B$11)))))))</f>
        <v>-25</v>
      </c>
      <c r="Y31" s="543"/>
      <c r="Z31" s="693">
        <v>-30</v>
      </c>
      <c r="AA31" s="671">
        <v>0</v>
      </c>
      <c r="AB31" s="671">
        <f t="shared" si="76"/>
        <v>-0.02</v>
      </c>
      <c r="AC31" s="652">
        <f t="shared" si="77"/>
        <v>2.6666666666666668E-2</v>
      </c>
      <c r="AD31" s="654">
        <f ca="1">IF($L$4&lt;=$B$5,$B$5,IF($L$4&lt;=$B$6,$B$6,IF($L$4&lt;=$B$7,$B$7,IF($L$4&lt;=$B$8,$B$8,IF($L$4&lt;=$B$9,$B$9,IF($L$4&lt;=$B$10,$B$10,IF($L$4&lt;=$B$11,$B$11)))))))</f>
        <v>-25</v>
      </c>
      <c r="AE31" s="543"/>
      <c r="AF31" s="693">
        <v>-30</v>
      </c>
      <c r="AG31" s="671">
        <v>0</v>
      </c>
      <c r="AH31" s="671">
        <f t="shared" si="78"/>
        <v>-0.01</v>
      </c>
      <c r="AI31" s="652">
        <f t="shared" si="79"/>
        <v>4.3333333333333335E-2</v>
      </c>
      <c r="AJ31" s="654">
        <f ca="1">IF($L$4&lt;=$B$5,$B$5,IF($L$4&lt;=$B$6,$B$6,IF($L$4&lt;=$B$7,$B$7,IF($L$4&lt;=$B$8,$B$8,IF($L$4&lt;=$B$9,$B$9,IF($L$4&lt;=$B$10,$B$10,IF($L$4&lt;=$B$11,$B$11)))))))</f>
        <v>-25</v>
      </c>
      <c r="AK31" s="543"/>
      <c r="AL31" s="693">
        <v>-30</v>
      </c>
      <c r="AM31" s="671"/>
      <c r="AN31" s="671">
        <f t="shared" si="80"/>
        <v>0.38</v>
      </c>
      <c r="AO31" s="652">
        <f t="shared" si="81"/>
        <v>0.03</v>
      </c>
      <c r="AP31" s="654">
        <f ca="1">IF($L$4&lt;=$B$5,$B$5,IF($L$4&lt;=$B$6,$B$6,IF($L$4&lt;=$B$7,$B$7,IF($L$4&lt;=$B$8,$B$8,IF($L$4&lt;=$B$9,$B$9,IF($L$4&lt;=$B$10,$B$10,IF($L$4&lt;=$B$11,$B$11)))))))</f>
        <v>-25</v>
      </c>
      <c r="AQ31" s="543"/>
      <c r="AR31" s="693">
        <v>-30</v>
      </c>
      <c r="AS31" s="671"/>
      <c r="AT31" s="671">
        <f t="shared" si="82"/>
        <v>0.3</v>
      </c>
      <c r="AU31" s="652">
        <f t="shared" si="83"/>
        <v>0.03</v>
      </c>
      <c r="AV31" s="654">
        <f ca="1">IF($L$4&lt;=$B$5,$B$5,IF($L$4&lt;=$B$6,$B$6,IF($L$4&lt;=$B$7,$B$7,IF($L$4&lt;=$B$8,$B$8,IF($L$4&lt;=$B$9,$B$9,IF($L$4&lt;=$B$10,$B$10,IF($L$4&lt;=$B$11,$B$11)))))))</f>
        <v>-25</v>
      </c>
      <c r="AW31" s="543"/>
      <c r="AX31" s="693">
        <v>-30</v>
      </c>
      <c r="AY31" s="671"/>
      <c r="AZ31" s="553">
        <f t="shared" si="84"/>
        <v>0</v>
      </c>
      <c r="BA31" s="541">
        <f t="shared" si="85"/>
        <v>0.26333333333333336</v>
      </c>
      <c r="BB31" s="654">
        <f ca="1">IF($L$4&lt;=$B$5,$B$5,IF($L$4&lt;=$B$6,$B$6,IF($L$4&lt;=$B$7,$B$7,IF($L$4&lt;=$B$8,$B$8,IF($L$4&lt;=$B$9,$B$9,IF($L$4&lt;=$B$10,$B$10,IF($L$4&lt;=$B$11,$B$11)))))))</f>
        <v>-25</v>
      </c>
      <c r="BC31" s="543"/>
      <c r="BD31" s="693">
        <v>-30</v>
      </c>
      <c r="BE31" s="671"/>
      <c r="BF31" s="553">
        <f t="shared" si="86"/>
        <v>0</v>
      </c>
      <c r="BG31" s="541">
        <f t="shared" si="87"/>
        <v>2.6666666666666668E-2</v>
      </c>
      <c r="BH31" s="654">
        <f ca="1">IF($L$4&lt;=$B$5,$B$5,IF($L$4&lt;=$B$6,$B$6,IF($L$4&lt;=$B$7,$B$7,IF($L$4&lt;=$B$8,$B$8,IF($L$4&lt;=$B$9,$B$9,IF($L$4&lt;=$B$10,$B$10,IF($L$4&lt;=$B$11,$B$11)))))))</f>
        <v>-25</v>
      </c>
      <c r="BI31" s="543"/>
      <c r="BJ31" s="693">
        <v>-30</v>
      </c>
      <c r="BK31" s="671"/>
      <c r="BL31" s="553">
        <f t="shared" si="88"/>
        <v>0</v>
      </c>
      <c r="BM31" s="541">
        <f t="shared" si="89"/>
        <v>0.26333333333333336</v>
      </c>
      <c r="BN31" s="654">
        <f ca="1">IF($L$4&lt;=$B$5,$B$5,IF($L$4&lt;=$B$6,$B$6,IF($L$4&lt;=$B$7,$B$7,IF($L$4&lt;=$B$8,$B$8,IF($L$4&lt;=$B$9,$B$9,IF($L$4&lt;=$B$10,$B$10,IF($L$4&lt;=$B$11,$B$11)))))))</f>
        <v>-25</v>
      </c>
      <c r="BO31" s="543"/>
      <c r="BP31" s="693">
        <v>-30</v>
      </c>
      <c r="BQ31" s="671"/>
      <c r="BR31" s="671">
        <f t="shared" si="90"/>
        <v>0</v>
      </c>
      <c r="BS31" s="541">
        <f t="shared" si="91"/>
        <v>2.3333333333333334E-2</v>
      </c>
      <c r="BT31" s="654">
        <f ca="1">IF($L$4&lt;=$B$5,$B$5,IF($L$4&lt;=$B$6,$B$6,IF($L$4&lt;=$B$7,$B$7,IF($L$4&lt;=$B$8,$B$8,IF($L$4&lt;=$B$9,$B$9,IF($L$4&lt;=$B$10,$B$10,IF($L$4&lt;=$B$11,$B$11)))))))</f>
        <v>-25</v>
      </c>
      <c r="BU31" s="543"/>
      <c r="BV31" s="693">
        <v>-30</v>
      </c>
      <c r="BW31" s="671"/>
      <c r="BX31" s="671">
        <f t="shared" si="92"/>
        <v>0</v>
      </c>
      <c r="BY31" s="541">
        <f t="shared" si="93"/>
        <v>3.3333333333333333E-2</v>
      </c>
      <c r="BZ31" s="654">
        <f ca="1">IF($L$4&lt;=$B$5,$B$5,IF($L$4&lt;=$B$6,$B$6,IF($L$4&lt;=$B$7,$B$7,IF($L$4&lt;=$B$8,$B$8,IF($L$4&lt;=$B$9,$B$9,IF($L$4&lt;=$B$10,$B$10,IF($L$4&lt;=$B$11,$B$11)))))))</f>
        <v>-25</v>
      </c>
      <c r="CA31" s="543"/>
      <c r="CB31" s="693">
        <v>-30</v>
      </c>
      <c r="CC31" s="671">
        <f t="shared" si="99"/>
        <v>-1.2</v>
      </c>
      <c r="CD31" s="671"/>
      <c r="CE31" s="541">
        <f t="shared" si="94"/>
        <v>6.6666666666666666E-2</v>
      </c>
      <c r="CF31" s="654">
        <f ca="1">IF($L$4&lt;=$B$5,$B$5,IF($L$4&lt;=$B$6,$B$6,IF($L$4&lt;=$B$7,$B$7,IF($L$4&lt;=$B$8,$B$8,IF($L$4&lt;=$B$9,$B$9,IF($L$4&lt;=$B$10,$B$10,IF($L$4&lt;=$B$11,$B$11)))))))</f>
        <v>-25</v>
      </c>
      <c r="CH31" s="693">
        <v>-30</v>
      </c>
      <c r="CI31" s="671">
        <f t="shared" si="66"/>
        <v>0</v>
      </c>
      <c r="CJ31" s="671">
        <f t="shared" si="95"/>
        <v>0</v>
      </c>
      <c r="CK31" s="541">
        <f t="shared" si="96"/>
        <v>7.3333333333333334E-2</v>
      </c>
      <c r="CL31" s="654">
        <f ca="1">IF($L$4&lt;=$B$5,$B$5,IF($L$4&lt;=$B$6,$B$6,IF($L$4&lt;=$B$7,$B$7,IF($L$4&lt;=$B$8,$B$8,IF($L$4&lt;=$B$9,$B$9,IF($L$4&lt;=$B$10,$B$10,IF($L$4&lt;=$B$11,$B$11)))))))</f>
        <v>-25</v>
      </c>
      <c r="CN31" s="693">
        <v>-30</v>
      </c>
      <c r="CO31" s="671">
        <f t="shared" si="67"/>
        <v>0</v>
      </c>
      <c r="CP31" s="671">
        <f t="shared" si="97"/>
        <v>0</v>
      </c>
      <c r="CQ31" s="541">
        <f t="shared" si="98"/>
        <v>0.25666666666666665</v>
      </c>
      <c r="CR31" s="654">
        <f ca="1">IF($L$4&lt;=$B$5,$B$5,IF($L$4&lt;=$B$6,$B$6,IF($L$4&lt;=$B$7,$B$7,IF($L$4&lt;=$B$8,$B$8,IF($L$4&lt;=$B$9,$B$9,IF($L$4&lt;=$B$10,$B$10,IF($L$4&lt;=$B$11,$B$11)))))))</f>
        <v>-25</v>
      </c>
    </row>
    <row r="32" spans="2:96" ht="13">
      <c r="B32" s="693">
        <v>-25</v>
      </c>
      <c r="C32" s="671"/>
      <c r="D32" s="671">
        <f t="shared" si="68"/>
        <v>0</v>
      </c>
      <c r="E32" s="652">
        <f t="shared" si="69"/>
        <v>0.11333333333333334</v>
      </c>
      <c r="F32" s="651"/>
      <c r="G32" s="554"/>
      <c r="H32" s="693">
        <v>-25</v>
      </c>
      <c r="I32" s="671"/>
      <c r="J32" s="671">
        <f t="shared" si="70"/>
        <v>0</v>
      </c>
      <c r="K32" s="652">
        <f t="shared" si="71"/>
        <v>0.18666666666666668</v>
      </c>
      <c r="L32" s="651"/>
      <c r="M32" s="554"/>
      <c r="N32" s="693">
        <v>-25</v>
      </c>
      <c r="O32" s="671">
        <v>-0.7</v>
      </c>
      <c r="P32" s="671">
        <f t="shared" si="72"/>
        <v>0</v>
      </c>
      <c r="Q32" s="652">
        <f t="shared" si="73"/>
        <v>9.3333333333333338E-2</v>
      </c>
      <c r="R32" s="651"/>
      <c r="S32" s="543"/>
      <c r="T32" s="693">
        <v>-25</v>
      </c>
      <c r="U32" s="671"/>
      <c r="V32" s="671">
        <f t="shared" si="74"/>
        <v>-1.68</v>
      </c>
      <c r="W32" s="652">
        <f t="shared" si="75"/>
        <v>4.6666666666666669E-2</v>
      </c>
      <c r="X32" s="651"/>
      <c r="Y32" s="543"/>
      <c r="Z32" s="693">
        <v>-25</v>
      </c>
      <c r="AA32" s="671">
        <v>0</v>
      </c>
      <c r="AB32" s="671">
        <f t="shared" si="76"/>
        <v>0</v>
      </c>
      <c r="AC32" s="652">
        <f t="shared" si="77"/>
        <v>2.6666666666666668E-2</v>
      </c>
      <c r="AD32" s="651"/>
      <c r="AE32" s="543"/>
      <c r="AF32" s="693">
        <v>-25</v>
      </c>
      <c r="AG32" s="671">
        <v>0</v>
      </c>
      <c r="AH32" s="671">
        <f t="shared" si="78"/>
        <v>0.01</v>
      </c>
      <c r="AI32" s="652">
        <f t="shared" si="79"/>
        <v>4.3333333333333335E-2</v>
      </c>
      <c r="AJ32" s="651"/>
      <c r="AK32" s="543"/>
      <c r="AL32" s="693">
        <v>-25</v>
      </c>
      <c r="AM32" s="671"/>
      <c r="AN32" s="671">
        <f t="shared" si="80"/>
        <v>0.4</v>
      </c>
      <c r="AO32" s="652">
        <f t="shared" si="81"/>
        <v>0.03</v>
      </c>
      <c r="AP32" s="651"/>
      <c r="AQ32" s="543"/>
      <c r="AR32" s="693">
        <v>-25</v>
      </c>
      <c r="AS32" s="671"/>
      <c r="AT32" s="671">
        <f t="shared" si="82"/>
        <v>0.31</v>
      </c>
      <c r="AU32" s="652">
        <f t="shared" si="83"/>
        <v>0.03</v>
      </c>
      <c r="AV32" s="651"/>
      <c r="AW32" s="543"/>
      <c r="AX32" s="693">
        <v>-25</v>
      </c>
      <c r="AY32" s="671"/>
      <c r="AZ32" s="553">
        <f t="shared" si="84"/>
        <v>0</v>
      </c>
      <c r="BA32" s="541">
        <f t="shared" si="85"/>
        <v>0.26333333333333336</v>
      </c>
      <c r="BB32" s="651"/>
      <c r="BC32" s="543"/>
      <c r="BD32" s="693">
        <v>-25</v>
      </c>
      <c r="BE32" s="671"/>
      <c r="BF32" s="553">
        <f t="shared" si="86"/>
        <v>-1.28</v>
      </c>
      <c r="BG32" s="541">
        <f t="shared" si="87"/>
        <v>2.6666666666666668E-2</v>
      </c>
      <c r="BH32" s="651"/>
      <c r="BI32" s="543"/>
      <c r="BJ32" s="693">
        <v>-25</v>
      </c>
      <c r="BK32" s="671"/>
      <c r="BL32" s="553">
        <f t="shared" si="88"/>
        <v>0</v>
      </c>
      <c r="BM32" s="541">
        <f t="shared" si="89"/>
        <v>0.26333333333333336</v>
      </c>
      <c r="BN32" s="651"/>
      <c r="BO32" s="543"/>
      <c r="BP32" s="693">
        <v>-25</v>
      </c>
      <c r="BQ32" s="671"/>
      <c r="BR32" s="671">
        <f t="shared" si="90"/>
        <v>-1.6</v>
      </c>
      <c r="BS32" s="541">
        <f t="shared" si="91"/>
        <v>2.3333333333333334E-2</v>
      </c>
      <c r="BT32" s="651"/>
      <c r="BU32" s="543"/>
      <c r="BV32" s="693">
        <v>-25</v>
      </c>
      <c r="BW32" s="671"/>
      <c r="BX32" s="671">
        <f t="shared" si="92"/>
        <v>-1.75</v>
      </c>
      <c r="BY32" s="541">
        <f t="shared" si="93"/>
        <v>3.3333333333333333E-2</v>
      </c>
      <c r="BZ32" s="651"/>
      <c r="CA32" s="543"/>
      <c r="CB32" s="693">
        <v>-25</v>
      </c>
      <c r="CC32" s="671">
        <f t="shared" si="99"/>
        <v>-1.1000000000000001</v>
      </c>
      <c r="CD32" s="671"/>
      <c r="CE32" s="541">
        <f t="shared" si="94"/>
        <v>6.6666666666666666E-2</v>
      </c>
      <c r="CF32" s="651"/>
      <c r="CH32" s="693">
        <v>-25</v>
      </c>
      <c r="CI32" s="671">
        <f t="shared" si="66"/>
        <v>0</v>
      </c>
      <c r="CJ32" s="671">
        <f t="shared" si="95"/>
        <v>-1.9E-2</v>
      </c>
      <c r="CK32" s="541">
        <f t="shared" si="96"/>
        <v>7.3333333333333334E-2</v>
      </c>
      <c r="CL32" s="651"/>
      <c r="CN32" s="693">
        <v>-25</v>
      </c>
      <c r="CO32" s="671">
        <f t="shared" si="67"/>
        <v>0</v>
      </c>
      <c r="CP32" s="671">
        <f t="shared" si="97"/>
        <v>0</v>
      </c>
      <c r="CQ32" s="541">
        <f t="shared" si="98"/>
        <v>0.25666666666666665</v>
      </c>
      <c r="CR32" s="651"/>
    </row>
    <row r="33" spans="2:96" ht="13">
      <c r="B33" s="693">
        <v>-20</v>
      </c>
      <c r="C33" s="671">
        <v>-0.43</v>
      </c>
      <c r="D33" s="671">
        <f t="shared" si="68"/>
        <v>-0.6</v>
      </c>
      <c r="E33" s="652">
        <f t="shared" si="69"/>
        <v>0.16999999999999998</v>
      </c>
      <c r="F33" s="655">
        <f ca="1">VLOOKUP(F29,B29:E34,4)</f>
        <v>0.11333333333333334</v>
      </c>
      <c r="G33" s="554"/>
      <c r="H33" s="693">
        <v>-20</v>
      </c>
      <c r="I33" s="671">
        <v>-0.77</v>
      </c>
      <c r="J33" s="671">
        <f t="shared" si="70"/>
        <v>-0.48</v>
      </c>
      <c r="K33" s="652">
        <f t="shared" si="71"/>
        <v>0.29000000000000004</v>
      </c>
      <c r="L33" s="655">
        <f ca="1">VLOOKUP(L29,H29:K34,4)</f>
        <v>0.18666666666666668</v>
      </c>
      <c r="M33" s="554"/>
      <c r="N33" s="693">
        <v>-20</v>
      </c>
      <c r="O33" s="671">
        <v>0</v>
      </c>
      <c r="P33" s="671">
        <f t="shared" si="72"/>
        <v>-0.47</v>
      </c>
      <c r="Q33" s="652">
        <f t="shared" si="73"/>
        <v>9.3333333333333338E-2</v>
      </c>
      <c r="R33" s="655">
        <f ca="1">VLOOKUP(R29,N29:Q34,4)</f>
        <v>9.3333333333333338E-2</v>
      </c>
      <c r="S33" s="543"/>
      <c r="T33" s="693">
        <v>-20</v>
      </c>
      <c r="U33" s="671"/>
      <c r="V33" s="671">
        <f t="shared" si="74"/>
        <v>-1.45</v>
      </c>
      <c r="W33" s="652">
        <f t="shared" si="75"/>
        <v>4.6666666666666669E-2</v>
      </c>
      <c r="X33" s="655">
        <f ca="1">VLOOKUP(X29,T29:W34,4)</f>
        <v>4.6666666666666669E-2</v>
      </c>
      <c r="Y33" s="543"/>
      <c r="Z33" s="693">
        <v>-20</v>
      </c>
      <c r="AA33" s="671">
        <v>-0.39</v>
      </c>
      <c r="AB33" s="671">
        <f t="shared" si="76"/>
        <v>0.05</v>
      </c>
      <c r="AC33" s="652">
        <f t="shared" si="77"/>
        <v>0.44</v>
      </c>
      <c r="AD33" s="655">
        <f ca="1">VLOOKUP(AD29,Z29:AC34,4)</f>
        <v>2.6666666666666668E-2</v>
      </c>
      <c r="AE33" s="543"/>
      <c r="AF33" s="693">
        <v>-20</v>
      </c>
      <c r="AG33" s="671">
        <v>0.01</v>
      </c>
      <c r="AH33" s="671">
        <f t="shared" si="78"/>
        <v>0.05</v>
      </c>
      <c r="AI33" s="652">
        <f t="shared" si="79"/>
        <v>0.04</v>
      </c>
      <c r="AJ33" s="655">
        <f ca="1">VLOOKUP(AJ29,AF29:AI34,4)</f>
        <v>4.3333333333333335E-2</v>
      </c>
      <c r="AK33" s="543"/>
      <c r="AL33" s="693">
        <v>-20</v>
      </c>
      <c r="AM33" s="671"/>
      <c r="AN33" s="671">
        <f t="shared" si="80"/>
        <v>0.43</v>
      </c>
      <c r="AO33" s="652">
        <f t="shared" si="81"/>
        <v>0.03</v>
      </c>
      <c r="AP33" s="655">
        <f ca="1">VLOOKUP(AP29,AL29:AO34,4)</f>
        <v>0.03</v>
      </c>
      <c r="AQ33" s="543"/>
      <c r="AR33" s="693">
        <v>-20</v>
      </c>
      <c r="AS33" s="671"/>
      <c r="AT33" s="671">
        <f t="shared" si="82"/>
        <v>0.33</v>
      </c>
      <c r="AU33" s="652">
        <f t="shared" si="83"/>
        <v>0.03</v>
      </c>
      <c r="AV33" s="655">
        <f ca="1">VLOOKUP(AV29,AR29:AU34,4)</f>
        <v>0.03</v>
      </c>
      <c r="AW33" s="543"/>
      <c r="AX33" s="693">
        <v>-20</v>
      </c>
      <c r="AY33" s="671"/>
      <c r="AZ33" s="553">
        <f t="shared" si="84"/>
        <v>0.57999999999999996</v>
      </c>
      <c r="BA33" s="541">
        <f t="shared" si="85"/>
        <v>0.26333333333333336</v>
      </c>
      <c r="BB33" s="655">
        <f ca="1">VLOOKUP(BB29,AX29:BA34,4)</f>
        <v>0.26333333333333336</v>
      </c>
      <c r="BC33" s="543"/>
      <c r="BD33" s="693">
        <v>-20</v>
      </c>
      <c r="BE33" s="671"/>
      <c r="BF33" s="553">
        <f t="shared" si="86"/>
        <v>-0.93</v>
      </c>
      <c r="BG33" s="541">
        <f t="shared" si="87"/>
        <v>2.6666666666666668E-2</v>
      </c>
      <c r="BH33" s="655">
        <f ca="1">VLOOKUP(BH29,BD29:BG34,4)</f>
        <v>2.6666666666666668E-2</v>
      </c>
      <c r="BI33" s="543"/>
      <c r="BJ33" s="693">
        <v>-20</v>
      </c>
      <c r="BK33" s="671"/>
      <c r="BL33" s="553">
        <f t="shared" si="88"/>
        <v>0.57999999999999996</v>
      </c>
      <c r="BM33" s="541">
        <f t="shared" si="89"/>
        <v>0.26333333333333336</v>
      </c>
      <c r="BN33" s="655">
        <f ca="1">VLOOKUP(BN29,BJ29:BM34,4)</f>
        <v>0.26333333333333336</v>
      </c>
      <c r="BO33" s="543"/>
      <c r="BP33" s="693">
        <v>-20</v>
      </c>
      <c r="BQ33" s="671"/>
      <c r="BR33" s="671">
        <f t="shared" si="90"/>
        <v>-1.33</v>
      </c>
      <c r="BS33" s="541">
        <f t="shared" si="91"/>
        <v>2.3333333333333334E-2</v>
      </c>
      <c r="BT33" s="655">
        <f ca="1">VLOOKUP(BT29,BP29:BS34,4)</f>
        <v>2.3333333333333334E-2</v>
      </c>
      <c r="BU33" s="543"/>
      <c r="BV33" s="693">
        <v>-20</v>
      </c>
      <c r="BW33" s="671"/>
      <c r="BX33" s="671">
        <f t="shared" si="92"/>
        <v>-1.47</v>
      </c>
      <c r="BY33" s="541">
        <f t="shared" si="93"/>
        <v>3.3333333333333333E-2</v>
      </c>
      <c r="BZ33" s="655">
        <f ca="1">VLOOKUP(BZ29,BV29:BY34,4)</f>
        <v>3.3333333333333333E-2</v>
      </c>
      <c r="CA33" s="543"/>
      <c r="CB33" s="693">
        <v>-20</v>
      </c>
      <c r="CC33" s="671">
        <f t="shared" si="99"/>
        <v>-1.1000000000000001</v>
      </c>
      <c r="CD33" s="671">
        <v>-0.7</v>
      </c>
      <c r="CE33" s="541">
        <f t="shared" si="94"/>
        <v>0.40000000000000013</v>
      </c>
      <c r="CF33" s="655">
        <f ca="1">VLOOKUP(CF29,CB29:CE34,4)</f>
        <v>6.6666666666666666E-2</v>
      </c>
      <c r="CH33" s="693">
        <v>-20</v>
      </c>
      <c r="CI33" s="671">
        <f t="shared" si="66"/>
        <v>-0.15</v>
      </c>
      <c r="CJ33" s="671">
        <f t="shared" si="95"/>
        <v>0</v>
      </c>
      <c r="CK33" s="541">
        <f t="shared" si="96"/>
        <v>7.3333333333333334E-2</v>
      </c>
      <c r="CL33" s="655">
        <f ca="1">VLOOKUP(CL29,CH29:CK34,4)</f>
        <v>7.3333333333333334E-2</v>
      </c>
      <c r="CN33" s="693">
        <v>-20</v>
      </c>
      <c r="CO33" s="671">
        <f t="shared" si="67"/>
        <v>-1.8</v>
      </c>
      <c r="CP33" s="671">
        <f t="shared" si="97"/>
        <v>-0.51</v>
      </c>
      <c r="CQ33" s="541">
        <f t="shared" si="98"/>
        <v>1.29</v>
      </c>
      <c r="CR33" s="655">
        <f ca="1">VLOOKUP(CR29,CN29:CQ34,4)</f>
        <v>0.25666666666666665</v>
      </c>
    </row>
    <row r="34" spans="2:96" ht="13">
      <c r="B34" s="693">
        <v>-15</v>
      </c>
      <c r="C34" s="671">
        <v>-0.34</v>
      </c>
      <c r="D34" s="671">
        <f t="shared" si="68"/>
        <v>-0.53</v>
      </c>
      <c r="E34" s="652">
        <f t="shared" si="69"/>
        <v>0.19</v>
      </c>
      <c r="F34" s="651"/>
      <c r="G34" s="554"/>
      <c r="H34" s="693">
        <v>-15</v>
      </c>
      <c r="I34" s="671">
        <v>-0.63</v>
      </c>
      <c r="J34" s="671">
        <f t="shared" si="70"/>
        <v>-0.41</v>
      </c>
      <c r="K34" s="652">
        <f t="shared" si="71"/>
        <v>0.22000000000000003</v>
      </c>
      <c r="L34" s="651"/>
      <c r="M34" s="554"/>
      <c r="N34" s="693">
        <v>-15</v>
      </c>
      <c r="O34" s="671">
        <v>-0.56000000000000005</v>
      </c>
      <c r="P34" s="671">
        <f t="shared" si="72"/>
        <v>-0.38</v>
      </c>
      <c r="Q34" s="652">
        <f t="shared" si="73"/>
        <v>0.18000000000000005</v>
      </c>
      <c r="R34" s="651"/>
      <c r="S34" s="543"/>
      <c r="T34" s="693">
        <v>-15</v>
      </c>
      <c r="U34" s="671"/>
      <c r="V34" s="671">
        <f t="shared" si="74"/>
        <v>-1.23</v>
      </c>
      <c r="W34" s="652">
        <f t="shared" si="75"/>
        <v>4.6666666666666669E-2</v>
      </c>
      <c r="X34" s="651"/>
      <c r="Y34" s="543"/>
      <c r="Z34" s="693">
        <v>-15</v>
      </c>
      <c r="AA34" s="671">
        <v>0</v>
      </c>
      <c r="AB34" s="671">
        <f t="shared" si="76"/>
        <v>0.1</v>
      </c>
      <c r="AC34" s="652">
        <f t="shared" si="77"/>
        <v>2.6666666666666668E-2</v>
      </c>
      <c r="AD34" s="651"/>
      <c r="AE34" s="543"/>
      <c r="AF34" s="693">
        <v>-15</v>
      </c>
      <c r="AG34" s="671">
        <v>0</v>
      </c>
      <c r="AH34" s="671">
        <f t="shared" si="78"/>
        <v>0.09</v>
      </c>
      <c r="AI34" s="652">
        <f t="shared" si="79"/>
        <v>4.3333333333333335E-2</v>
      </c>
      <c r="AJ34" s="651"/>
      <c r="AK34" s="543"/>
      <c r="AL34" s="693">
        <v>-15</v>
      </c>
      <c r="AM34" s="671"/>
      <c r="AN34" s="671">
        <f t="shared" si="80"/>
        <v>0.45</v>
      </c>
      <c r="AO34" s="652">
        <f t="shared" si="81"/>
        <v>0.03</v>
      </c>
      <c r="AP34" s="651"/>
      <c r="AQ34" s="543"/>
      <c r="AR34" s="693">
        <v>-15</v>
      </c>
      <c r="AS34" s="671"/>
      <c r="AT34" s="671">
        <f t="shared" si="82"/>
        <v>0.36</v>
      </c>
      <c r="AU34" s="652">
        <f t="shared" si="83"/>
        <v>0.03</v>
      </c>
      <c r="AV34" s="651"/>
      <c r="AW34" s="543"/>
      <c r="AX34" s="693">
        <v>-15</v>
      </c>
      <c r="AY34" s="671"/>
      <c r="AZ34" s="553">
        <f t="shared" si="84"/>
        <v>0</v>
      </c>
      <c r="BA34" s="541">
        <f t="shared" si="85"/>
        <v>0.26333333333333336</v>
      </c>
      <c r="BB34" s="651"/>
      <c r="BC34" s="543"/>
      <c r="BD34" s="693">
        <v>-15</v>
      </c>
      <c r="BE34" s="671"/>
      <c r="BF34" s="553">
        <f t="shared" si="86"/>
        <v>-0.69</v>
      </c>
      <c r="BG34" s="541">
        <f t="shared" si="87"/>
        <v>2.6666666666666668E-2</v>
      </c>
      <c r="BH34" s="651"/>
      <c r="BI34" s="543"/>
      <c r="BJ34" s="693">
        <v>-15</v>
      </c>
      <c r="BK34" s="671"/>
      <c r="BL34" s="553">
        <f t="shared" si="88"/>
        <v>0</v>
      </c>
      <c r="BM34" s="541">
        <f t="shared" si="89"/>
        <v>0.26333333333333336</v>
      </c>
      <c r="BN34" s="651"/>
      <c r="BO34" s="543"/>
      <c r="BP34" s="693">
        <v>-15</v>
      </c>
      <c r="BQ34" s="671"/>
      <c r="BR34" s="671">
        <f t="shared" si="90"/>
        <v>-1.08</v>
      </c>
      <c r="BS34" s="541">
        <f t="shared" si="91"/>
        <v>2.3333333333333334E-2</v>
      </c>
      <c r="BT34" s="651"/>
      <c r="BU34" s="543"/>
      <c r="BV34" s="693">
        <v>-15</v>
      </c>
      <c r="BW34" s="671"/>
      <c r="BX34" s="671">
        <f t="shared" si="92"/>
        <v>-1.22</v>
      </c>
      <c r="BY34" s="541">
        <f t="shared" si="93"/>
        <v>3.3333333333333333E-2</v>
      </c>
      <c r="BZ34" s="651"/>
      <c r="CA34" s="543"/>
      <c r="CB34" s="693">
        <v>-15</v>
      </c>
      <c r="CC34" s="671">
        <f t="shared" si="99"/>
        <v>-1.1000000000000001</v>
      </c>
      <c r="CD34" s="671">
        <v>-0.7</v>
      </c>
      <c r="CE34" s="541">
        <f t="shared" si="94"/>
        <v>0.40000000000000013</v>
      </c>
      <c r="CF34" s="651"/>
      <c r="CH34" s="693">
        <v>-15</v>
      </c>
      <c r="CI34" s="671">
        <f t="shared" si="66"/>
        <v>-0.1</v>
      </c>
      <c r="CJ34" s="671">
        <f t="shared" si="95"/>
        <v>-0.01</v>
      </c>
      <c r="CK34" s="541">
        <f t="shared" si="96"/>
        <v>9.0000000000000011E-2</v>
      </c>
      <c r="CL34" s="651"/>
      <c r="CN34" s="693">
        <v>-15</v>
      </c>
      <c r="CO34" s="671">
        <f t="shared" si="67"/>
        <v>-1.52</v>
      </c>
      <c r="CP34" s="671">
        <f t="shared" si="97"/>
        <v>-0.39</v>
      </c>
      <c r="CQ34" s="541">
        <f t="shared" si="98"/>
        <v>1.1299999999999999</v>
      </c>
      <c r="CR34" s="651"/>
    </row>
    <row r="35" spans="2:96" ht="13">
      <c r="B35" s="693">
        <v>-10</v>
      </c>
      <c r="C35" s="671">
        <v>-0.27</v>
      </c>
      <c r="D35" s="671">
        <f t="shared" si="68"/>
        <v>-0.46</v>
      </c>
      <c r="E35" s="652">
        <f t="shared" si="69"/>
        <v>0.19</v>
      </c>
      <c r="F35" s="655">
        <f ca="1">VLOOKUP(F31,B29:E34,4)</f>
        <v>0.11333333333333334</v>
      </c>
      <c r="G35" s="554"/>
      <c r="H35" s="693">
        <v>-10</v>
      </c>
      <c r="I35" s="671"/>
      <c r="J35" s="671">
        <f t="shared" si="70"/>
        <v>-0.35</v>
      </c>
      <c r="K35" s="652">
        <f t="shared" si="71"/>
        <v>0.18666666666666668</v>
      </c>
      <c r="L35" s="655">
        <f ca="1">VLOOKUP(L31,H29:K34,4)</f>
        <v>0.18666666666666668</v>
      </c>
      <c r="M35" s="554"/>
      <c r="N35" s="693">
        <v>-10</v>
      </c>
      <c r="O35" s="671">
        <v>-0.46</v>
      </c>
      <c r="P35" s="671">
        <f t="shared" si="72"/>
        <v>-0.32</v>
      </c>
      <c r="Q35" s="652">
        <f t="shared" si="73"/>
        <v>0.14000000000000001</v>
      </c>
      <c r="R35" s="655">
        <f ca="1">VLOOKUP(R31,N29:Q34,4)</f>
        <v>9.3333333333333338E-2</v>
      </c>
      <c r="S35" s="543"/>
      <c r="T35" s="693">
        <v>-10</v>
      </c>
      <c r="U35" s="671"/>
      <c r="V35" s="671">
        <f t="shared" si="74"/>
        <v>-0.98</v>
      </c>
      <c r="W35" s="652">
        <f t="shared" si="75"/>
        <v>4.6666666666666669E-2</v>
      </c>
      <c r="X35" s="655">
        <f ca="1">VLOOKUP(X31,T29:W34,4)</f>
        <v>4.6666666666666669E-2</v>
      </c>
      <c r="Y35" s="543"/>
      <c r="Z35" s="693">
        <v>-10</v>
      </c>
      <c r="AA35" s="671">
        <v>-0.14000000000000001</v>
      </c>
      <c r="AB35" s="671">
        <f t="shared" si="76"/>
        <v>0.13</v>
      </c>
      <c r="AC35" s="652">
        <f t="shared" si="77"/>
        <v>0.27</v>
      </c>
      <c r="AD35" s="655">
        <f ca="1">VLOOKUP(AD31,Z29:AC34,4)</f>
        <v>2.6666666666666668E-2</v>
      </c>
      <c r="AE35" s="543"/>
      <c r="AF35" s="693">
        <v>-10</v>
      </c>
      <c r="AG35" s="671">
        <v>0.19</v>
      </c>
      <c r="AH35" s="671">
        <f t="shared" si="78"/>
        <v>0.12</v>
      </c>
      <c r="AI35" s="652">
        <f t="shared" si="79"/>
        <v>7.0000000000000007E-2</v>
      </c>
      <c r="AJ35" s="655">
        <f ca="1">VLOOKUP(AJ31,AF29:AI34,4)</f>
        <v>4.3333333333333335E-2</v>
      </c>
      <c r="AK35" s="543"/>
      <c r="AL35" s="693">
        <v>-10</v>
      </c>
      <c r="AM35" s="671"/>
      <c r="AN35" s="671">
        <f t="shared" si="80"/>
        <v>0.46</v>
      </c>
      <c r="AO35" s="652">
        <f t="shared" si="81"/>
        <v>0.03</v>
      </c>
      <c r="AP35" s="655">
        <f ca="1">VLOOKUP(AP31,AL29:AO34,4)</f>
        <v>0.03</v>
      </c>
      <c r="AQ35" s="543"/>
      <c r="AR35" s="693">
        <v>-10</v>
      </c>
      <c r="AS35" s="671"/>
      <c r="AT35" s="671">
        <f t="shared" si="82"/>
        <v>0.37</v>
      </c>
      <c r="AU35" s="652">
        <f t="shared" si="83"/>
        <v>0.03</v>
      </c>
      <c r="AV35" s="655">
        <f ca="1">VLOOKUP(AV31,AR29:AU34,4)</f>
        <v>0.03</v>
      </c>
      <c r="AW35" s="543"/>
      <c r="AX35" s="693">
        <v>-10</v>
      </c>
      <c r="AY35" s="671"/>
      <c r="AZ35" s="553">
        <f t="shared" si="84"/>
        <v>0.55000000000000004</v>
      </c>
      <c r="BA35" s="541">
        <f t="shared" si="85"/>
        <v>0.26333333333333336</v>
      </c>
      <c r="BB35" s="655">
        <f ca="1">VLOOKUP(BB31,AX29:BA34,4)</f>
        <v>0.26333333333333336</v>
      </c>
      <c r="BC35" s="543"/>
      <c r="BD35" s="693">
        <v>-10</v>
      </c>
      <c r="BE35" s="671"/>
      <c r="BF35" s="553">
        <f t="shared" si="86"/>
        <v>-0.52</v>
      </c>
      <c r="BG35" s="541">
        <f t="shared" si="87"/>
        <v>2.6666666666666668E-2</v>
      </c>
      <c r="BH35" s="655">
        <f ca="1">VLOOKUP(BH31,BD29:BG34,4)</f>
        <v>2.6666666666666668E-2</v>
      </c>
      <c r="BI35" s="543"/>
      <c r="BJ35" s="693">
        <v>-10</v>
      </c>
      <c r="BK35" s="671"/>
      <c r="BL35" s="553">
        <f t="shared" si="88"/>
        <v>0.55000000000000004</v>
      </c>
      <c r="BM35" s="541">
        <f t="shared" si="89"/>
        <v>0.26333333333333336</v>
      </c>
      <c r="BN35" s="655">
        <f ca="1">VLOOKUP(BN31,BJ29:BM34,4)</f>
        <v>0.26333333333333336</v>
      </c>
      <c r="BO35" s="543"/>
      <c r="BP35" s="693">
        <v>-10</v>
      </c>
      <c r="BQ35" s="671"/>
      <c r="BR35" s="671">
        <f t="shared" si="90"/>
        <v>-0.86</v>
      </c>
      <c r="BS35" s="541">
        <f t="shared" si="91"/>
        <v>2.3333333333333334E-2</v>
      </c>
      <c r="BT35" s="655">
        <f ca="1">VLOOKUP(BT31,BP29:BS34,4)</f>
        <v>2.3333333333333334E-2</v>
      </c>
      <c r="BU35" s="543"/>
      <c r="BV35" s="693">
        <v>-10</v>
      </c>
      <c r="BW35" s="671"/>
      <c r="BX35" s="671">
        <f t="shared" si="92"/>
        <v>-0.99</v>
      </c>
      <c r="BY35" s="541">
        <f t="shared" si="93"/>
        <v>3.3333333333333333E-2</v>
      </c>
      <c r="BZ35" s="655">
        <f ca="1">VLOOKUP(BZ31,BV29:BY34,4)</f>
        <v>3.3333333333333333E-2</v>
      </c>
      <c r="CA35" s="543"/>
      <c r="CB35" s="693">
        <v>-10</v>
      </c>
      <c r="CC35" s="671">
        <f t="shared" si="99"/>
        <v>-1.2</v>
      </c>
      <c r="CD35" s="671">
        <v>-0.7</v>
      </c>
      <c r="CE35" s="541">
        <f t="shared" si="94"/>
        <v>0.5</v>
      </c>
      <c r="CF35" s="655">
        <f ca="1">VLOOKUP(CF31,CB29:CE34,4)</f>
        <v>6.6666666666666666E-2</v>
      </c>
      <c r="CH35" s="693">
        <v>-10</v>
      </c>
      <c r="CI35" s="671">
        <f t="shared" si="66"/>
        <v>-0.05</v>
      </c>
      <c r="CJ35" s="671">
        <f t="shared" si="95"/>
        <v>1.2E-2</v>
      </c>
      <c r="CK35" s="541">
        <f t="shared" si="96"/>
        <v>6.2E-2</v>
      </c>
      <c r="CL35" s="655">
        <f ca="1">VLOOKUP(CL31,CH29:CK34,4)</f>
        <v>7.3333333333333334E-2</v>
      </c>
      <c r="CN35" s="693">
        <v>-10</v>
      </c>
      <c r="CO35" s="671">
        <f t="shared" si="67"/>
        <v>-1.26</v>
      </c>
      <c r="CP35" s="671">
        <f t="shared" si="97"/>
        <v>-0.28000000000000003</v>
      </c>
      <c r="CQ35" s="541">
        <f t="shared" si="98"/>
        <v>0.98</v>
      </c>
      <c r="CR35" s="655">
        <f ca="1">VLOOKUP(CR31,CN29:CQ34,4)</f>
        <v>0.25666666666666665</v>
      </c>
    </row>
    <row r="36" spans="2:96" ht="13">
      <c r="B36" s="693">
        <v>-5</v>
      </c>
      <c r="C36" s="671"/>
      <c r="D36" s="671"/>
      <c r="E36" s="652">
        <f t="shared" si="69"/>
        <v>0.11333333333333334</v>
      </c>
      <c r="F36" s="1340"/>
      <c r="G36" s="554"/>
      <c r="H36" s="693">
        <v>-5</v>
      </c>
      <c r="I36" s="671"/>
      <c r="J36" s="671"/>
      <c r="K36" s="652"/>
      <c r="L36" s="1340"/>
      <c r="M36" s="554"/>
      <c r="N36" s="693">
        <v>-5</v>
      </c>
      <c r="O36" s="671">
        <v>0</v>
      </c>
      <c r="P36" s="671">
        <f t="shared" si="72"/>
        <v>0</v>
      </c>
      <c r="Q36" s="652"/>
      <c r="R36" s="1340"/>
      <c r="S36" s="543"/>
      <c r="T36" s="693">
        <v>-5</v>
      </c>
      <c r="U36" s="671"/>
      <c r="V36" s="671"/>
      <c r="W36" s="652"/>
      <c r="X36" s="1340"/>
      <c r="Y36" s="543"/>
      <c r="Z36" s="693">
        <v>-5</v>
      </c>
      <c r="AA36" s="671">
        <v>0</v>
      </c>
      <c r="AB36" s="671">
        <f t="shared" si="76"/>
        <v>0.14000000000000001</v>
      </c>
      <c r="AC36" s="652">
        <f t="shared" si="77"/>
        <v>2.6666666666666668E-2</v>
      </c>
      <c r="AD36" s="1340"/>
      <c r="AE36" s="543"/>
      <c r="AF36" s="693">
        <v>-5</v>
      </c>
      <c r="AG36" s="671">
        <v>0</v>
      </c>
      <c r="AH36" s="671">
        <f t="shared" si="78"/>
        <v>0.13</v>
      </c>
      <c r="AI36" s="652">
        <f t="shared" si="79"/>
        <v>4.3333333333333335E-2</v>
      </c>
      <c r="AJ36" s="1340"/>
      <c r="AK36" s="543"/>
      <c r="AL36" s="693">
        <v>-5</v>
      </c>
      <c r="AM36" s="671"/>
      <c r="AN36" s="671">
        <f t="shared" si="80"/>
        <v>0.44</v>
      </c>
      <c r="AO36" s="652">
        <f t="shared" si="81"/>
        <v>0.03</v>
      </c>
      <c r="AP36" s="1340"/>
      <c r="AQ36" s="543"/>
      <c r="AR36" s="693">
        <v>-5</v>
      </c>
      <c r="AS36" s="671"/>
      <c r="AT36" s="671">
        <f t="shared" si="82"/>
        <v>0.38</v>
      </c>
      <c r="AU36" s="652">
        <f t="shared" si="83"/>
        <v>0.03</v>
      </c>
      <c r="AV36" s="1340"/>
      <c r="AW36" s="543"/>
      <c r="AX36" s="693">
        <v>-5</v>
      </c>
      <c r="AY36" s="671"/>
      <c r="AZ36" s="553">
        <f t="shared" si="84"/>
        <v>0</v>
      </c>
      <c r="BA36" s="541">
        <f t="shared" si="85"/>
        <v>0.26333333333333336</v>
      </c>
      <c r="BB36" s="1340"/>
      <c r="BC36" s="543"/>
      <c r="BD36" s="693">
        <v>-5</v>
      </c>
      <c r="BE36" s="671"/>
      <c r="BF36" s="553">
        <f t="shared" si="86"/>
        <v>0</v>
      </c>
      <c r="BG36" s="541">
        <f t="shared" si="87"/>
        <v>2.6666666666666668E-2</v>
      </c>
      <c r="BH36" s="1340"/>
      <c r="BI36" s="543"/>
      <c r="BJ36" s="693">
        <v>-5</v>
      </c>
      <c r="BK36" s="671"/>
      <c r="BL36" s="553">
        <f t="shared" si="88"/>
        <v>0</v>
      </c>
      <c r="BM36" s="541">
        <f t="shared" si="89"/>
        <v>0.26333333333333336</v>
      </c>
      <c r="BN36" s="1340"/>
      <c r="BO36" s="543"/>
      <c r="BP36" s="693">
        <v>-5</v>
      </c>
      <c r="BQ36" s="671"/>
      <c r="BR36" s="671">
        <f t="shared" si="90"/>
        <v>0</v>
      </c>
      <c r="BS36" s="541">
        <f t="shared" si="91"/>
        <v>2.3333333333333334E-2</v>
      </c>
      <c r="BT36" s="1340"/>
      <c r="BU36" s="543"/>
      <c r="BV36" s="693">
        <v>-5</v>
      </c>
      <c r="BW36" s="671"/>
      <c r="BX36" s="671">
        <f t="shared" si="92"/>
        <v>0</v>
      </c>
      <c r="BY36" s="541">
        <f t="shared" si="93"/>
        <v>3.3333333333333333E-2</v>
      </c>
      <c r="BZ36" s="1340"/>
      <c r="CA36" s="543"/>
      <c r="CB36" s="693">
        <v>-5</v>
      </c>
      <c r="CC36" s="671">
        <f t="shared" si="99"/>
        <v>0</v>
      </c>
      <c r="CD36" s="671"/>
      <c r="CE36" s="541">
        <f t="shared" si="94"/>
        <v>6.6666666666666666E-2</v>
      </c>
      <c r="CF36" s="1340"/>
      <c r="CH36" s="693">
        <v>-5</v>
      </c>
      <c r="CI36" s="671">
        <f t="shared" si="66"/>
        <v>0</v>
      </c>
      <c r="CJ36" s="671"/>
      <c r="CK36" s="541">
        <f t="shared" si="96"/>
        <v>7.3333333333333334E-2</v>
      </c>
      <c r="CL36" s="1340"/>
      <c r="CN36" s="693">
        <v>-5</v>
      </c>
      <c r="CO36" s="671">
        <f t="shared" si="67"/>
        <v>0</v>
      </c>
      <c r="CP36" s="671"/>
      <c r="CQ36" s="541"/>
      <c r="CR36" s="1340"/>
    </row>
    <row r="37" spans="2:96" ht="13">
      <c r="B37" s="693">
        <v>0</v>
      </c>
      <c r="C37" s="671">
        <v>-0.13</v>
      </c>
      <c r="D37" s="671">
        <f>C151</f>
        <v>-0.32</v>
      </c>
      <c r="E37" s="652">
        <f t="shared" si="69"/>
        <v>0.19</v>
      </c>
      <c r="F37" s="1339">
        <f ca="1">(((F35-F33)/(F31-F29))*(F28-F29))+F33</f>
        <v>0.11333333333333334</v>
      </c>
      <c r="G37" s="554"/>
      <c r="H37" s="693">
        <v>0</v>
      </c>
      <c r="I37" s="671">
        <v>-0.28999999999999998</v>
      </c>
      <c r="J37" s="671">
        <f>D151</f>
        <v>-0.23</v>
      </c>
      <c r="K37" s="652">
        <f>IF(OR(I37=0,J37=0),$D$152/3,((MAX(I37:J37)-(MIN(I37:J37)))))</f>
        <v>5.999999999999997E-2</v>
      </c>
      <c r="L37" s="1339">
        <f ca="1">(((L35-L33)/(L31-L29))*(L28-L29))+L33</f>
        <v>0.18666666666666668</v>
      </c>
      <c r="M37" s="554"/>
      <c r="N37" s="693">
        <v>0</v>
      </c>
      <c r="O37" s="671">
        <v>-0.38</v>
      </c>
      <c r="P37" s="671">
        <f t="shared" si="72"/>
        <v>-0.2</v>
      </c>
      <c r="Q37" s="652">
        <f>IF(OR(O37=0,P37=0),$E$152/3,((MAX(O37:P37)-(MIN(O37:P37)))))</f>
        <v>0.18</v>
      </c>
      <c r="R37" s="1339">
        <f ca="1">(((R35-R33)/(R31-R29))*(R28-R29))+R33</f>
        <v>9.3333333333333338E-2</v>
      </c>
      <c r="S37" s="543"/>
      <c r="T37" s="693">
        <v>0</v>
      </c>
      <c r="U37" s="671"/>
      <c r="V37" s="671">
        <f>F151</f>
        <v>-0.32</v>
      </c>
      <c r="W37" s="652">
        <f>IF(OR(U37=0,V37=0),$F$152/3,((MAX(U37:V37)-(MIN(U37:V37)))))</f>
        <v>4.6666666666666669E-2</v>
      </c>
      <c r="X37" s="1339">
        <f ca="1">(((X35-X33)/(X31-X29))*(X28-X29))+X33</f>
        <v>4.6666666666666669E-2</v>
      </c>
      <c r="Y37" s="543"/>
      <c r="Z37" s="693">
        <v>0</v>
      </c>
      <c r="AA37" s="671">
        <v>7.0000000000000007E-2</v>
      </c>
      <c r="AB37" s="671">
        <f t="shared" si="76"/>
        <v>0.1</v>
      </c>
      <c r="AC37" s="652">
        <f t="shared" si="77"/>
        <v>0.03</v>
      </c>
      <c r="AD37" s="1339">
        <f ca="1">(((AD35-AD33)/(AD31-AD29))*(AD28-AD29))+AD33</f>
        <v>2.6666666666666668E-2</v>
      </c>
      <c r="AE37" s="543"/>
      <c r="AF37" s="693">
        <v>0</v>
      </c>
      <c r="AG37" s="671">
        <v>0.34</v>
      </c>
      <c r="AH37" s="671">
        <f t="shared" si="78"/>
        <v>0.1</v>
      </c>
      <c r="AI37" s="652">
        <f t="shared" si="79"/>
        <v>0.24000000000000002</v>
      </c>
      <c r="AJ37" s="1339">
        <f ca="1">(((AJ35-AJ33)/(AJ31-AJ29))*(AJ28-AJ29))+AJ33</f>
        <v>4.3333333333333335E-2</v>
      </c>
      <c r="AK37" s="543"/>
      <c r="AL37" s="693">
        <v>0</v>
      </c>
      <c r="AM37" s="671"/>
      <c r="AN37" s="671">
        <f t="shared" si="80"/>
        <v>0.4</v>
      </c>
      <c r="AO37" s="652">
        <f t="shared" si="81"/>
        <v>0.03</v>
      </c>
      <c r="AP37" s="1339">
        <f ca="1">(((AP35-AP33)/(AP31-AP29))*(AP28-AP29))+AP33</f>
        <v>0.03</v>
      </c>
      <c r="AQ37" s="543"/>
      <c r="AR37" s="693">
        <v>0</v>
      </c>
      <c r="AS37" s="671"/>
      <c r="AT37" s="671">
        <f t="shared" si="82"/>
        <v>0.37</v>
      </c>
      <c r="AU37" s="652">
        <f t="shared" si="83"/>
        <v>0.03</v>
      </c>
      <c r="AV37" s="1339">
        <f ca="1">(((AV35-AV33)/(AV31-AV29))*(AV28-AV29))+AV33</f>
        <v>0.03</v>
      </c>
      <c r="AW37" s="543"/>
      <c r="AX37" s="693">
        <v>0</v>
      </c>
      <c r="AY37" s="671"/>
      <c r="AZ37" s="553">
        <f t="shared" si="84"/>
        <v>0.52</v>
      </c>
      <c r="BA37" s="541">
        <f t="shared" si="85"/>
        <v>0.26333333333333336</v>
      </c>
      <c r="BB37" s="1339">
        <f ca="1">(((BB35-BB33)/(BB31-BB29))*(BB28-BB29))+BB33</f>
        <v>0.26333333333333336</v>
      </c>
      <c r="BC37" s="543"/>
      <c r="BD37" s="693">
        <v>0</v>
      </c>
      <c r="BE37" s="671"/>
      <c r="BF37" s="553">
        <f t="shared" si="86"/>
        <v>-0.26</v>
      </c>
      <c r="BG37" s="541">
        <f t="shared" si="87"/>
        <v>2.6666666666666668E-2</v>
      </c>
      <c r="BH37" s="1339">
        <f ca="1">(((BH35-BH33)/(BH31-BH29))*(BH28-BH29))+BH33</f>
        <v>2.6666666666666668E-2</v>
      </c>
      <c r="BI37" s="543"/>
      <c r="BJ37" s="693">
        <v>0</v>
      </c>
      <c r="BK37" s="671"/>
      <c r="BL37" s="553">
        <f t="shared" si="88"/>
        <v>0.52</v>
      </c>
      <c r="BM37" s="541">
        <f t="shared" si="89"/>
        <v>0.26333333333333336</v>
      </c>
      <c r="BN37" s="1339">
        <f ca="1">(((BN35-BN33)/(BN31-BN29))*(BN28-BN29))+BN33</f>
        <v>0.26333333333333336</v>
      </c>
      <c r="BO37" s="543"/>
      <c r="BP37" s="693">
        <v>0</v>
      </c>
      <c r="BQ37" s="671"/>
      <c r="BR37" s="671">
        <f t="shared" si="90"/>
        <v>-0.59</v>
      </c>
      <c r="BS37" s="541">
        <f t="shared" si="91"/>
        <v>2.3333333333333334E-2</v>
      </c>
      <c r="BT37" s="1339">
        <f ca="1">(((BT35-BT33)/(BT31-BT29))*(BT28-BT29))+BT33</f>
        <v>2.3333333333333334E-2</v>
      </c>
      <c r="BU37" s="543"/>
      <c r="BV37" s="693">
        <v>0</v>
      </c>
      <c r="BW37" s="671"/>
      <c r="BX37" s="671">
        <f t="shared" si="92"/>
        <v>-0.6</v>
      </c>
      <c r="BY37" s="541">
        <f t="shared" si="93"/>
        <v>3.3333333333333333E-2</v>
      </c>
      <c r="BZ37" s="1339">
        <f ca="1">(((BZ35-BZ33)/(BZ31-BZ29))*(BZ28-BZ29))+BZ33</f>
        <v>3.3333333333333333E-2</v>
      </c>
      <c r="CA37" s="543"/>
      <c r="CB37" s="693">
        <v>0</v>
      </c>
      <c r="CC37" s="671">
        <f t="shared" si="99"/>
        <v>-1.4</v>
      </c>
      <c r="CD37" s="671">
        <v>-0.7</v>
      </c>
      <c r="CE37" s="541">
        <f t="shared" si="94"/>
        <v>0.7</v>
      </c>
      <c r="CF37" s="1339">
        <f ca="1">(((CF35-CF33)/(CF31-CF29))*(CF28-CF29))+CF33</f>
        <v>6.6666666666666666E-2</v>
      </c>
      <c r="CH37" s="693">
        <v>0</v>
      </c>
      <c r="CI37" s="671">
        <f t="shared" si="66"/>
        <v>0.03</v>
      </c>
      <c r="CJ37" s="671">
        <f>CJ13</f>
        <v>4.0000000000000001E-3</v>
      </c>
      <c r="CK37" s="541">
        <f t="shared" si="96"/>
        <v>2.5999999999999999E-2</v>
      </c>
      <c r="CL37" s="1339">
        <f ca="1">(((CL35-CL33)/(CL31-CL29))*(CL28-CL29))+CL33</f>
        <v>7.3333333333333334E-2</v>
      </c>
      <c r="CN37" s="693">
        <v>0</v>
      </c>
      <c r="CO37" s="671">
        <f t="shared" si="67"/>
        <v>-0.79</v>
      </c>
      <c r="CP37" s="671">
        <f>CP13</f>
        <v>-0.08</v>
      </c>
      <c r="CQ37" s="541">
        <f>CQ25</f>
        <v>0.71000000000000008</v>
      </c>
      <c r="CR37" s="1339">
        <f ca="1">(((CR35-CR33)/(CR31-CR29))*(CR28-CR29))+CR33</f>
        <v>0.25666666666666665</v>
      </c>
    </row>
    <row r="38" spans="2:96" s="543" customFormat="1" ht="13">
      <c r="B38" s="678"/>
      <c r="C38" s="679"/>
      <c r="D38" s="679"/>
      <c r="E38" s="683"/>
      <c r="F38" s="554"/>
      <c r="G38" s="554"/>
      <c r="H38" s="678"/>
      <c r="I38" s="679"/>
      <c r="J38" s="679"/>
      <c r="K38" s="683"/>
      <c r="L38" s="554"/>
      <c r="M38" s="554"/>
      <c r="N38" s="678"/>
      <c r="O38" s="679"/>
      <c r="P38" s="679"/>
      <c r="Q38" s="683"/>
      <c r="R38" s="554"/>
      <c r="T38" s="678"/>
      <c r="U38" s="679"/>
      <c r="V38" s="679"/>
      <c r="W38" s="683"/>
      <c r="X38" s="554"/>
      <c r="Z38" s="678"/>
      <c r="AA38" s="679"/>
      <c r="AB38" s="679"/>
      <c r="AC38" s="683"/>
      <c r="AD38" s="554"/>
      <c r="AF38" s="678"/>
      <c r="AG38" s="679"/>
      <c r="AH38" s="679"/>
      <c r="AI38" s="683"/>
      <c r="AJ38" s="554"/>
      <c r="AL38" s="558"/>
      <c r="AM38" s="679"/>
      <c r="AN38" s="679"/>
      <c r="AO38" s="683"/>
      <c r="AP38" s="554"/>
      <c r="AR38" s="558"/>
      <c r="AS38" s="679"/>
      <c r="AT38" s="679"/>
      <c r="AU38" s="683"/>
      <c r="AV38" s="554"/>
      <c r="AX38" s="678"/>
      <c r="AY38" s="544"/>
      <c r="AZ38" s="544"/>
      <c r="BA38" s="556"/>
      <c r="BB38" s="554"/>
      <c r="BD38" s="678"/>
      <c r="BE38" s="544"/>
      <c r="BF38" s="544"/>
      <c r="BG38" s="556"/>
      <c r="BH38" s="554"/>
      <c r="BJ38" s="678"/>
      <c r="BK38" s="544"/>
      <c r="BL38" s="544"/>
      <c r="BM38" s="556"/>
      <c r="BN38" s="554"/>
      <c r="BP38" s="678"/>
      <c r="BQ38" s="544"/>
      <c r="BR38" s="544"/>
      <c r="BS38" s="556"/>
      <c r="BT38" s="554"/>
      <c r="BV38" s="678"/>
      <c r="BW38" s="544"/>
      <c r="BX38" s="544"/>
      <c r="BY38" s="556"/>
      <c r="BZ38" s="554"/>
      <c r="CB38" s="678"/>
      <c r="CC38" s="544"/>
      <c r="CD38" s="544"/>
      <c r="CE38" s="556"/>
      <c r="CF38" s="554"/>
      <c r="CH38" s="678"/>
      <c r="CI38" s="544"/>
      <c r="CJ38" s="544"/>
      <c r="CK38" s="556"/>
      <c r="CL38" s="554"/>
      <c r="CN38" s="678"/>
      <c r="CO38" s="544"/>
      <c r="CP38" s="544"/>
      <c r="CQ38" s="556"/>
      <c r="CR38" s="554"/>
    </row>
    <row r="39" spans="2:96" ht="21.75" customHeight="1">
      <c r="B39" s="1195" t="s">
        <v>360</v>
      </c>
      <c r="C39" s="1197" t="str">
        <f>C27</f>
        <v>Thermocouple Data Logger, Merek : MADGETECH, Model : OctTemp 2000, SN : P40270</v>
      </c>
      <c r="D39" s="1197"/>
      <c r="E39" s="1197"/>
      <c r="F39" s="546" t="str">
        <f>F27</f>
        <v>Interpolasi</v>
      </c>
      <c r="G39" s="547"/>
      <c r="H39" s="1195" t="s">
        <v>360</v>
      </c>
      <c r="I39" s="1197" t="str">
        <f>I27</f>
        <v>Thermocouple Data Logger, Merek : MADGETECH, Model : OctTemp 2000, SN : P41878</v>
      </c>
      <c r="J39" s="1197"/>
      <c r="K39" s="1197"/>
      <c r="L39" s="546" t="str">
        <f>L27</f>
        <v>Interpolasi</v>
      </c>
      <c r="M39" s="547"/>
      <c r="N39" s="1195" t="s">
        <v>360</v>
      </c>
      <c r="O39" s="1197" t="str">
        <f>O27</f>
        <v>Mobile Corder, Merek : Yokogawa, Model : GP 10, SN : S5T810599</v>
      </c>
      <c r="P39" s="1198"/>
      <c r="Q39" s="1197"/>
      <c r="R39" s="546" t="str">
        <f>R27</f>
        <v>Interpolasi</v>
      </c>
      <c r="S39" s="543"/>
      <c r="T39" s="1195" t="s">
        <v>360</v>
      </c>
      <c r="U39" s="1197" t="str">
        <f>U27</f>
        <v>Wireless Temperature Recorder, Merek : HIOKI, Model : LR 8510, SN : 200936000</v>
      </c>
      <c r="V39" s="1198"/>
      <c r="W39" s="1197"/>
      <c r="X39" s="546" t="str">
        <f>X27</f>
        <v>Interpolasi</v>
      </c>
      <c r="Y39" s="543"/>
      <c r="Z39" s="1195" t="s">
        <v>360</v>
      </c>
      <c r="AA39" s="1197" t="str">
        <f>AA27</f>
        <v>Wireless Temperature Recorder, Merek : HIOKI, Model : LR 8510, SN : 200936001</v>
      </c>
      <c r="AB39" s="1198"/>
      <c r="AC39" s="1197"/>
      <c r="AD39" s="546" t="str">
        <f>AD27</f>
        <v>Interpolasi</v>
      </c>
      <c r="AE39" s="543"/>
      <c r="AF39" s="1195" t="s">
        <v>360</v>
      </c>
      <c r="AG39" s="1197" t="str">
        <f>AG27</f>
        <v>Wireless Temperature Recorder, Merek : HIOKI, Model : LR 8510, SN : 200821397</v>
      </c>
      <c r="AH39" s="1198"/>
      <c r="AI39" s="1197"/>
      <c r="AJ39" s="546" t="str">
        <f>AJ27</f>
        <v>Interpolasi</v>
      </c>
      <c r="AK39" s="543"/>
      <c r="AL39" s="1199" t="s">
        <v>360</v>
      </c>
      <c r="AM39" s="1197" t="str">
        <f>AM27</f>
        <v>Wireless Temperature Recorder, Merek : HIOKI, Model : LR 8510, SN : 210411983</v>
      </c>
      <c r="AN39" s="1198"/>
      <c r="AO39" s="1197"/>
      <c r="AP39" s="546" t="str">
        <f>AP27</f>
        <v>Interpolasi</v>
      </c>
      <c r="AQ39" s="543"/>
      <c r="AR39" s="1199" t="s">
        <v>360</v>
      </c>
      <c r="AS39" s="1197" t="str">
        <f>AS27</f>
        <v>Wireless Temperature Recorder, Merek : HIOKI, Model : LR 8510, SN : 210411984</v>
      </c>
      <c r="AT39" s="1198"/>
      <c r="AU39" s="1197"/>
      <c r="AV39" s="546" t="str">
        <f>AV27</f>
        <v>Interpolasi</v>
      </c>
      <c r="AW39" s="543"/>
      <c r="AX39" s="1195" t="s">
        <v>360</v>
      </c>
      <c r="AY39" s="1193" t="str">
        <f>AY27</f>
        <v>Wireless Temperature Recorder, Merek : HIOKI, Model : LR 8510, SN : 210411985</v>
      </c>
      <c r="AZ39" s="1194"/>
      <c r="BA39" s="1193"/>
      <c r="BB39" s="546" t="str">
        <f>BB27</f>
        <v>Interpolasi</v>
      </c>
      <c r="BC39" s="543"/>
      <c r="BD39" s="1195" t="s">
        <v>360</v>
      </c>
      <c r="BE39" s="1193" t="str">
        <f>BE27</f>
        <v>Wireless Temperature Recorder, Merek : HIOKI, Model : LR 8510, SN : 210746054</v>
      </c>
      <c r="BF39" s="1194"/>
      <c r="BG39" s="1193"/>
      <c r="BH39" s="546" t="str">
        <f>BH27</f>
        <v>Interpolasi</v>
      </c>
      <c r="BI39" s="543"/>
      <c r="BJ39" s="1195" t="s">
        <v>360</v>
      </c>
      <c r="BK39" s="1193" t="str">
        <f>BK27</f>
        <v>Wireless Temperature Recorder, Merek : HIOKI, Model : LR 8510, SN : 210746055</v>
      </c>
      <c r="BL39" s="1194"/>
      <c r="BM39" s="1193"/>
      <c r="BN39" s="546" t="str">
        <f>BN27</f>
        <v>Interpolasi</v>
      </c>
      <c r="BO39" s="543"/>
      <c r="BP39" s="1195" t="s">
        <v>360</v>
      </c>
      <c r="BQ39" s="1193" t="str">
        <f>BQ27</f>
        <v>Wireless Temperature Recorder, Merek : HIOKI, Model : LR 8510, SN : 210746056</v>
      </c>
      <c r="BR39" s="1194"/>
      <c r="BS39" s="1193"/>
      <c r="BT39" s="546" t="str">
        <f>BT27</f>
        <v>Interpolasi</v>
      </c>
      <c r="BU39" s="543"/>
      <c r="BV39" s="1195" t="s">
        <v>360</v>
      </c>
      <c r="BW39" s="1193" t="str">
        <f>BW27</f>
        <v>Wireless Temperature Recorder, Merek : HIOKI, Model : LR 8510, SN : 200821396</v>
      </c>
      <c r="BX39" s="1194"/>
      <c r="BY39" s="1193"/>
      <c r="BZ39" s="546" t="str">
        <f>BZ27</f>
        <v>Interpolasi</v>
      </c>
      <c r="CA39" s="543"/>
      <c r="CB39" s="1195" t="s">
        <v>360</v>
      </c>
      <c r="CC39" s="1193" t="str">
        <f>CC27</f>
        <v>Reference Thermometer, Merek : APPA, Model : APPA51, SN : 03002948</v>
      </c>
      <c r="CD39" s="1194"/>
      <c r="CE39" s="1193"/>
      <c r="CF39" s="546" t="str">
        <f>CF27</f>
        <v>Interpolasi</v>
      </c>
      <c r="CH39" s="1195" t="s">
        <v>360</v>
      </c>
      <c r="CI39" s="1193" t="str">
        <f t="shared" ref="CI39:CI49" si="100">CI27</f>
        <v>Reference Thermometer, Merek : FLUKE, Model : 1524, SN : 1803038</v>
      </c>
      <c r="CJ39" s="1194"/>
      <c r="CK39" s="1193"/>
      <c r="CL39" s="546" t="str">
        <f>CL27</f>
        <v>Interpolasi</v>
      </c>
      <c r="CN39" s="1195" t="s">
        <v>360</v>
      </c>
      <c r="CO39" s="1193" t="str">
        <f t="shared" ref="CO39:CO49" si="101">CO27</f>
        <v>Reference Thermometer, Merek : FLUKE, Model : 1524, SN : 1803037</v>
      </c>
      <c r="CP39" s="1194"/>
      <c r="CQ39" s="1193"/>
      <c r="CR39" s="546" t="str">
        <f>CR27</f>
        <v>Interpolasi</v>
      </c>
    </row>
    <row r="40" spans="2:96" ht="13">
      <c r="B40" s="1196"/>
      <c r="C40" s="681">
        <f>C28</f>
        <v>2021</v>
      </c>
      <c r="D40" s="681">
        <f>D28</f>
        <v>2022</v>
      </c>
      <c r="E40" s="682" t="s">
        <v>357</v>
      </c>
      <c r="F40" s="656">
        <f ca="1">$B$243</f>
        <v>-26.693000000000005</v>
      </c>
      <c r="G40" s="551"/>
      <c r="H40" s="1196"/>
      <c r="I40" s="677">
        <f>I28</f>
        <v>2021</v>
      </c>
      <c r="J40" s="681">
        <f>J28</f>
        <v>2022</v>
      </c>
      <c r="K40" s="682" t="s">
        <v>357</v>
      </c>
      <c r="L40" s="656">
        <f ca="1">$B$243</f>
        <v>-26.693000000000005</v>
      </c>
      <c r="M40" s="551"/>
      <c r="N40" s="1196"/>
      <c r="O40" s="677">
        <f>O4</f>
        <v>2021</v>
      </c>
      <c r="P40" s="681">
        <f>P4</f>
        <v>2023</v>
      </c>
      <c r="Q40" s="682" t="s">
        <v>357</v>
      </c>
      <c r="R40" s="656">
        <f ca="1">$B$243</f>
        <v>-26.693000000000005</v>
      </c>
      <c r="S40" s="543"/>
      <c r="T40" s="1196"/>
      <c r="U40" s="668">
        <f>U28</f>
        <v>0</v>
      </c>
      <c r="V40" s="681">
        <f>V16</f>
        <v>2022</v>
      </c>
      <c r="W40" s="682" t="s">
        <v>357</v>
      </c>
      <c r="X40" s="656">
        <f ca="1">$B$243</f>
        <v>-26.693000000000005</v>
      </c>
      <c r="Y40" s="543"/>
      <c r="Z40" s="1196"/>
      <c r="AA40" s="668">
        <f>AA28</f>
        <v>2021</v>
      </c>
      <c r="AB40" s="681">
        <f>AB28</f>
        <v>2023</v>
      </c>
      <c r="AC40" s="682" t="s">
        <v>357</v>
      </c>
      <c r="AD40" s="656">
        <f ca="1">$B$243</f>
        <v>-26.693000000000005</v>
      </c>
      <c r="AE40" s="543"/>
      <c r="AF40" s="1196"/>
      <c r="AG40" s="668">
        <f>AG28</f>
        <v>2021</v>
      </c>
      <c r="AH40" s="677">
        <f>AH28</f>
        <v>2023</v>
      </c>
      <c r="AI40" s="682" t="s">
        <v>357</v>
      </c>
      <c r="AJ40" s="656">
        <f ca="1">$B$243</f>
        <v>-26.693000000000005</v>
      </c>
      <c r="AK40" s="543"/>
      <c r="AL40" s="1200"/>
      <c r="AM40" s="677">
        <f>AM28</f>
        <v>0</v>
      </c>
      <c r="AN40" s="681">
        <f>AN28</f>
        <v>2023</v>
      </c>
      <c r="AO40" s="682" t="s">
        <v>357</v>
      </c>
      <c r="AP40" s="656">
        <f ca="1">$B$243</f>
        <v>-26.693000000000005</v>
      </c>
      <c r="AQ40" s="543"/>
      <c r="AR40" s="1200"/>
      <c r="AS40" s="677">
        <f>AS28</f>
        <v>2021</v>
      </c>
      <c r="AT40" s="681">
        <f>AT28</f>
        <v>2023</v>
      </c>
      <c r="AU40" s="682" t="s">
        <v>357</v>
      </c>
      <c r="AV40" s="656">
        <f ca="1">$B$243</f>
        <v>-26.693000000000005</v>
      </c>
      <c r="AW40" s="543"/>
      <c r="AX40" s="1196"/>
      <c r="AY40" s="668">
        <f>AY28</f>
        <v>0</v>
      </c>
      <c r="AZ40" s="549">
        <f>AZ28</f>
        <v>2021</v>
      </c>
      <c r="BA40" s="550" t="s">
        <v>357</v>
      </c>
      <c r="BB40" s="656">
        <f ca="1">$B$243</f>
        <v>-26.693000000000005</v>
      </c>
      <c r="BC40" s="543"/>
      <c r="BD40" s="1196"/>
      <c r="BE40" s="668">
        <f>BE28</f>
        <v>0</v>
      </c>
      <c r="BF40" s="549"/>
      <c r="BG40" s="550" t="s">
        <v>357</v>
      </c>
      <c r="BH40" s="656">
        <f ca="1">$B$243</f>
        <v>-26.693000000000005</v>
      </c>
      <c r="BI40" s="543"/>
      <c r="BJ40" s="1196"/>
      <c r="BK40" s="668">
        <f>BK28</f>
        <v>2021</v>
      </c>
      <c r="BL40" s="549">
        <f>BL28</f>
        <v>2021</v>
      </c>
      <c r="BM40" s="550" t="s">
        <v>357</v>
      </c>
      <c r="BN40" s="656">
        <f ca="1">$B$243</f>
        <v>-26.693000000000005</v>
      </c>
      <c r="BO40" s="543"/>
      <c r="BP40" s="1196"/>
      <c r="BQ40" s="668">
        <f>BQ28</f>
        <v>2021</v>
      </c>
      <c r="BR40" s="549">
        <f>BR28</f>
        <v>2022</v>
      </c>
      <c r="BS40" s="550" t="s">
        <v>357</v>
      </c>
      <c r="BT40" s="656">
        <f ca="1">$B$243</f>
        <v>-26.693000000000005</v>
      </c>
      <c r="BU40" s="543"/>
      <c r="BV40" s="1196"/>
      <c r="BW40" s="552">
        <f>BW28</f>
        <v>0</v>
      </c>
      <c r="BX40" s="549">
        <f>BX28</f>
        <v>2022</v>
      </c>
      <c r="BY40" s="550" t="s">
        <v>357</v>
      </c>
      <c r="BZ40" s="656">
        <f ca="1">$B$243</f>
        <v>-26.693000000000005</v>
      </c>
      <c r="CA40" s="543"/>
      <c r="CB40" s="1196"/>
      <c r="CC40" s="668">
        <f>CC28</f>
        <v>2022</v>
      </c>
      <c r="CD40" s="669">
        <f>CD28</f>
        <v>2020</v>
      </c>
      <c r="CE40" s="550" t="s">
        <v>357</v>
      </c>
      <c r="CF40" s="656">
        <f ca="1">$B$243</f>
        <v>-26.693000000000005</v>
      </c>
      <c r="CH40" s="1196"/>
      <c r="CI40" s="668">
        <f t="shared" si="100"/>
        <v>2021</v>
      </c>
      <c r="CJ40" s="669">
        <f t="shared" ref="CJ40:CJ47" si="102">CJ28</f>
        <v>2019</v>
      </c>
      <c r="CK40" s="550" t="s">
        <v>357</v>
      </c>
      <c r="CL40" s="656">
        <f ca="1">$B$243</f>
        <v>-26.693000000000005</v>
      </c>
      <c r="CN40" s="1196"/>
      <c r="CO40" s="668">
        <f t="shared" si="101"/>
        <v>2021</v>
      </c>
      <c r="CP40" s="669">
        <f>CP28</f>
        <v>2020</v>
      </c>
      <c r="CQ40" s="550" t="s">
        <v>357</v>
      </c>
      <c r="CR40" s="656">
        <f ca="1">$B$243</f>
        <v>-26.693000000000005</v>
      </c>
    </row>
    <row r="41" spans="2:96" ht="13">
      <c r="B41" s="693">
        <v>-40</v>
      </c>
      <c r="C41" s="671"/>
      <c r="D41" s="671">
        <f>U143</f>
        <v>0</v>
      </c>
      <c r="E41" s="652">
        <f t="shared" ref="E41:E49" si="103">IF(OR(C41=0,D41=0),$U$152/3,((MAX(C41:D41)-(MIN(C41:D41)))))</f>
        <v>0.11333333333333334</v>
      </c>
      <c r="F41" s="654">
        <f ca="1">IF($L$4&lt;=$B$6,$B$5,IF($L$4&lt;=$B$8,$B$7,IF($L$4&lt;=$B$10,$B$9,IF($L$4&lt;=$B$12,$B$11,IF($L$4&lt;=$B$13,$B$13)))))</f>
        <v>-30</v>
      </c>
      <c r="G41" s="554"/>
      <c r="H41" s="693">
        <v>-40</v>
      </c>
      <c r="I41" s="671"/>
      <c r="J41" s="671">
        <f t="shared" ref="J41:J47" si="104">V143</f>
        <v>0</v>
      </c>
      <c r="K41" s="652">
        <f t="shared" ref="K41:K47" si="105">IF(OR(I41=0,J41=0),$V$152/3,((MAX(I41:J41)-(MIN(I41:J41)))))</f>
        <v>0.18666666666666668</v>
      </c>
      <c r="L41" s="654">
        <f ca="1">IF($L$4&lt;=$B$6,$B$5,IF($L$4&lt;=$B$8,$B$7,IF($L$4&lt;=$B$10,$B$9,IF($L$4&lt;=$B$12,$B$11,IF($L$4&lt;=$B$13,$B$13)))))</f>
        <v>-30</v>
      </c>
      <c r="M41" s="554"/>
      <c r="N41" s="693">
        <v>-40</v>
      </c>
      <c r="O41" s="671">
        <v>0</v>
      </c>
      <c r="P41" s="671">
        <f>W143</f>
        <v>0</v>
      </c>
      <c r="Q41" s="652">
        <f t="shared" ref="Q41:Q47" si="106">IF(OR(O41=0,P41=0),$W$152/3,((MAX(O41:P41)-(MIN(O41:P41)))))</f>
        <v>9.3333333333333338E-2</v>
      </c>
      <c r="R41" s="654">
        <f ca="1">IF($L$4&lt;=$B$6,$B$5,IF($L$4&lt;=$B$8,$B$7,IF($L$4&lt;=$B$10,$B$9,IF($L$4&lt;=$B$12,$B$11,IF($L$4&lt;=$B$13,$B$13)))))</f>
        <v>-30</v>
      </c>
      <c r="S41" s="543"/>
      <c r="T41" s="693">
        <v>-40</v>
      </c>
      <c r="U41" s="671"/>
      <c r="V41" s="671">
        <f>X143</f>
        <v>-2.61</v>
      </c>
      <c r="W41" s="652">
        <f t="shared" ref="W41:W47" si="107">IF(OR(U41=0,V41=0),$X$152/3,((MAX(U41:V41)-(MIN(U41:V41)))))</f>
        <v>3.6666666666666667E-2</v>
      </c>
      <c r="X41" s="654">
        <f ca="1">IF($L$4&lt;=$B$6,$B$5,IF($L$4&lt;=$B$8,$B$7,IF($L$4&lt;=$B$10,$B$9,IF($L$4&lt;=$B$12,$B$11,IF($L$4&lt;=$B$13,$B$13)))))</f>
        <v>-30</v>
      </c>
      <c r="Y41" s="543"/>
      <c r="Z41" s="693">
        <v>-40</v>
      </c>
      <c r="AA41" s="671">
        <v>0</v>
      </c>
      <c r="AB41" s="671">
        <f>Y143</f>
        <v>0.06</v>
      </c>
      <c r="AC41" s="652">
        <f t="shared" ref="AC41:AC49" si="108">IF(OR(AA41=0,AB41=0),$Y$152/3,((MAX(AA41:AB41)-(MIN(AA41:AB41)))))</f>
        <v>2.6666666666666668E-2</v>
      </c>
      <c r="AD41" s="654">
        <f ca="1">IF($L$4&lt;=$B$6,$B$5,IF($L$4&lt;=$B$8,$B$7,IF($L$4&lt;=$B$10,$B$9,IF($L$4&lt;=$B$12,$B$11,IF($L$4&lt;=$B$13,$B$13)))))</f>
        <v>-30</v>
      </c>
      <c r="AE41" s="543"/>
      <c r="AF41" s="693">
        <v>-40</v>
      </c>
      <c r="AG41" s="671">
        <v>0</v>
      </c>
      <c r="AH41" s="671">
        <f>Z143</f>
        <v>7.0000000000000007E-2</v>
      </c>
      <c r="AI41" s="652">
        <f t="shared" ref="AI41:AI49" si="109">IF(OR(AG41=0,AH41=0),$Z$152/3,((MAX(AG41:AH41)-(MIN(AG41:AH41)))))</f>
        <v>0.04</v>
      </c>
      <c r="AJ41" s="654">
        <f ca="1">IF($L$4&lt;=$B$6,$B$5,IF($L$4&lt;=$B$8,$B$7,IF($L$4&lt;=$B$10,$B$9,IF($L$4&lt;=$B$12,$B$11,IF($L$4&lt;=$B$13,$B$13)))))</f>
        <v>-30</v>
      </c>
      <c r="AK41" s="543"/>
      <c r="AL41" s="693">
        <v>-40</v>
      </c>
      <c r="AM41" s="671"/>
      <c r="AN41" s="671">
        <f>AA143</f>
        <v>0.4</v>
      </c>
      <c r="AO41" s="652">
        <f t="shared" ref="AO41:AO49" si="110">IF(OR(AM41=0,AN41=0),$AA$152/3,((MAX(AM41:AN41)-(MIN(AM41:AN41)))))</f>
        <v>0.03</v>
      </c>
      <c r="AP41" s="654">
        <f ca="1">IF($L$4&lt;=$B$6,$B$5,IF($L$4&lt;=$B$8,$B$7,IF($L$4&lt;=$B$10,$B$9,IF($L$4&lt;=$B$12,$B$11,IF($L$4&lt;=$B$13,$B$13)))))</f>
        <v>-30</v>
      </c>
      <c r="AQ41" s="543"/>
      <c r="AR41" s="693">
        <v>-40</v>
      </c>
      <c r="AS41" s="671"/>
      <c r="AT41" s="671">
        <f>AB143</f>
        <v>0.27</v>
      </c>
      <c r="AU41" s="652">
        <f t="shared" ref="AU41:AU49" si="111">IF(OR(AS41=0,AT41=0),$AB$152/3,((MAX(AS41:AT41)-(MIN(AS41:AT41)))))</f>
        <v>3.3333333333333333E-2</v>
      </c>
      <c r="AV41" s="654">
        <f ca="1">IF($L$4&lt;=$B$6,$B$5,IF($L$4&lt;=$B$8,$B$7,IF($L$4&lt;=$B$10,$B$9,IF($L$4&lt;=$B$12,$B$11,IF($L$4&lt;=$B$13,$B$13)))))</f>
        <v>-30</v>
      </c>
      <c r="AW41" s="543"/>
      <c r="AX41" s="693">
        <v>-40</v>
      </c>
      <c r="AY41" s="671"/>
      <c r="AZ41" s="553">
        <f>AC143</f>
        <v>0</v>
      </c>
      <c r="BA41" s="541">
        <f t="shared" ref="BA41:BA49" si="112">IF(OR(AY41=0,AZ41=0),$AC$152/3,((MAX(AY41:AZ41)-(MIN(AY41:AZ41)))))</f>
        <v>0.26333333333333336</v>
      </c>
      <c r="BB41" s="654">
        <f ca="1">IF($L$4&lt;=$B$6,$B$5,IF($L$4&lt;=$B$8,$B$7,IF($L$4&lt;=$B$10,$B$9,IF($L$4&lt;=$B$12,$B$11,IF($L$4&lt;=$B$13,$B$13)))))</f>
        <v>-30</v>
      </c>
      <c r="BC41" s="543"/>
      <c r="BD41" s="693">
        <v>-40</v>
      </c>
      <c r="BE41" s="671"/>
      <c r="BF41" s="553">
        <f>AD143</f>
        <v>-2.34</v>
      </c>
      <c r="BG41" s="541">
        <f t="shared" ref="BG41:BG49" si="113">IF(OR(BE41=0,BF41=0),$AD$152/3,((MAX(BE41:BF41)-(MIN(BE41:BF41)))))</f>
        <v>2.6666666666666668E-2</v>
      </c>
      <c r="BH41" s="654">
        <f ca="1">IF($L$4&lt;=$B$6,$B$5,IF($L$4&lt;=$B$8,$B$7,IF($L$4&lt;=$B$10,$B$9,IF($L$4&lt;=$B$12,$B$11,IF($L$4&lt;=$B$13,$B$13)))))</f>
        <v>-30</v>
      </c>
      <c r="BI41" s="543"/>
      <c r="BJ41" s="693">
        <v>-40</v>
      </c>
      <c r="BK41" s="671"/>
      <c r="BL41" s="553">
        <f>AE157</f>
        <v>0</v>
      </c>
      <c r="BM41" s="541">
        <f t="shared" ref="BM41:BM49" si="114">IF(OR(BK41=0,BL41=0),$AE$152/3,((MAX(BK41:BL41)-(MIN(BK41:BL41)))))</f>
        <v>0.26333333333333336</v>
      </c>
      <c r="BN41" s="654">
        <f ca="1">IF($L$4&lt;=$B$6,$B$5,IF($L$4&lt;=$B$8,$B$7,IF($L$4&lt;=$B$10,$B$9,IF($L$4&lt;=$B$12,$B$11,IF($L$4&lt;=$B$13,$B$13)))))</f>
        <v>-30</v>
      </c>
      <c r="BO41" s="543"/>
      <c r="BP41" s="693">
        <v>-40</v>
      </c>
      <c r="BQ41" s="671"/>
      <c r="BR41" s="671">
        <f>AF143</f>
        <v>-2.4500000000000002</v>
      </c>
      <c r="BS41" s="541">
        <f t="shared" ref="BS41:BS49" si="115">IF(OR(BQ41=0,BR41=0),$AF$152/3,((MAX(BQ41:BR41)-(MIN(BQ41:BR41)))))</f>
        <v>2.3333333333333334E-2</v>
      </c>
      <c r="BT41" s="654">
        <f ca="1">IF($L$4&lt;=$B$6,$B$5,IF($L$4&lt;=$B$8,$B$7,IF($L$4&lt;=$B$10,$B$9,IF($L$4&lt;=$B$12,$B$11,IF($L$4&lt;=$B$13,$B$13)))))</f>
        <v>-30</v>
      </c>
      <c r="BU41" s="543"/>
      <c r="BV41" s="693">
        <v>-40</v>
      </c>
      <c r="BW41" s="671"/>
      <c r="BX41" s="671">
        <f>AG143</f>
        <v>-2.71</v>
      </c>
      <c r="BY41" s="541">
        <f t="shared" ref="BY41:BY49" si="116">IF(OR(BW41=0,BX41=0),$AG$152/3,((MAX(BW41:BX41)-(MIN(BW41:BX41)))))</f>
        <v>3.3333333333333333E-2</v>
      </c>
      <c r="BZ41" s="654">
        <f ca="1">IF($L$4&lt;=$B$6,$B$5,IF($L$4&lt;=$B$8,$B$7,IF($L$4&lt;=$B$10,$B$9,IF($L$4&lt;=$B$12,$B$11,IF($L$4&lt;=$B$13,$B$13)))))</f>
        <v>-30</v>
      </c>
      <c r="CA41" s="543"/>
      <c r="CB41" s="693">
        <v>-40</v>
      </c>
      <c r="CC41" s="671">
        <f>CC29</f>
        <v>-1.7</v>
      </c>
      <c r="CD41" s="671"/>
      <c r="CE41" s="541">
        <f t="shared" ref="CE41:CE49" si="117">CE29</f>
        <v>6.6666666666666666E-2</v>
      </c>
      <c r="CF41" s="654">
        <f ca="1">IF($L$4&lt;=$B$6,$B$5,IF($L$4&lt;=$B$8,$B$7,IF($L$4&lt;=$B$10,$B$9,IF($L$4&lt;=$B$12,$B$11,IF($L$4&lt;=$B$13,$B$13)))))</f>
        <v>-30</v>
      </c>
      <c r="CH41" s="693">
        <v>-40</v>
      </c>
      <c r="CI41" s="671">
        <f t="shared" si="100"/>
        <v>0</v>
      </c>
      <c r="CJ41" s="671">
        <f t="shared" si="102"/>
        <v>0</v>
      </c>
      <c r="CK41" s="541">
        <f t="shared" ref="CK41:CK49" si="118">CK29</f>
        <v>7.3333333333333334E-2</v>
      </c>
      <c r="CL41" s="654">
        <f ca="1">IF($L$4&lt;=$B$6,$B$5,IF($L$4&lt;=$B$8,$B$7,IF($L$4&lt;=$B$10,$B$9,IF($L$4&lt;=$B$12,$B$11,IF($L$4&lt;=$B$13,$B$13)))))</f>
        <v>-30</v>
      </c>
      <c r="CN41" s="693">
        <v>-40</v>
      </c>
      <c r="CO41" s="671">
        <f t="shared" si="101"/>
        <v>0</v>
      </c>
      <c r="CP41" s="671">
        <f t="shared" ref="CP41:CP47" si="119">CP5</f>
        <v>0</v>
      </c>
      <c r="CQ41" s="541">
        <f t="shared" ref="CQ41:CQ47" si="120">CQ29</f>
        <v>0.25666666666666665</v>
      </c>
      <c r="CR41" s="654">
        <f ca="1">IF($L$4&lt;=$B$6,$B$5,IF($L$4&lt;=$B$8,$B$7,IF($L$4&lt;=$B$10,$B$9,IF($L$4&lt;=$B$12,$B$11,IF($L$4&lt;=$B$13,$B$13)))))</f>
        <v>-30</v>
      </c>
    </row>
    <row r="42" spans="2:96" ht="13">
      <c r="B42" s="693">
        <v>-35</v>
      </c>
      <c r="C42" s="671"/>
      <c r="D42" s="671">
        <f t="shared" ref="D42:D47" si="121">U144</f>
        <v>0</v>
      </c>
      <c r="E42" s="652">
        <f t="shared" si="103"/>
        <v>0.11333333333333334</v>
      </c>
      <c r="F42" s="651"/>
      <c r="G42" s="554"/>
      <c r="H42" s="693">
        <v>-35</v>
      </c>
      <c r="I42" s="671"/>
      <c r="J42" s="671">
        <f t="shared" si="104"/>
        <v>0</v>
      </c>
      <c r="K42" s="652">
        <f t="shared" si="105"/>
        <v>0.18666666666666668</v>
      </c>
      <c r="L42" s="651"/>
      <c r="M42" s="554"/>
      <c r="N42" s="693">
        <v>-35</v>
      </c>
      <c r="O42" s="671">
        <v>0</v>
      </c>
      <c r="P42" s="671">
        <f t="shared" ref="P42:P49" si="122">W144</f>
        <v>0</v>
      </c>
      <c r="Q42" s="652">
        <f t="shared" si="106"/>
        <v>9.3333333333333338E-2</v>
      </c>
      <c r="R42" s="651"/>
      <c r="S42" s="543"/>
      <c r="T42" s="693">
        <v>-35</v>
      </c>
      <c r="U42" s="671"/>
      <c r="V42" s="671">
        <f t="shared" ref="V42:V47" si="123">X144</f>
        <v>0</v>
      </c>
      <c r="W42" s="652">
        <f t="shared" si="107"/>
        <v>3.6666666666666667E-2</v>
      </c>
      <c r="X42" s="651"/>
      <c r="Y42" s="543"/>
      <c r="Z42" s="693">
        <v>-35</v>
      </c>
      <c r="AA42" s="671">
        <v>0</v>
      </c>
      <c r="AB42" s="671">
        <f t="shared" ref="AB42:AB48" si="124">Y144</f>
        <v>0.03</v>
      </c>
      <c r="AC42" s="652">
        <f t="shared" si="108"/>
        <v>2.6666666666666668E-2</v>
      </c>
      <c r="AD42" s="651"/>
      <c r="AE42" s="543"/>
      <c r="AF42" s="693">
        <v>-35</v>
      </c>
      <c r="AG42" s="671">
        <v>0</v>
      </c>
      <c r="AH42" s="671">
        <f t="shared" ref="AH42:AH48" si="125">Z144</f>
        <v>0.02</v>
      </c>
      <c r="AI42" s="652">
        <f t="shared" si="109"/>
        <v>0.04</v>
      </c>
      <c r="AJ42" s="651"/>
      <c r="AK42" s="543"/>
      <c r="AL42" s="693">
        <v>-35</v>
      </c>
      <c r="AM42" s="671"/>
      <c r="AN42" s="671">
        <f t="shared" ref="AN42:AN48" si="126">AA144</f>
        <v>0.4</v>
      </c>
      <c r="AO42" s="652">
        <f t="shared" si="110"/>
        <v>0.03</v>
      </c>
      <c r="AP42" s="651"/>
      <c r="AQ42" s="543"/>
      <c r="AR42" s="693">
        <v>-35</v>
      </c>
      <c r="AS42" s="671"/>
      <c r="AT42" s="671">
        <f t="shared" ref="AT42:AT48" si="127">AB144</f>
        <v>0.28999999999999998</v>
      </c>
      <c r="AU42" s="652">
        <f t="shared" si="111"/>
        <v>3.3333333333333333E-2</v>
      </c>
      <c r="AV42" s="651"/>
      <c r="AW42" s="543"/>
      <c r="AX42" s="693">
        <v>-35</v>
      </c>
      <c r="AY42" s="671"/>
      <c r="AZ42" s="553">
        <f t="shared" ref="AZ42:AZ48" si="128">AC144</f>
        <v>0</v>
      </c>
      <c r="BA42" s="541">
        <f t="shared" si="112"/>
        <v>0.26333333333333336</v>
      </c>
      <c r="BB42" s="651"/>
      <c r="BC42" s="543"/>
      <c r="BD42" s="693">
        <v>-35</v>
      </c>
      <c r="BE42" s="671"/>
      <c r="BF42" s="553">
        <f t="shared" ref="BF42:BF48" si="129">AD144</f>
        <v>0</v>
      </c>
      <c r="BG42" s="541">
        <f t="shared" si="113"/>
        <v>2.6666666666666668E-2</v>
      </c>
      <c r="BH42" s="651"/>
      <c r="BI42" s="543"/>
      <c r="BJ42" s="693">
        <v>-35</v>
      </c>
      <c r="BK42" s="671"/>
      <c r="BL42" s="553">
        <f t="shared" ref="BL42:BL48" si="130">AE158</f>
        <v>0</v>
      </c>
      <c r="BM42" s="541">
        <f t="shared" si="114"/>
        <v>0.26333333333333336</v>
      </c>
      <c r="BN42" s="651"/>
      <c r="BO42" s="543"/>
      <c r="BP42" s="693">
        <v>-35</v>
      </c>
      <c r="BQ42" s="671"/>
      <c r="BR42" s="671">
        <f t="shared" ref="BR42:BR48" si="131">AF144</f>
        <v>0</v>
      </c>
      <c r="BS42" s="541">
        <f t="shared" si="115"/>
        <v>2.3333333333333334E-2</v>
      </c>
      <c r="BT42" s="651"/>
      <c r="BU42" s="543"/>
      <c r="BV42" s="693">
        <v>-35</v>
      </c>
      <c r="BW42" s="671"/>
      <c r="BX42" s="671">
        <f t="shared" ref="BX42:BX48" si="132">AG144</f>
        <v>0</v>
      </c>
      <c r="BY42" s="541">
        <f t="shared" si="116"/>
        <v>3.3333333333333333E-2</v>
      </c>
      <c r="BZ42" s="651"/>
      <c r="CA42" s="543"/>
      <c r="CB42" s="693">
        <v>-35</v>
      </c>
      <c r="CC42" s="671">
        <f t="shared" ref="CC42:CC49" si="133">CC30</f>
        <v>-1.4</v>
      </c>
      <c r="CD42" s="671"/>
      <c r="CE42" s="541">
        <f t="shared" si="117"/>
        <v>6.6666666666666666E-2</v>
      </c>
      <c r="CF42" s="651"/>
      <c r="CH42" s="693">
        <v>-35</v>
      </c>
      <c r="CI42" s="671">
        <f t="shared" si="100"/>
        <v>0</v>
      </c>
      <c r="CJ42" s="671">
        <f t="shared" si="102"/>
        <v>0</v>
      </c>
      <c r="CK42" s="541">
        <f t="shared" si="118"/>
        <v>7.3333333333333334E-2</v>
      </c>
      <c r="CL42" s="651"/>
      <c r="CN42" s="693">
        <v>-35</v>
      </c>
      <c r="CO42" s="671">
        <f t="shared" si="101"/>
        <v>0</v>
      </c>
      <c r="CP42" s="671">
        <f t="shared" si="119"/>
        <v>0</v>
      </c>
      <c r="CQ42" s="541">
        <f t="shared" si="120"/>
        <v>0.25666666666666665</v>
      </c>
      <c r="CR42" s="651"/>
    </row>
    <row r="43" spans="2:96" ht="13">
      <c r="B43" s="693">
        <v>-30</v>
      </c>
      <c r="C43" s="671"/>
      <c r="D43" s="671">
        <f t="shared" si="121"/>
        <v>0</v>
      </c>
      <c r="E43" s="652">
        <f t="shared" si="103"/>
        <v>0.11333333333333334</v>
      </c>
      <c r="F43" s="654">
        <f ca="1">IF($L$4&lt;=$B$5,$B$5,IF($L$4&lt;=$B$6,$B$6,IF($L$4&lt;=$B$7,$B$7,IF($L$4&lt;=$B$8,$B$8,IF($L$4&lt;=$B$9,$B$9,IF($L$4&lt;=$B$10,$B$10,IF($L$4&lt;=$B$11,$B$11)))))))</f>
        <v>-25</v>
      </c>
      <c r="G43" s="554"/>
      <c r="H43" s="693">
        <v>-30</v>
      </c>
      <c r="I43" s="671"/>
      <c r="J43" s="671">
        <f t="shared" si="104"/>
        <v>0</v>
      </c>
      <c r="K43" s="652">
        <f t="shared" si="105"/>
        <v>0.18666666666666668</v>
      </c>
      <c r="L43" s="654">
        <f ca="1">IF($L$4&lt;=$B$5,$B$5,IF($L$4&lt;=$B$6,$B$6,IF($L$4&lt;=$B$7,$B$7,IF($L$4&lt;=$B$8,$B$8,IF($L$4&lt;=$B$9,$B$9,IF($L$4&lt;=$B$10,$B$10,IF($L$4&lt;=$B$11,$B$11)))))))</f>
        <v>-25</v>
      </c>
      <c r="M43" s="554"/>
      <c r="N43" s="693">
        <v>-30</v>
      </c>
      <c r="O43" s="671">
        <v>0</v>
      </c>
      <c r="P43" s="671">
        <f t="shared" si="122"/>
        <v>0</v>
      </c>
      <c r="Q43" s="652">
        <f t="shared" si="106"/>
        <v>9.3333333333333338E-2</v>
      </c>
      <c r="R43" s="654">
        <f ca="1">IF($L$4&lt;=$B$5,$B$5,IF($L$4&lt;=$B$6,$B$6,IF($L$4&lt;=$B$7,$B$7,IF($L$4&lt;=$B$8,$B$8,IF($L$4&lt;=$B$9,$B$9,IF($L$4&lt;=$B$10,$B$10,IF($L$4&lt;=$B$11,$B$11)))))))</f>
        <v>-25</v>
      </c>
      <c r="S43" s="543"/>
      <c r="T43" s="693">
        <v>-30</v>
      </c>
      <c r="U43" s="671"/>
      <c r="V43" s="671">
        <f t="shared" si="123"/>
        <v>0</v>
      </c>
      <c r="W43" s="652">
        <f t="shared" si="107"/>
        <v>3.6666666666666667E-2</v>
      </c>
      <c r="X43" s="654">
        <f ca="1">IF($L$4&lt;=$B$5,$B$5,IF($L$4&lt;=$B$6,$B$6,IF($L$4&lt;=$B$7,$B$7,IF($L$4&lt;=$B$8,$B$8,IF($L$4&lt;=$B$9,$B$9,IF($L$4&lt;=$B$10,$B$10,IF($L$4&lt;=$B$11,$B$11)))))))</f>
        <v>-25</v>
      </c>
      <c r="Y43" s="543"/>
      <c r="Z43" s="693">
        <v>-30</v>
      </c>
      <c r="AA43" s="671">
        <v>0</v>
      </c>
      <c r="AB43" s="671">
        <f t="shared" si="124"/>
        <v>0.02</v>
      </c>
      <c r="AC43" s="652">
        <f t="shared" si="108"/>
        <v>2.6666666666666668E-2</v>
      </c>
      <c r="AD43" s="654">
        <f ca="1">IF($L$4&lt;=$B$5,$B$5,IF($L$4&lt;=$B$6,$B$6,IF($L$4&lt;=$B$7,$B$7,IF($L$4&lt;=$B$8,$B$8,IF($L$4&lt;=$B$9,$B$9,IF($L$4&lt;=$B$10,$B$10,IF($L$4&lt;=$B$11,$B$11)))))))</f>
        <v>-25</v>
      </c>
      <c r="AE43" s="543"/>
      <c r="AF43" s="693">
        <v>-30</v>
      </c>
      <c r="AG43" s="671">
        <v>0</v>
      </c>
      <c r="AH43" s="671">
        <f t="shared" si="125"/>
        <v>0.01</v>
      </c>
      <c r="AI43" s="652">
        <f t="shared" si="109"/>
        <v>0.04</v>
      </c>
      <c r="AJ43" s="654">
        <f ca="1">IF($L$4&lt;=$B$5,$B$5,IF($L$4&lt;=$B$6,$B$6,IF($L$4&lt;=$B$7,$B$7,IF($L$4&lt;=$B$8,$B$8,IF($L$4&lt;=$B$9,$B$9,IF($L$4&lt;=$B$10,$B$10,IF($L$4&lt;=$B$11,$B$11)))))))</f>
        <v>-25</v>
      </c>
      <c r="AK43" s="543"/>
      <c r="AL43" s="693">
        <v>-30</v>
      </c>
      <c r="AM43" s="671"/>
      <c r="AN43" s="671">
        <f t="shared" si="126"/>
        <v>0.41</v>
      </c>
      <c r="AO43" s="652">
        <f t="shared" si="110"/>
        <v>0.03</v>
      </c>
      <c r="AP43" s="654">
        <f ca="1">IF($L$4&lt;=$B$5,$B$5,IF($L$4&lt;=$B$6,$B$6,IF($L$4&lt;=$B$7,$B$7,IF($L$4&lt;=$B$8,$B$8,IF($L$4&lt;=$B$9,$B$9,IF($L$4&lt;=$B$10,$B$10,IF($L$4&lt;=$B$11,$B$11)))))))</f>
        <v>-25</v>
      </c>
      <c r="AQ43" s="543"/>
      <c r="AR43" s="693">
        <v>-30</v>
      </c>
      <c r="AS43" s="671"/>
      <c r="AT43" s="671">
        <f t="shared" si="127"/>
        <v>0.3</v>
      </c>
      <c r="AU43" s="652">
        <f t="shared" si="111"/>
        <v>3.3333333333333333E-2</v>
      </c>
      <c r="AV43" s="654">
        <f ca="1">IF($L$4&lt;=$B$5,$B$5,IF($L$4&lt;=$B$6,$B$6,IF($L$4&lt;=$B$7,$B$7,IF($L$4&lt;=$B$8,$B$8,IF($L$4&lt;=$B$9,$B$9,IF($L$4&lt;=$B$10,$B$10,IF($L$4&lt;=$B$11,$B$11)))))))</f>
        <v>-25</v>
      </c>
      <c r="AW43" s="543"/>
      <c r="AX43" s="693">
        <v>-30</v>
      </c>
      <c r="AY43" s="671"/>
      <c r="AZ43" s="553">
        <f t="shared" si="128"/>
        <v>0</v>
      </c>
      <c r="BA43" s="541">
        <f t="shared" si="112"/>
        <v>0.26333333333333336</v>
      </c>
      <c r="BB43" s="654">
        <f ca="1">IF($L$4&lt;=$B$5,$B$5,IF($L$4&lt;=$B$6,$B$6,IF($L$4&lt;=$B$7,$B$7,IF($L$4&lt;=$B$8,$B$8,IF($L$4&lt;=$B$9,$B$9,IF($L$4&lt;=$B$10,$B$10,IF($L$4&lt;=$B$11,$B$11)))))))</f>
        <v>-25</v>
      </c>
      <c r="BC43" s="543"/>
      <c r="BD43" s="693">
        <v>-30</v>
      </c>
      <c r="BE43" s="671"/>
      <c r="BF43" s="553">
        <f t="shared" si="129"/>
        <v>0</v>
      </c>
      <c r="BG43" s="541">
        <f t="shared" si="113"/>
        <v>2.6666666666666668E-2</v>
      </c>
      <c r="BH43" s="654">
        <f ca="1">IF($L$4&lt;=$B$5,$B$5,IF($L$4&lt;=$B$6,$B$6,IF($L$4&lt;=$B$7,$B$7,IF($L$4&lt;=$B$8,$B$8,IF($L$4&lt;=$B$9,$B$9,IF($L$4&lt;=$B$10,$B$10,IF($L$4&lt;=$B$11,$B$11)))))))</f>
        <v>-25</v>
      </c>
      <c r="BI43" s="543"/>
      <c r="BJ43" s="693">
        <v>-30</v>
      </c>
      <c r="BK43" s="671"/>
      <c r="BL43" s="553">
        <f t="shared" si="130"/>
        <v>0</v>
      </c>
      <c r="BM43" s="541">
        <f t="shared" si="114"/>
        <v>0.26333333333333336</v>
      </c>
      <c r="BN43" s="654">
        <f ca="1">IF($L$4&lt;=$B$5,$B$5,IF($L$4&lt;=$B$6,$B$6,IF($L$4&lt;=$B$7,$B$7,IF($L$4&lt;=$B$8,$B$8,IF($L$4&lt;=$B$9,$B$9,IF($L$4&lt;=$B$10,$B$10,IF($L$4&lt;=$B$11,$B$11)))))))</f>
        <v>-25</v>
      </c>
      <c r="BO43" s="543"/>
      <c r="BP43" s="693">
        <v>-30</v>
      </c>
      <c r="BQ43" s="671"/>
      <c r="BR43" s="671">
        <f t="shared" si="131"/>
        <v>0</v>
      </c>
      <c r="BS43" s="541">
        <f t="shared" si="115"/>
        <v>2.3333333333333334E-2</v>
      </c>
      <c r="BT43" s="654">
        <f ca="1">IF($L$4&lt;=$B$5,$B$5,IF($L$4&lt;=$B$6,$B$6,IF($L$4&lt;=$B$7,$B$7,IF($L$4&lt;=$B$8,$B$8,IF($L$4&lt;=$B$9,$B$9,IF($L$4&lt;=$B$10,$B$10,IF($L$4&lt;=$B$11,$B$11)))))))</f>
        <v>-25</v>
      </c>
      <c r="BU43" s="543"/>
      <c r="BV43" s="693">
        <v>-30</v>
      </c>
      <c r="BW43" s="671"/>
      <c r="BX43" s="671">
        <f t="shared" si="132"/>
        <v>0</v>
      </c>
      <c r="BY43" s="541">
        <f t="shared" si="116"/>
        <v>3.3333333333333333E-2</v>
      </c>
      <c r="BZ43" s="654">
        <f ca="1">IF($L$4&lt;=$B$5,$B$5,IF($L$4&lt;=$B$6,$B$6,IF($L$4&lt;=$B$7,$B$7,IF($L$4&lt;=$B$8,$B$8,IF($L$4&lt;=$B$9,$B$9,IF($L$4&lt;=$B$10,$B$10,IF($L$4&lt;=$B$11,$B$11)))))))</f>
        <v>-25</v>
      </c>
      <c r="CA43" s="543"/>
      <c r="CB43" s="693">
        <v>-30</v>
      </c>
      <c r="CC43" s="671">
        <f t="shared" si="133"/>
        <v>-1.2</v>
      </c>
      <c r="CD43" s="671"/>
      <c r="CE43" s="541">
        <f t="shared" si="117"/>
        <v>6.6666666666666666E-2</v>
      </c>
      <c r="CF43" s="654">
        <f ca="1">IF($L$4&lt;=$B$5,$B$5,IF($L$4&lt;=$B$6,$B$6,IF($L$4&lt;=$B$7,$B$7,IF($L$4&lt;=$B$8,$B$8,IF($L$4&lt;=$B$9,$B$9,IF($L$4&lt;=$B$10,$B$10,IF($L$4&lt;=$B$11,$B$11)))))))</f>
        <v>-25</v>
      </c>
      <c r="CH43" s="693">
        <v>-30</v>
      </c>
      <c r="CI43" s="671">
        <f t="shared" si="100"/>
        <v>0</v>
      </c>
      <c r="CJ43" s="671">
        <f t="shared" si="102"/>
        <v>0</v>
      </c>
      <c r="CK43" s="541">
        <f t="shared" si="118"/>
        <v>7.3333333333333334E-2</v>
      </c>
      <c r="CL43" s="654">
        <f ca="1">IF($L$4&lt;=$B$5,$B$5,IF($L$4&lt;=$B$6,$B$6,IF($L$4&lt;=$B$7,$B$7,IF($L$4&lt;=$B$8,$B$8,IF($L$4&lt;=$B$9,$B$9,IF($L$4&lt;=$B$10,$B$10,IF($L$4&lt;=$B$11,$B$11)))))))</f>
        <v>-25</v>
      </c>
      <c r="CN43" s="693">
        <v>-30</v>
      </c>
      <c r="CO43" s="671">
        <f t="shared" si="101"/>
        <v>0</v>
      </c>
      <c r="CP43" s="671">
        <f t="shared" si="119"/>
        <v>0</v>
      </c>
      <c r="CQ43" s="541">
        <f t="shared" si="120"/>
        <v>0.25666666666666665</v>
      </c>
      <c r="CR43" s="654">
        <f ca="1">IF($L$4&lt;=$B$5,$B$5,IF($L$4&lt;=$B$6,$B$6,IF($L$4&lt;=$B$7,$B$7,IF($L$4&lt;=$B$8,$B$8,IF($L$4&lt;=$B$9,$B$9,IF($L$4&lt;=$B$10,$B$10,IF($L$4&lt;=$B$11,$B$11)))))))</f>
        <v>-25</v>
      </c>
    </row>
    <row r="44" spans="2:96" ht="13">
      <c r="B44" s="693">
        <v>-25</v>
      </c>
      <c r="C44" s="671"/>
      <c r="D44" s="671">
        <f t="shared" si="121"/>
        <v>0</v>
      </c>
      <c r="E44" s="652">
        <f t="shared" si="103"/>
        <v>0.11333333333333334</v>
      </c>
      <c r="F44" s="651"/>
      <c r="G44" s="554"/>
      <c r="H44" s="693">
        <v>-25</v>
      </c>
      <c r="I44" s="671"/>
      <c r="J44" s="671">
        <f t="shared" si="104"/>
        <v>0</v>
      </c>
      <c r="K44" s="652">
        <f t="shared" si="105"/>
        <v>0.18666666666666668</v>
      </c>
      <c r="L44" s="651"/>
      <c r="M44" s="554"/>
      <c r="N44" s="693">
        <v>-25</v>
      </c>
      <c r="O44" s="671">
        <v>-0.64</v>
      </c>
      <c r="P44" s="671">
        <f t="shared" si="122"/>
        <v>0</v>
      </c>
      <c r="Q44" s="652">
        <f t="shared" si="106"/>
        <v>9.3333333333333338E-2</v>
      </c>
      <c r="R44" s="651"/>
      <c r="S44" s="543"/>
      <c r="T44" s="693">
        <v>-25</v>
      </c>
      <c r="U44" s="671"/>
      <c r="V44" s="671">
        <f t="shared" si="123"/>
        <v>-1.69</v>
      </c>
      <c r="W44" s="652">
        <f t="shared" si="107"/>
        <v>3.6666666666666667E-2</v>
      </c>
      <c r="X44" s="651"/>
      <c r="Y44" s="543"/>
      <c r="Z44" s="693">
        <v>-25</v>
      </c>
      <c r="AA44" s="671">
        <v>0</v>
      </c>
      <c r="AB44" s="671">
        <f t="shared" si="124"/>
        <v>0.04</v>
      </c>
      <c r="AC44" s="652">
        <f t="shared" si="108"/>
        <v>2.6666666666666668E-2</v>
      </c>
      <c r="AD44" s="651"/>
      <c r="AE44" s="543"/>
      <c r="AF44" s="693">
        <v>-25</v>
      </c>
      <c r="AG44" s="671">
        <v>0</v>
      </c>
      <c r="AH44" s="671">
        <f t="shared" si="125"/>
        <v>0.03</v>
      </c>
      <c r="AI44" s="652">
        <f t="shared" si="109"/>
        <v>0.04</v>
      </c>
      <c r="AJ44" s="651"/>
      <c r="AK44" s="543"/>
      <c r="AL44" s="693">
        <v>-25</v>
      </c>
      <c r="AM44" s="671"/>
      <c r="AN44" s="671">
        <f t="shared" si="126"/>
        <v>0.43</v>
      </c>
      <c r="AO44" s="652">
        <f t="shared" si="110"/>
        <v>0.03</v>
      </c>
      <c r="AP44" s="651"/>
      <c r="AQ44" s="543"/>
      <c r="AR44" s="693">
        <v>-25</v>
      </c>
      <c r="AS44" s="671"/>
      <c r="AT44" s="671">
        <f t="shared" si="127"/>
        <v>0.32</v>
      </c>
      <c r="AU44" s="652">
        <f t="shared" si="111"/>
        <v>3.3333333333333333E-2</v>
      </c>
      <c r="AV44" s="651"/>
      <c r="AW44" s="543"/>
      <c r="AX44" s="693">
        <v>-25</v>
      </c>
      <c r="AY44" s="671"/>
      <c r="AZ44" s="553">
        <f t="shared" si="128"/>
        <v>0</v>
      </c>
      <c r="BA44" s="541">
        <f t="shared" si="112"/>
        <v>0.26333333333333336</v>
      </c>
      <c r="BB44" s="651"/>
      <c r="BC44" s="543"/>
      <c r="BD44" s="693">
        <v>-25</v>
      </c>
      <c r="BE44" s="671"/>
      <c r="BF44" s="553">
        <f t="shared" si="129"/>
        <v>-1.2</v>
      </c>
      <c r="BG44" s="541">
        <f t="shared" si="113"/>
        <v>2.6666666666666668E-2</v>
      </c>
      <c r="BH44" s="651"/>
      <c r="BI44" s="543"/>
      <c r="BJ44" s="693">
        <v>-25</v>
      </c>
      <c r="BK44" s="671"/>
      <c r="BL44" s="553">
        <f t="shared" si="130"/>
        <v>0</v>
      </c>
      <c r="BM44" s="541">
        <f t="shared" si="114"/>
        <v>0.26333333333333336</v>
      </c>
      <c r="BN44" s="651"/>
      <c r="BO44" s="543"/>
      <c r="BP44" s="693">
        <v>-25</v>
      </c>
      <c r="BQ44" s="671"/>
      <c r="BR44" s="671">
        <f t="shared" si="131"/>
        <v>-1.57</v>
      </c>
      <c r="BS44" s="541">
        <f t="shared" si="115"/>
        <v>2.3333333333333334E-2</v>
      </c>
      <c r="BT44" s="651"/>
      <c r="BU44" s="543"/>
      <c r="BV44" s="693">
        <v>-25</v>
      </c>
      <c r="BW44" s="671"/>
      <c r="BX44" s="671">
        <f t="shared" si="132"/>
        <v>-1.71</v>
      </c>
      <c r="BY44" s="541">
        <f t="shared" si="116"/>
        <v>3.3333333333333333E-2</v>
      </c>
      <c r="BZ44" s="651"/>
      <c r="CA44" s="543"/>
      <c r="CB44" s="693">
        <v>-25</v>
      </c>
      <c r="CC44" s="671">
        <f t="shared" si="133"/>
        <v>-1.1000000000000001</v>
      </c>
      <c r="CD44" s="671"/>
      <c r="CE44" s="541">
        <f t="shared" si="117"/>
        <v>6.6666666666666666E-2</v>
      </c>
      <c r="CF44" s="651"/>
      <c r="CH44" s="693">
        <v>-25</v>
      </c>
      <c r="CI44" s="671">
        <f t="shared" si="100"/>
        <v>0</v>
      </c>
      <c r="CJ44" s="671">
        <f t="shared" si="102"/>
        <v>-1.9E-2</v>
      </c>
      <c r="CK44" s="541">
        <f t="shared" si="118"/>
        <v>7.3333333333333334E-2</v>
      </c>
      <c r="CL44" s="651"/>
      <c r="CN44" s="693">
        <v>-25</v>
      </c>
      <c r="CO44" s="671">
        <f t="shared" si="101"/>
        <v>0</v>
      </c>
      <c r="CP44" s="671">
        <f t="shared" si="119"/>
        <v>0</v>
      </c>
      <c r="CQ44" s="541">
        <f t="shared" si="120"/>
        <v>0.25666666666666665</v>
      </c>
      <c r="CR44" s="651"/>
    </row>
    <row r="45" spans="2:96" ht="13">
      <c r="B45" s="693">
        <v>-20</v>
      </c>
      <c r="C45" s="671">
        <v>-0.37</v>
      </c>
      <c r="D45" s="671">
        <f t="shared" si="121"/>
        <v>-0.59</v>
      </c>
      <c r="E45" s="652">
        <f t="shared" si="103"/>
        <v>0.21999999999999997</v>
      </c>
      <c r="F45" s="655">
        <f ca="1">VLOOKUP(F41,B41:E46,4)</f>
        <v>0.11333333333333334</v>
      </c>
      <c r="G45" s="554"/>
      <c r="H45" s="693">
        <v>-20</v>
      </c>
      <c r="I45" s="671">
        <v>-0.63</v>
      </c>
      <c r="J45" s="671">
        <f t="shared" si="104"/>
        <v>-0.42</v>
      </c>
      <c r="K45" s="652">
        <f t="shared" si="105"/>
        <v>0.21000000000000002</v>
      </c>
      <c r="L45" s="655">
        <f ca="1">VLOOKUP(L41,H41:K46,4)</f>
        <v>0.18666666666666668</v>
      </c>
      <c r="M45" s="554"/>
      <c r="N45" s="693">
        <v>-20</v>
      </c>
      <c r="O45" s="671">
        <v>0</v>
      </c>
      <c r="P45" s="671">
        <f t="shared" si="122"/>
        <v>-0.5</v>
      </c>
      <c r="Q45" s="652">
        <f t="shared" si="106"/>
        <v>9.3333333333333338E-2</v>
      </c>
      <c r="R45" s="655">
        <f ca="1">VLOOKUP(R41,N41:Q46,4)</f>
        <v>9.3333333333333338E-2</v>
      </c>
      <c r="S45" s="543"/>
      <c r="T45" s="693">
        <v>-20</v>
      </c>
      <c r="U45" s="671"/>
      <c r="V45" s="671">
        <f t="shared" si="123"/>
        <v>-1.47</v>
      </c>
      <c r="W45" s="652">
        <f t="shared" si="107"/>
        <v>3.6666666666666667E-2</v>
      </c>
      <c r="X45" s="655">
        <f ca="1">VLOOKUP(X41,T41:W46,4)</f>
        <v>3.6666666666666667E-2</v>
      </c>
      <c r="Y45" s="543"/>
      <c r="Z45" s="693">
        <v>-20</v>
      </c>
      <c r="AA45" s="671">
        <v>-0.7</v>
      </c>
      <c r="AB45" s="671">
        <f t="shared" si="124"/>
        <v>7.0000000000000007E-2</v>
      </c>
      <c r="AC45" s="652">
        <f t="shared" si="108"/>
        <v>0.77</v>
      </c>
      <c r="AD45" s="655">
        <f ca="1">VLOOKUP(AD41,Z41:AC46,4)</f>
        <v>2.6666666666666668E-2</v>
      </c>
      <c r="AE45" s="543"/>
      <c r="AF45" s="693">
        <v>-20</v>
      </c>
      <c r="AG45" s="671">
        <v>0.04</v>
      </c>
      <c r="AH45" s="671">
        <f t="shared" si="125"/>
        <v>7.0000000000000007E-2</v>
      </c>
      <c r="AI45" s="652">
        <f t="shared" si="109"/>
        <v>3.0000000000000006E-2</v>
      </c>
      <c r="AJ45" s="655">
        <f ca="1">VLOOKUP(AJ41,AF41:AI46,4)</f>
        <v>0.04</v>
      </c>
      <c r="AK45" s="543"/>
      <c r="AL45" s="693">
        <v>-20</v>
      </c>
      <c r="AM45" s="671"/>
      <c r="AN45" s="671">
        <f t="shared" si="126"/>
        <v>0.46</v>
      </c>
      <c r="AO45" s="652">
        <f t="shared" si="110"/>
        <v>0.03</v>
      </c>
      <c r="AP45" s="655">
        <f ca="1">VLOOKUP(AP41,AL41:AO46,4)</f>
        <v>0.03</v>
      </c>
      <c r="AQ45" s="543"/>
      <c r="AR45" s="693">
        <v>-20</v>
      </c>
      <c r="AS45" s="671"/>
      <c r="AT45" s="671">
        <f t="shared" si="127"/>
        <v>0.33</v>
      </c>
      <c r="AU45" s="652">
        <f t="shared" si="111"/>
        <v>3.3333333333333333E-2</v>
      </c>
      <c r="AV45" s="655">
        <f ca="1">VLOOKUP(AV41,AR41:AU46,4)</f>
        <v>3.3333333333333333E-2</v>
      </c>
      <c r="AW45" s="543"/>
      <c r="AX45" s="693">
        <v>-20</v>
      </c>
      <c r="AY45" s="671"/>
      <c r="AZ45" s="553">
        <f t="shared" si="128"/>
        <v>0.64</v>
      </c>
      <c r="BA45" s="541">
        <f t="shared" si="112"/>
        <v>0.26333333333333336</v>
      </c>
      <c r="BB45" s="655">
        <f ca="1">VLOOKUP(BB41,AX41:BA46,4)</f>
        <v>0.26333333333333336</v>
      </c>
      <c r="BC45" s="543"/>
      <c r="BD45" s="693">
        <v>-20</v>
      </c>
      <c r="BE45" s="671"/>
      <c r="BF45" s="553">
        <f t="shared" si="129"/>
        <v>-0.91</v>
      </c>
      <c r="BG45" s="541">
        <f t="shared" si="113"/>
        <v>2.6666666666666668E-2</v>
      </c>
      <c r="BH45" s="655">
        <f ca="1">VLOOKUP(BH41,BD41:BG46,4)</f>
        <v>2.6666666666666668E-2</v>
      </c>
      <c r="BI45" s="543"/>
      <c r="BJ45" s="693">
        <v>-20</v>
      </c>
      <c r="BK45" s="671"/>
      <c r="BL45" s="553">
        <f t="shared" si="130"/>
        <v>0.57999999999999996</v>
      </c>
      <c r="BM45" s="541">
        <f t="shared" si="114"/>
        <v>0.26333333333333336</v>
      </c>
      <c r="BN45" s="655">
        <f ca="1">VLOOKUP(BN41,BJ41:BM46,4)</f>
        <v>0.26333333333333336</v>
      </c>
      <c r="BO45" s="543"/>
      <c r="BP45" s="693">
        <v>-20</v>
      </c>
      <c r="BQ45" s="671"/>
      <c r="BR45" s="671">
        <f t="shared" si="131"/>
        <v>-1.29</v>
      </c>
      <c r="BS45" s="541">
        <f t="shared" si="115"/>
        <v>2.3333333333333334E-2</v>
      </c>
      <c r="BT45" s="655">
        <f ca="1">VLOOKUP(BT41,BP41:BS46,4)</f>
        <v>2.3333333333333334E-2</v>
      </c>
      <c r="BU45" s="543"/>
      <c r="BV45" s="693">
        <v>-20</v>
      </c>
      <c r="BW45" s="671"/>
      <c r="BX45" s="671">
        <f t="shared" si="132"/>
        <v>-1.41</v>
      </c>
      <c r="BY45" s="541">
        <f t="shared" si="116"/>
        <v>3.3333333333333333E-2</v>
      </c>
      <c r="BZ45" s="655">
        <f ca="1">VLOOKUP(BZ41,BV41:BY46,4)</f>
        <v>3.3333333333333333E-2</v>
      </c>
      <c r="CA45" s="543"/>
      <c r="CB45" s="693">
        <v>-20</v>
      </c>
      <c r="CC45" s="671">
        <f t="shared" si="133"/>
        <v>-1.1000000000000001</v>
      </c>
      <c r="CD45" s="671">
        <v>-0.7</v>
      </c>
      <c r="CE45" s="541">
        <f t="shared" si="117"/>
        <v>0.40000000000000013</v>
      </c>
      <c r="CF45" s="655">
        <f ca="1">VLOOKUP(CF41,CB41:CE46,4)</f>
        <v>6.6666666666666666E-2</v>
      </c>
      <c r="CH45" s="693">
        <v>-20</v>
      </c>
      <c r="CI45" s="671">
        <f t="shared" si="100"/>
        <v>-0.15</v>
      </c>
      <c r="CJ45" s="671">
        <f t="shared" si="102"/>
        <v>0</v>
      </c>
      <c r="CK45" s="541">
        <f t="shared" si="118"/>
        <v>7.3333333333333334E-2</v>
      </c>
      <c r="CL45" s="655">
        <f ca="1">VLOOKUP(CL41,CH41:CK46,4)</f>
        <v>7.3333333333333334E-2</v>
      </c>
      <c r="CN45" s="693">
        <v>-20</v>
      </c>
      <c r="CO45" s="671">
        <f t="shared" si="101"/>
        <v>-1.8</v>
      </c>
      <c r="CP45" s="671">
        <f t="shared" si="119"/>
        <v>-0.51</v>
      </c>
      <c r="CQ45" s="541">
        <f t="shared" si="120"/>
        <v>1.29</v>
      </c>
      <c r="CR45" s="655">
        <f ca="1">VLOOKUP(CR41,CN41:CQ46,4)</f>
        <v>0.25666666666666665</v>
      </c>
    </row>
    <row r="46" spans="2:96" ht="13">
      <c r="B46" s="693">
        <v>-15</v>
      </c>
      <c r="C46" s="685">
        <v>-0.31</v>
      </c>
      <c r="D46" s="671">
        <f t="shared" si="121"/>
        <v>-0.53</v>
      </c>
      <c r="E46" s="652">
        <f t="shared" si="103"/>
        <v>0.22000000000000003</v>
      </c>
      <c r="F46" s="651"/>
      <c r="G46" s="554"/>
      <c r="H46" s="693">
        <v>-15</v>
      </c>
      <c r="I46" s="671">
        <v>-0.51</v>
      </c>
      <c r="J46" s="671">
        <f t="shared" si="104"/>
        <v>-0.37</v>
      </c>
      <c r="K46" s="652">
        <f t="shared" si="105"/>
        <v>0.14000000000000001</v>
      </c>
      <c r="L46" s="651"/>
      <c r="M46" s="554"/>
      <c r="N46" s="693">
        <v>-15</v>
      </c>
      <c r="O46" s="671">
        <v>-0.52</v>
      </c>
      <c r="P46" s="671">
        <f t="shared" si="122"/>
        <v>-0.41</v>
      </c>
      <c r="Q46" s="652">
        <f t="shared" si="106"/>
        <v>0.11000000000000004</v>
      </c>
      <c r="R46" s="651"/>
      <c r="S46" s="543"/>
      <c r="T46" s="693">
        <v>-15</v>
      </c>
      <c r="U46" s="671"/>
      <c r="V46" s="671">
        <f t="shared" si="123"/>
        <v>-1.25</v>
      </c>
      <c r="W46" s="652">
        <f t="shared" si="107"/>
        <v>3.6666666666666667E-2</v>
      </c>
      <c r="X46" s="651"/>
      <c r="Y46" s="543"/>
      <c r="Z46" s="693">
        <v>-15</v>
      </c>
      <c r="AA46" s="671">
        <v>0</v>
      </c>
      <c r="AB46" s="671">
        <f t="shared" si="124"/>
        <v>0.11</v>
      </c>
      <c r="AC46" s="652">
        <f t="shared" si="108"/>
        <v>2.6666666666666668E-2</v>
      </c>
      <c r="AD46" s="651"/>
      <c r="AE46" s="543"/>
      <c r="AF46" s="693">
        <v>-15</v>
      </c>
      <c r="AG46" s="671">
        <v>0</v>
      </c>
      <c r="AH46" s="671">
        <f t="shared" si="125"/>
        <v>0.11</v>
      </c>
      <c r="AI46" s="652">
        <f t="shared" si="109"/>
        <v>0.04</v>
      </c>
      <c r="AJ46" s="651"/>
      <c r="AK46" s="543"/>
      <c r="AL46" s="693">
        <v>-15</v>
      </c>
      <c r="AM46" s="671"/>
      <c r="AN46" s="671">
        <f t="shared" si="126"/>
        <v>0.48</v>
      </c>
      <c r="AO46" s="652">
        <f t="shared" si="110"/>
        <v>0.03</v>
      </c>
      <c r="AP46" s="651"/>
      <c r="AQ46" s="543"/>
      <c r="AR46" s="693">
        <v>-15</v>
      </c>
      <c r="AS46" s="671"/>
      <c r="AT46" s="671">
        <f t="shared" si="127"/>
        <v>0.35</v>
      </c>
      <c r="AU46" s="652">
        <f t="shared" si="111"/>
        <v>3.3333333333333333E-2</v>
      </c>
      <c r="AV46" s="651"/>
      <c r="AW46" s="543"/>
      <c r="AX46" s="693">
        <v>-15</v>
      </c>
      <c r="AY46" s="671"/>
      <c r="AZ46" s="553">
        <f t="shared" si="128"/>
        <v>0</v>
      </c>
      <c r="BA46" s="541">
        <f t="shared" si="112"/>
        <v>0.26333333333333336</v>
      </c>
      <c r="BB46" s="651"/>
      <c r="BC46" s="543"/>
      <c r="BD46" s="693">
        <v>-15</v>
      </c>
      <c r="BE46" s="671"/>
      <c r="BF46" s="553">
        <f t="shared" si="129"/>
        <v>-0.67</v>
      </c>
      <c r="BG46" s="541">
        <f t="shared" si="113"/>
        <v>2.6666666666666668E-2</v>
      </c>
      <c r="BH46" s="651"/>
      <c r="BI46" s="543"/>
      <c r="BJ46" s="693">
        <v>-15</v>
      </c>
      <c r="BK46" s="671"/>
      <c r="BL46" s="553">
        <f t="shared" si="130"/>
        <v>0</v>
      </c>
      <c r="BM46" s="541">
        <f t="shared" si="114"/>
        <v>0.26333333333333336</v>
      </c>
      <c r="BN46" s="651"/>
      <c r="BO46" s="543"/>
      <c r="BP46" s="693">
        <v>-15</v>
      </c>
      <c r="BQ46" s="671"/>
      <c r="BR46" s="671">
        <f t="shared" si="131"/>
        <v>-1.04</v>
      </c>
      <c r="BS46" s="541">
        <f t="shared" si="115"/>
        <v>2.3333333333333334E-2</v>
      </c>
      <c r="BT46" s="651"/>
      <c r="BU46" s="543"/>
      <c r="BV46" s="693">
        <v>-15</v>
      </c>
      <c r="BW46" s="671"/>
      <c r="BX46" s="671">
        <f t="shared" si="132"/>
        <v>-1.1399999999999999</v>
      </c>
      <c r="BY46" s="541">
        <f t="shared" si="116"/>
        <v>3.3333333333333333E-2</v>
      </c>
      <c r="BZ46" s="651"/>
      <c r="CA46" s="543"/>
      <c r="CB46" s="693">
        <v>-15</v>
      </c>
      <c r="CC46" s="671">
        <f t="shared" si="133"/>
        <v>-1.1000000000000001</v>
      </c>
      <c r="CD46" s="671">
        <v>-0.7</v>
      </c>
      <c r="CE46" s="541">
        <f t="shared" si="117"/>
        <v>0.40000000000000013</v>
      </c>
      <c r="CF46" s="651"/>
      <c r="CH46" s="693">
        <v>-15</v>
      </c>
      <c r="CI46" s="671">
        <f t="shared" si="100"/>
        <v>-0.1</v>
      </c>
      <c r="CJ46" s="671">
        <f t="shared" si="102"/>
        <v>-0.01</v>
      </c>
      <c r="CK46" s="541">
        <f t="shared" si="118"/>
        <v>9.0000000000000011E-2</v>
      </c>
      <c r="CL46" s="651"/>
      <c r="CN46" s="693">
        <v>-15</v>
      </c>
      <c r="CO46" s="671">
        <f t="shared" si="101"/>
        <v>-1.52</v>
      </c>
      <c r="CP46" s="671">
        <f t="shared" si="119"/>
        <v>-0.39</v>
      </c>
      <c r="CQ46" s="541">
        <f t="shared" si="120"/>
        <v>1.1299999999999999</v>
      </c>
      <c r="CR46" s="651"/>
    </row>
    <row r="47" spans="2:96" ht="13">
      <c r="B47" s="693">
        <v>-10</v>
      </c>
      <c r="C47" s="671">
        <v>-0.25</v>
      </c>
      <c r="D47" s="671">
        <f t="shared" si="121"/>
        <v>-0.47</v>
      </c>
      <c r="E47" s="652">
        <f t="shared" si="103"/>
        <v>0.21999999999999997</v>
      </c>
      <c r="F47" s="655">
        <f ca="1">VLOOKUP(F43,B41:E46,4)</f>
        <v>0.11333333333333334</v>
      </c>
      <c r="G47" s="554"/>
      <c r="H47" s="693">
        <v>-10</v>
      </c>
      <c r="I47" s="671"/>
      <c r="J47" s="671">
        <f t="shared" si="104"/>
        <v>-0.31</v>
      </c>
      <c r="K47" s="652">
        <f t="shared" si="105"/>
        <v>0.18666666666666668</v>
      </c>
      <c r="L47" s="655">
        <f ca="1">VLOOKUP(L43,H41:K46,4)</f>
        <v>0.18666666666666668</v>
      </c>
      <c r="M47" s="554"/>
      <c r="N47" s="693">
        <v>-10</v>
      </c>
      <c r="O47" s="671">
        <v>-0.43</v>
      </c>
      <c r="P47" s="671">
        <f t="shared" si="122"/>
        <v>-0.33</v>
      </c>
      <c r="Q47" s="652">
        <f t="shared" si="106"/>
        <v>9.9999999999999978E-2</v>
      </c>
      <c r="R47" s="655">
        <f ca="1">VLOOKUP(R43,N41:Q46,4)</f>
        <v>9.3333333333333338E-2</v>
      </c>
      <c r="S47" s="543"/>
      <c r="T47" s="693">
        <v>-10</v>
      </c>
      <c r="U47" s="671"/>
      <c r="V47" s="671">
        <f t="shared" si="123"/>
        <v>-1</v>
      </c>
      <c r="W47" s="652">
        <f t="shared" si="107"/>
        <v>3.6666666666666667E-2</v>
      </c>
      <c r="X47" s="655">
        <f ca="1">VLOOKUP(X43,T41:W46,4)</f>
        <v>3.6666666666666667E-2</v>
      </c>
      <c r="Y47" s="543"/>
      <c r="Z47" s="693">
        <v>-10</v>
      </c>
      <c r="AA47" s="671">
        <v>-0.42</v>
      </c>
      <c r="AB47" s="671">
        <f t="shared" si="124"/>
        <v>0.13</v>
      </c>
      <c r="AC47" s="652">
        <f t="shared" si="108"/>
        <v>0.55000000000000004</v>
      </c>
      <c r="AD47" s="655">
        <f ca="1">VLOOKUP(AD43,Z41:AC46,4)</f>
        <v>2.6666666666666668E-2</v>
      </c>
      <c r="AE47" s="543"/>
      <c r="AF47" s="693">
        <v>-10</v>
      </c>
      <c r="AG47" s="671">
        <v>0.21</v>
      </c>
      <c r="AH47" s="671">
        <f t="shared" si="125"/>
        <v>0.15</v>
      </c>
      <c r="AI47" s="652">
        <f t="shared" si="109"/>
        <v>0.06</v>
      </c>
      <c r="AJ47" s="655">
        <f ca="1">VLOOKUP(AJ43,AF41:AI46,4)</f>
        <v>0.04</v>
      </c>
      <c r="AK47" s="543"/>
      <c r="AL47" s="693">
        <v>-10</v>
      </c>
      <c r="AM47" s="671"/>
      <c r="AN47" s="671">
        <f t="shared" si="126"/>
        <v>0.48</v>
      </c>
      <c r="AO47" s="652">
        <f t="shared" si="110"/>
        <v>0.03</v>
      </c>
      <c r="AP47" s="655">
        <f ca="1">VLOOKUP(AP43,AL41:AO46,4)</f>
        <v>0.03</v>
      </c>
      <c r="AQ47" s="543"/>
      <c r="AR47" s="693">
        <v>-10</v>
      </c>
      <c r="AS47" s="671"/>
      <c r="AT47" s="671">
        <f t="shared" si="127"/>
        <v>0.36</v>
      </c>
      <c r="AU47" s="652">
        <f t="shared" si="111"/>
        <v>3.3333333333333333E-2</v>
      </c>
      <c r="AV47" s="655">
        <f ca="1">VLOOKUP(AV43,AR41:AU46,4)</f>
        <v>3.3333333333333333E-2</v>
      </c>
      <c r="AW47" s="543"/>
      <c r="AX47" s="693">
        <v>-10</v>
      </c>
      <c r="AY47" s="671"/>
      <c r="AZ47" s="553">
        <f t="shared" si="128"/>
        <v>0.6</v>
      </c>
      <c r="BA47" s="541">
        <f t="shared" si="112"/>
        <v>0.26333333333333336</v>
      </c>
      <c r="BB47" s="655">
        <f ca="1">VLOOKUP(BB43,AX41:BA46,4)</f>
        <v>0.26333333333333336</v>
      </c>
      <c r="BC47" s="543"/>
      <c r="BD47" s="693">
        <v>-10</v>
      </c>
      <c r="BE47" s="671"/>
      <c r="BF47" s="553">
        <f t="shared" si="129"/>
        <v>-0.48</v>
      </c>
      <c r="BG47" s="541">
        <f t="shared" si="113"/>
        <v>2.6666666666666668E-2</v>
      </c>
      <c r="BH47" s="655">
        <f ca="1">VLOOKUP(BH43,BD41:BG46,4)</f>
        <v>2.6666666666666668E-2</v>
      </c>
      <c r="BI47" s="543"/>
      <c r="BJ47" s="693">
        <v>-10</v>
      </c>
      <c r="BK47" s="671"/>
      <c r="BL47" s="553">
        <f t="shared" si="130"/>
        <v>0.55000000000000004</v>
      </c>
      <c r="BM47" s="541">
        <f t="shared" si="114"/>
        <v>0.26333333333333336</v>
      </c>
      <c r="BN47" s="655">
        <f ca="1">VLOOKUP(BN43,BJ41:BM46,4)</f>
        <v>0.26333333333333336</v>
      </c>
      <c r="BO47" s="543"/>
      <c r="BP47" s="693">
        <v>-10</v>
      </c>
      <c r="BQ47" s="671"/>
      <c r="BR47" s="671">
        <f t="shared" si="131"/>
        <v>-0.84</v>
      </c>
      <c r="BS47" s="541">
        <f t="shared" si="115"/>
        <v>2.3333333333333334E-2</v>
      </c>
      <c r="BT47" s="655">
        <f ca="1">VLOOKUP(BT43,BP41:BS46,4)</f>
        <v>2.3333333333333334E-2</v>
      </c>
      <c r="BU47" s="543"/>
      <c r="BV47" s="693">
        <v>-10</v>
      </c>
      <c r="BW47" s="671"/>
      <c r="BX47" s="671">
        <f t="shared" si="132"/>
        <v>-0.9</v>
      </c>
      <c r="BY47" s="541">
        <f t="shared" si="116"/>
        <v>3.3333333333333333E-2</v>
      </c>
      <c r="BZ47" s="655">
        <f ca="1">VLOOKUP(BZ43,BV41:BY46,4)</f>
        <v>3.3333333333333333E-2</v>
      </c>
      <c r="CA47" s="543"/>
      <c r="CB47" s="693">
        <v>-10</v>
      </c>
      <c r="CC47" s="671">
        <f t="shared" si="133"/>
        <v>-1.2</v>
      </c>
      <c r="CD47" s="671">
        <v>-0.7</v>
      </c>
      <c r="CE47" s="541">
        <f t="shared" si="117"/>
        <v>0.5</v>
      </c>
      <c r="CF47" s="655">
        <f ca="1">VLOOKUP(CF43,CB41:CE46,4)</f>
        <v>6.6666666666666666E-2</v>
      </c>
      <c r="CH47" s="693">
        <v>-10</v>
      </c>
      <c r="CI47" s="671">
        <f t="shared" si="100"/>
        <v>-0.05</v>
      </c>
      <c r="CJ47" s="671">
        <f t="shared" si="102"/>
        <v>1.2E-2</v>
      </c>
      <c r="CK47" s="541">
        <f t="shared" si="118"/>
        <v>6.2E-2</v>
      </c>
      <c r="CL47" s="655">
        <f ca="1">VLOOKUP(CL43,CH41:CK46,4)</f>
        <v>7.3333333333333334E-2</v>
      </c>
      <c r="CN47" s="693">
        <v>-10</v>
      </c>
      <c r="CO47" s="671">
        <f t="shared" si="101"/>
        <v>-1.26</v>
      </c>
      <c r="CP47" s="671">
        <f t="shared" si="119"/>
        <v>-0.28000000000000003</v>
      </c>
      <c r="CQ47" s="541">
        <f t="shared" si="120"/>
        <v>0.98</v>
      </c>
      <c r="CR47" s="655">
        <f ca="1">VLOOKUP(CR43,CN41:CQ46,4)</f>
        <v>0.25666666666666665</v>
      </c>
    </row>
    <row r="48" spans="2:96" ht="13">
      <c r="B48" s="693">
        <v>-5</v>
      </c>
      <c r="C48" s="671"/>
      <c r="D48" s="671"/>
      <c r="E48" s="652">
        <f t="shared" si="103"/>
        <v>0.11333333333333334</v>
      </c>
      <c r="F48" s="1340"/>
      <c r="G48" s="554"/>
      <c r="H48" s="693">
        <v>-5</v>
      </c>
      <c r="I48" s="671"/>
      <c r="J48" s="671"/>
      <c r="K48" s="652"/>
      <c r="L48" s="1340"/>
      <c r="M48" s="554"/>
      <c r="N48" s="693">
        <v>-5</v>
      </c>
      <c r="O48" s="671">
        <v>0</v>
      </c>
      <c r="P48" s="671">
        <f t="shared" si="122"/>
        <v>0</v>
      </c>
      <c r="Q48" s="652"/>
      <c r="R48" s="1340"/>
      <c r="S48" s="543"/>
      <c r="T48" s="693">
        <v>-5</v>
      </c>
      <c r="U48" s="671"/>
      <c r="V48" s="671"/>
      <c r="W48" s="652"/>
      <c r="X48" s="1340"/>
      <c r="Y48" s="543"/>
      <c r="Z48" s="693">
        <v>-5</v>
      </c>
      <c r="AA48" s="671">
        <v>0</v>
      </c>
      <c r="AB48" s="671">
        <f t="shared" si="124"/>
        <v>0.14000000000000001</v>
      </c>
      <c r="AC48" s="652">
        <f t="shared" si="108"/>
        <v>2.6666666666666668E-2</v>
      </c>
      <c r="AD48" s="1340"/>
      <c r="AE48" s="543"/>
      <c r="AF48" s="693">
        <v>-5</v>
      </c>
      <c r="AG48" s="671">
        <v>0</v>
      </c>
      <c r="AH48" s="671">
        <f t="shared" si="125"/>
        <v>0.15</v>
      </c>
      <c r="AI48" s="652">
        <f t="shared" si="109"/>
        <v>0.04</v>
      </c>
      <c r="AJ48" s="1340"/>
      <c r="AK48" s="543"/>
      <c r="AL48" s="693">
        <v>-5</v>
      </c>
      <c r="AM48" s="671"/>
      <c r="AN48" s="671">
        <f t="shared" si="126"/>
        <v>0.47</v>
      </c>
      <c r="AO48" s="652">
        <f t="shared" si="110"/>
        <v>0.03</v>
      </c>
      <c r="AP48" s="1340"/>
      <c r="AQ48" s="543"/>
      <c r="AR48" s="693">
        <v>-5</v>
      </c>
      <c r="AS48" s="671"/>
      <c r="AT48" s="671">
        <f t="shared" si="127"/>
        <v>0.37</v>
      </c>
      <c r="AU48" s="652">
        <f t="shared" si="111"/>
        <v>3.3333333333333333E-2</v>
      </c>
      <c r="AV48" s="1340"/>
      <c r="AW48" s="543"/>
      <c r="AX48" s="693">
        <v>-5</v>
      </c>
      <c r="AY48" s="671"/>
      <c r="AZ48" s="553">
        <f t="shared" si="128"/>
        <v>0</v>
      </c>
      <c r="BA48" s="541">
        <f t="shared" si="112"/>
        <v>0.26333333333333336</v>
      </c>
      <c r="BB48" s="1340"/>
      <c r="BC48" s="543"/>
      <c r="BD48" s="693">
        <v>-5</v>
      </c>
      <c r="BE48" s="671"/>
      <c r="BF48" s="553">
        <f t="shared" si="129"/>
        <v>0</v>
      </c>
      <c r="BG48" s="541">
        <f t="shared" si="113"/>
        <v>2.6666666666666668E-2</v>
      </c>
      <c r="BH48" s="1340"/>
      <c r="BI48" s="543"/>
      <c r="BJ48" s="693">
        <v>-5</v>
      </c>
      <c r="BK48" s="671"/>
      <c r="BL48" s="553">
        <f t="shared" si="130"/>
        <v>0</v>
      </c>
      <c r="BM48" s="541">
        <f t="shared" si="114"/>
        <v>0.26333333333333336</v>
      </c>
      <c r="BN48" s="1340"/>
      <c r="BO48" s="543"/>
      <c r="BP48" s="693">
        <v>-5</v>
      </c>
      <c r="BQ48" s="671"/>
      <c r="BR48" s="671">
        <f t="shared" si="131"/>
        <v>0</v>
      </c>
      <c r="BS48" s="541">
        <f t="shared" si="115"/>
        <v>2.3333333333333334E-2</v>
      </c>
      <c r="BT48" s="1340"/>
      <c r="BU48" s="543"/>
      <c r="BV48" s="693">
        <v>-5</v>
      </c>
      <c r="BW48" s="671"/>
      <c r="BX48" s="671">
        <f t="shared" si="132"/>
        <v>0</v>
      </c>
      <c r="BY48" s="541">
        <f t="shared" si="116"/>
        <v>3.3333333333333333E-2</v>
      </c>
      <c r="BZ48" s="1340"/>
      <c r="CA48" s="543"/>
      <c r="CB48" s="693">
        <v>-5</v>
      </c>
      <c r="CC48" s="671">
        <f t="shared" si="133"/>
        <v>0</v>
      </c>
      <c r="CD48" s="671"/>
      <c r="CE48" s="541">
        <f t="shared" si="117"/>
        <v>6.6666666666666666E-2</v>
      </c>
      <c r="CF48" s="1340"/>
      <c r="CH48" s="693">
        <v>-5</v>
      </c>
      <c r="CI48" s="671">
        <f t="shared" si="100"/>
        <v>0</v>
      </c>
      <c r="CJ48" s="671"/>
      <c r="CK48" s="541">
        <f t="shared" si="118"/>
        <v>7.3333333333333334E-2</v>
      </c>
      <c r="CL48" s="1340"/>
      <c r="CN48" s="693">
        <v>-5</v>
      </c>
      <c r="CO48" s="671">
        <f t="shared" si="101"/>
        <v>0</v>
      </c>
      <c r="CP48" s="671"/>
      <c r="CQ48" s="541"/>
      <c r="CR48" s="1340"/>
    </row>
    <row r="49" spans="2:96" ht="13">
      <c r="B49" s="693">
        <v>0</v>
      </c>
      <c r="C49" s="671">
        <v>-0.16</v>
      </c>
      <c r="D49" s="671">
        <f>U151</f>
        <v>-0.34</v>
      </c>
      <c r="E49" s="652">
        <f t="shared" si="103"/>
        <v>0.18000000000000002</v>
      </c>
      <c r="F49" s="1339">
        <f ca="1">(((F47-F45)/(F43-F41))*(F40-F41))+F45</f>
        <v>0.11333333333333334</v>
      </c>
      <c r="G49" s="554"/>
      <c r="H49" s="693">
        <v>0</v>
      </c>
      <c r="I49" s="671">
        <v>-0.22</v>
      </c>
      <c r="J49" s="671">
        <f>V151</f>
        <v>-0.2</v>
      </c>
      <c r="K49" s="652">
        <f>IF(OR(I49=0,J49=0),$V$152/3,((MAX(I49:J49)-(MIN(I49:J49)))))</f>
        <v>1.999999999999999E-2</v>
      </c>
      <c r="L49" s="1339">
        <f ca="1">(((L47-L45)/(L43-L41))*(L40-L41))+L45</f>
        <v>0.18666666666666668</v>
      </c>
      <c r="M49" s="554"/>
      <c r="N49" s="693">
        <v>0</v>
      </c>
      <c r="O49" s="671">
        <v>-0.36</v>
      </c>
      <c r="P49" s="671">
        <f t="shared" si="122"/>
        <v>-0.2</v>
      </c>
      <c r="Q49" s="652">
        <f>IF(OR(O49=0,P49=0),$W$152/3,((MAX(O49:P49)-(MIN(O49:P49)))))</f>
        <v>0.15999999999999998</v>
      </c>
      <c r="R49" s="1339">
        <f ca="1">(((R47-R45)/(R43-R41))*(R40-R41))+R45</f>
        <v>9.3333333333333338E-2</v>
      </c>
      <c r="S49" s="543"/>
      <c r="T49" s="693">
        <v>0</v>
      </c>
      <c r="U49" s="671"/>
      <c r="V49" s="671">
        <f>X151</f>
        <v>-0.28999999999999998</v>
      </c>
      <c r="W49" s="652">
        <f>IF(OR(U49=0,V49=0),$X$152/3,((MAX(U49:V49)-(MIN(U49:V49)))))</f>
        <v>3.6666666666666667E-2</v>
      </c>
      <c r="X49" s="1339">
        <f ca="1">(((X47-X45)/(X43-X41))*(X40-X41))+X45</f>
        <v>3.6666666666666667E-2</v>
      </c>
      <c r="Y49" s="543"/>
      <c r="Z49" s="693">
        <v>0</v>
      </c>
      <c r="AA49" s="671">
        <v>-0.18</v>
      </c>
      <c r="AB49" s="671">
        <f>Y151</f>
        <v>0.12</v>
      </c>
      <c r="AC49" s="652">
        <f t="shared" si="108"/>
        <v>0.3</v>
      </c>
      <c r="AD49" s="1339">
        <f ca="1">(((AD47-AD45)/(AD43-AD41))*(AD40-AD41))+AD45</f>
        <v>2.6666666666666668E-2</v>
      </c>
      <c r="AE49" s="543"/>
      <c r="AF49" s="693">
        <v>0</v>
      </c>
      <c r="AG49" s="671">
        <v>0.35</v>
      </c>
      <c r="AH49" s="671">
        <f>Z151</f>
        <v>0.12</v>
      </c>
      <c r="AI49" s="652">
        <f t="shared" si="109"/>
        <v>0.22999999999999998</v>
      </c>
      <c r="AJ49" s="1339">
        <f ca="1">(((AJ47-AJ45)/(AJ43-AJ41))*(AJ40-AJ41))+AJ45</f>
        <v>0.04</v>
      </c>
      <c r="AK49" s="543"/>
      <c r="AL49" s="693">
        <v>0</v>
      </c>
      <c r="AM49" s="671"/>
      <c r="AN49" s="671">
        <f>AA151</f>
        <v>0.43</v>
      </c>
      <c r="AO49" s="652">
        <f t="shared" si="110"/>
        <v>0.03</v>
      </c>
      <c r="AP49" s="1339">
        <f ca="1">(((AP47-AP45)/(AP43-AP41))*(AP40-AP41))+AP45</f>
        <v>0.03</v>
      </c>
      <c r="AQ49" s="543"/>
      <c r="AR49" s="693">
        <v>0</v>
      </c>
      <c r="AS49" s="671"/>
      <c r="AT49" s="671">
        <f>AB151</f>
        <v>0.38</v>
      </c>
      <c r="AU49" s="652">
        <f t="shared" si="111"/>
        <v>3.3333333333333333E-2</v>
      </c>
      <c r="AV49" s="1339">
        <f ca="1">(((AV47-AV45)/(AV43-AV41))*(AV40-AV41))+AV45</f>
        <v>3.3333333333333333E-2</v>
      </c>
      <c r="AW49" s="543"/>
      <c r="AX49" s="693">
        <v>0</v>
      </c>
      <c r="AY49" s="671"/>
      <c r="AZ49" s="553">
        <f>AC151</f>
        <v>0.56999999999999995</v>
      </c>
      <c r="BA49" s="541">
        <f t="shared" si="112"/>
        <v>0.26333333333333336</v>
      </c>
      <c r="BB49" s="1339">
        <f ca="1">(((BB47-BB45)/(BB43-BB41))*(BB40-BB41))+BB45</f>
        <v>0.26333333333333336</v>
      </c>
      <c r="BC49" s="543"/>
      <c r="BD49" s="693">
        <v>0</v>
      </c>
      <c r="BE49" s="671"/>
      <c r="BF49" s="553">
        <f>AD151</f>
        <v>-0.26</v>
      </c>
      <c r="BG49" s="541">
        <f t="shared" si="113"/>
        <v>2.6666666666666668E-2</v>
      </c>
      <c r="BH49" s="1339">
        <f ca="1">(((BH47-BH45)/(BH43-BH41))*(BH40-BH41))+BH45</f>
        <v>2.6666666666666668E-2</v>
      </c>
      <c r="BI49" s="543"/>
      <c r="BJ49" s="693">
        <v>0</v>
      </c>
      <c r="BK49" s="671"/>
      <c r="BL49" s="553">
        <f>AE165</f>
        <v>0.52</v>
      </c>
      <c r="BM49" s="541">
        <f t="shared" si="114"/>
        <v>0.26333333333333336</v>
      </c>
      <c r="BN49" s="1339">
        <f ca="1">(((BN47-BN45)/(BN43-BN41))*(BN40-BN41))+BN45</f>
        <v>0.26333333333333336</v>
      </c>
      <c r="BO49" s="543"/>
      <c r="BP49" s="693">
        <v>0</v>
      </c>
      <c r="BQ49" s="671"/>
      <c r="BR49" s="671">
        <f>AF151</f>
        <v>-0.56999999999999995</v>
      </c>
      <c r="BS49" s="541">
        <f t="shared" si="115"/>
        <v>2.3333333333333334E-2</v>
      </c>
      <c r="BT49" s="1339">
        <f ca="1">(((BT47-BT45)/(BT43-BT41))*(BT40-BT41))+BT45</f>
        <v>2.3333333333333334E-2</v>
      </c>
      <c r="BU49" s="543"/>
      <c r="BV49" s="693">
        <v>0</v>
      </c>
      <c r="BW49" s="671"/>
      <c r="BX49" s="671">
        <f>AG151</f>
        <v>-0.52</v>
      </c>
      <c r="BY49" s="541">
        <f t="shared" si="116"/>
        <v>3.3333333333333333E-2</v>
      </c>
      <c r="BZ49" s="1339">
        <f ca="1">(((BZ47-BZ45)/(BZ43-BZ41))*(BZ40-BZ41))+BZ45</f>
        <v>3.3333333333333333E-2</v>
      </c>
      <c r="CA49" s="543"/>
      <c r="CB49" s="693">
        <v>0</v>
      </c>
      <c r="CC49" s="671">
        <f t="shared" si="133"/>
        <v>-1.4</v>
      </c>
      <c r="CD49" s="671">
        <v>-0.7</v>
      </c>
      <c r="CE49" s="541">
        <f t="shared" si="117"/>
        <v>0.7</v>
      </c>
      <c r="CF49" s="1339">
        <f ca="1">(((CF47-CF45)/(CF43-CF41))*(CF40-CF41))+CF45</f>
        <v>6.6666666666666666E-2</v>
      </c>
      <c r="CH49" s="693">
        <v>0</v>
      </c>
      <c r="CI49" s="671">
        <f t="shared" si="100"/>
        <v>0.03</v>
      </c>
      <c r="CJ49" s="671">
        <f>CJ37</f>
        <v>4.0000000000000001E-3</v>
      </c>
      <c r="CK49" s="541">
        <f t="shared" si="118"/>
        <v>2.5999999999999999E-2</v>
      </c>
      <c r="CL49" s="1339">
        <f ca="1">(((CL47-CL45)/(CL43-CL41))*(CL40-CL41))+CL45</f>
        <v>7.3333333333333334E-2</v>
      </c>
      <c r="CN49" s="693">
        <v>0</v>
      </c>
      <c r="CO49" s="671">
        <f t="shared" si="101"/>
        <v>-0.79</v>
      </c>
      <c r="CP49" s="671">
        <f>CP13</f>
        <v>-0.08</v>
      </c>
      <c r="CQ49" s="541">
        <f>CQ37</f>
        <v>0.71000000000000008</v>
      </c>
      <c r="CR49" s="1339">
        <f ca="1">(((CR47-CR45)/(CR43-CR41))*(CR40-CR41))+CR45</f>
        <v>0.25666666666666665</v>
      </c>
    </row>
    <row r="50" spans="2:96" s="543" customFormat="1" ht="13">
      <c r="B50" s="678"/>
      <c r="C50" s="679"/>
      <c r="D50" s="679"/>
      <c r="E50" s="683"/>
      <c r="F50" s="554"/>
      <c r="G50" s="554"/>
      <c r="H50" s="678"/>
      <c r="I50" s="679"/>
      <c r="J50" s="679"/>
      <c r="K50" s="683"/>
      <c r="L50" s="554"/>
      <c r="M50" s="554"/>
      <c r="N50" s="678"/>
      <c r="O50" s="679"/>
      <c r="P50" s="679"/>
      <c r="Q50" s="683"/>
      <c r="R50" s="554"/>
      <c r="T50" s="678"/>
      <c r="U50" s="679"/>
      <c r="V50" s="679"/>
      <c r="W50" s="683"/>
      <c r="X50" s="554"/>
      <c r="Z50" s="678"/>
      <c r="AA50" s="679"/>
      <c r="AB50" s="679"/>
      <c r="AC50" s="683"/>
      <c r="AD50" s="554"/>
      <c r="AF50" s="678"/>
      <c r="AG50" s="679"/>
      <c r="AH50" s="679"/>
      <c r="AI50" s="683"/>
      <c r="AJ50" s="554"/>
      <c r="AL50" s="558"/>
      <c r="AM50" s="679"/>
      <c r="AN50" s="679"/>
      <c r="AO50" s="683"/>
      <c r="AP50" s="554"/>
      <c r="AR50" s="558"/>
      <c r="AS50" s="679"/>
      <c r="AT50" s="679"/>
      <c r="AU50" s="683"/>
      <c r="AV50" s="554"/>
      <c r="AX50" s="678"/>
      <c r="AY50" s="544"/>
      <c r="AZ50" s="544"/>
      <c r="BA50" s="556"/>
      <c r="BB50" s="554"/>
      <c r="BD50" s="678"/>
      <c r="BE50" s="544"/>
      <c r="BF50" s="544"/>
      <c r="BG50" s="556"/>
      <c r="BH50" s="554"/>
      <c r="BJ50" s="678"/>
      <c r="BK50" s="544"/>
      <c r="BL50" s="544"/>
      <c r="BM50" s="556"/>
      <c r="BN50" s="554"/>
      <c r="BP50" s="678"/>
      <c r="BQ50" s="544"/>
      <c r="BR50" s="544"/>
      <c r="BS50" s="556"/>
      <c r="BT50" s="554"/>
      <c r="BV50" s="678"/>
      <c r="BW50" s="544"/>
      <c r="BX50" s="544"/>
      <c r="BY50" s="556"/>
      <c r="BZ50" s="554"/>
      <c r="CB50" s="678"/>
      <c r="CC50" s="544"/>
      <c r="CD50" s="544"/>
      <c r="CE50" s="556"/>
      <c r="CF50" s="554"/>
      <c r="CH50" s="678"/>
      <c r="CI50" s="544"/>
      <c r="CJ50" s="544"/>
      <c r="CK50" s="556"/>
      <c r="CL50" s="554"/>
      <c r="CN50" s="678"/>
      <c r="CO50" s="544"/>
      <c r="CP50" s="544"/>
      <c r="CQ50" s="556"/>
      <c r="CR50" s="554"/>
    </row>
    <row r="51" spans="2:96" ht="21.75" customHeight="1">
      <c r="B51" s="1195" t="s">
        <v>361</v>
      </c>
      <c r="C51" s="1197" t="str">
        <f>C39</f>
        <v>Thermocouple Data Logger, Merek : MADGETECH, Model : OctTemp 2000, SN : P40270</v>
      </c>
      <c r="D51" s="1197"/>
      <c r="E51" s="1197"/>
      <c r="F51" s="546" t="str">
        <f>F39</f>
        <v>Interpolasi</v>
      </c>
      <c r="G51" s="547"/>
      <c r="H51" s="1195" t="s">
        <v>361</v>
      </c>
      <c r="I51" s="1197" t="str">
        <f>I39</f>
        <v>Thermocouple Data Logger, Merek : MADGETECH, Model : OctTemp 2000, SN : P41878</v>
      </c>
      <c r="J51" s="1197"/>
      <c r="K51" s="1197"/>
      <c r="L51" s="546" t="str">
        <f>L39</f>
        <v>Interpolasi</v>
      </c>
      <c r="M51" s="547"/>
      <c r="N51" s="1195" t="s">
        <v>361</v>
      </c>
      <c r="O51" s="1197" t="str">
        <f>O39</f>
        <v>Mobile Corder, Merek : Yokogawa, Model : GP 10, SN : S5T810599</v>
      </c>
      <c r="P51" s="1198"/>
      <c r="Q51" s="1197"/>
      <c r="R51" s="546" t="str">
        <f>R39</f>
        <v>Interpolasi</v>
      </c>
      <c r="S51" s="543"/>
      <c r="T51" s="1195" t="s">
        <v>361</v>
      </c>
      <c r="U51" s="1197" t="str">
        <f>U39</f>
        <v>Wireless Temperature Recorder, Merek : HIOKI, Model : LR 8510, SN : 200936000</v>
      </c>
      <c r="V51" s="1198"/>
      <c r="W51" s="1197"/>
      <c r="X51" s="546" t="str">
        <f>X39</f>
        <v>Interpolasi</v>
      </c>
      <c r="Y51" s="543"/>
      <c r="Z51" s="1195" t="s">
        <v>361</v>
      </c>
      <c r="AA51" s="1197" t="str">
        <f>AA39</f>
        <v>Wireless Temperature Recorder, Merek : HIOKI, Model : LR 8510, SN : 200936001</v>
      </c>
      <c r="AB51" s="1198"/>
      <c r="AC51" s="1197"/>
      <c r="AD51" s="546" t="str">
        <f>AD39</f>
        <v>Interpolasi</v>
      </c>
      <c r="AE51" s="543"/>
      <c r="AF51" s="1195" t="s">
        <v>361</v>
      </c>
      <c r="AG51" s="1197" t="str">
        <f>AG39</f>
        <v>Wireless Temperature Recorder, Merek : HIOKI, Model : LR 8510, SN : 200821397</v>
      </c>
      <c r="AH51" s="1198"/>
      <c r="AI51" s="1197"/>
      <c r="AJ51" s="546" t="str">
        <f>AJ39</f>
        <v>Interpolasi</v>
      </c>
      <c r="AK51" s="543"/>
      <c r="AL51" s="1199" t="s">
        <v>361</v>
      </c>
      <c r="AM51" s="1197" t="str">
        <f>AM39</f>
        <v>Wireless Temperature Recorder, Merek : HIOKI, Model : LR 8510, SN : 210411983</v>
      </c>
      <c r="AN51" s="1198"/>
      <c r="AO51" s="1197"/>
      <c r="AP51" s="546" t="str">
        <f>AP39</f>
        <v>Interpolasi</v>
      </c>
      <c r="AQ51" s="543"/>
      <c r="AR51" s="1199" t="s">
        <v>361</v>
      </c>
      <c r="AS51" s="1197" t="str">
        <f>AS39</f>
        <v>Wireless Temperature Recorder, Merek : HIOKI, Model : LR 8510, SN : 210411984</v>
      </c>
      <c r="AT51" s="1198"/>
      <c r="AU51" s="1197"/>
      <c r="AV51" s="546" t="str">
        <f>AV39</f>
        <v>Interpolasi</v>
      </c>
      <c r="AW51" s="543"/>
      <c r="AX51" s="1195" t="s">
        <v>361</v>
      </c>
      <c r="AY51" s="1193" t="str">
        <f>AY39</f>
        <v>Wireless Temperature Recorder, Merek : HIOKI, Model : LR 8510, SN : 210411985</v>
      </c>
      <c r="AZ51" s="1194"/>
      <c r="BA51" s="1193"/>
      <c r="BB51" s="546" t="str">
        <f>BB39</f>
        <v>Interpolasi</v>
      </c>
      <c r="BC51" s="543"/>
      <c r="BD51" s="1195" t="s">
        <v>361</v>
      </c>
      <c r="BE51" s="1193" t="str">
        <f>BE39</f>
        <v>Wireless Temperature Recorder, Merek : HIOKI, Model : LR 8510, SN : 210746054</v>
      </c>
      <c r="BF51" s="1194"/>
      <c r="BG51" s="1193"/>
      <c r="BH51" s="546" t="str">
        <f>BH39</f>
        <v>Interpolasi</v>
      </c>
      <c r="BI51" s="543"/>
      <c r="BJ51" s="1195" t="s">
        <v>361</v>
      </c>
      <c r="BK51" s="1193" t="str">
        <f>BK39</f>
        <v>Wireless Temperature Recorder, Merek : HIOKI, Model : LR 8510, SN : 210746055</v>
      </c>
      <c r="BL51" s="1194"/>
      <c r="BM51" s="1193"/>
      <c r="BN51" s="546" t="str">
        <f>BN39</f>
        <v>Interpolasi</v>
      </c>
      <c r="BO51" s="543"/>
      <c r="BP51" s="1195" t="s">
        <v>361</v>
      </c>
      <c r="BQ51" s="1193" t="str">
        <f>BQ39</f>
        <v>Wireless Temperature Recorder, Merek : HIOKI, Model : LR 8510, SN : 210746056</v>
      </c>
      <c r="BR51" s="1194"/>
      <c r="BS51" s="1193"/>
      <c r="BT51" s="546" t="str">
        <f>BT39</f>
        <v>Interpolasi</v>
      </c>
      <c r="BU51" s="543"/>
      <c r="BV51" s="1195" t="s">
        <v>361</v>
      </c>
      <c r="BW51" s="1193" t="str">
        <f>BW39</f>
        <v>Wireless Temperature Recorder, Merek : HIOKI, Model : LR 8510, SN : 200821396</v>
      </c>
      <c r="BX51" s="1194"/>
      <c r="BY51" s="1193"/>
      <c r="BZ51" s="546" t="str">
        <f>BZ39</f>
        <v>Interpolasi</v>
      </c>
      <c r="CA51" s="543"/>
      <c r="CB51" s="1195" t="s">
        <v>361</v>
      </c>
      <c r="CC51" s="1193" t="str">
        <f>CC39</f>
        <v>Reference Thermometer, Merek : APPA, Model : APPA51, SN : 03002948</v>
      </c>
      <c r="CD51" s="1194"/>
      <c r="CE51" s="1193"/>
      <c r="CF51" s="546" t="str">
        <f>CF39</f>
        <v>Interpolasi</v>
      </c>
      <c r="CH51" s="1195" t="s">
        <v>361</v>
      </c>
      <c r="CI51" s="1193" t="str">
        <f t="shared" ref="CI51:CI61" si="134">CI39</f>
        <v>Reference Thermometer, Merek : FLUKE, Model : 1524, SN : 1803038</v>
      </c>
      <c r="CJ51" s="1194"/>
      <c r="CK51" s="1193"/>
      <c r="CL51" s="546" t="str">
        <f>CL39</f>
        <v>Interpolasi</v>
      </c>
      <c r="CN51" s="1195" t="s">
        <v>361</v>
      </c>
      <c r="CO51" s="1193" t="str">
        <f t="shared" ref="CO51:CO61" si="135">CO39</f>
        <v>Reference Thermometer, Merek : FLUKE, Model : 1524, SN : 1803037</v>
      </c>
      <c r="CP51" s="1194"/>
      <c r="CQ51" s="1193"/>
      <c r="CR51" s="546" t="str">
        <f>CR39</f>
        <v>Interpolasi</v>
      </c>
    </row>
    <row r="52" spans="2:96" ht="13">
      <c r="B52" s="1196"/>
      <c r="C52" s="681">
        <f>C40</f>
        <v>2021</v>
      </c>
      <c r="D52" s="681">
        <f>D40</f>
        <v>2022</v>
      </c>
      <c r="E52" s="682" t="s">
        <v>357</v>
      </c>
      <c r="F52" s="656">
        <f ca="1">$B$243</f>
        <v>-26.693000000000005</v>
      </c>
      <c r="G52" s="551"/>
      <c r="H52" s="1196"/>
      <c r="I52" s="677">
        <f>I40</f>
        <v>2021</v>
      </c>
      <c r="J52" s="681">
        <f>J40</f>
        <v>2022</v>
      </c>
      <c r="K52" s="682" t="s">
        <v>357</v>
      </c>
      <c r="L52" s="656">
        <f ca="1">$B$243</f>
        <v>-26.693000000000005</v>
      </c>
      <c r="M52" s="551"/>
      <c r="N52" s="1196"/>
      <c r="O52" s="677">
        <f>O4</f>
        <v>2021</v>
      </c>
      <c r="P52" s="681">
        <f>P4</f>
        <v>2023</v>
      </c>
      <c r="Q52" s="682" t="s">
        <v>357</v>
      </c>
      <c r="R52" s="656">
        <f ca="1">$B$243</f>
        <v>-26.693000000000005</v>
      </c>
      <c r="S52" s="543"/>
      <c r="T52" s="1196"/>
      <c r="U52" s="668">
        <f>U40</f>
        <v>0</v>
      </c>
      <c r="V52" s="681">
        <f>V40</f>
        <v>2022</v>
      </c>
      <c r="W52" s="682" t="s">
        <v>357</v>
      </c>
      <c r="X52" s="656">
        <f ca="1">$B$243</f>
        <v>-26.693000000000005</v>
      </c>
      <c r="Y52" s="543"/>
      <c r="Z52" s="1196"/>
      <c r="AA52" s="668">
        <f>AA40</f>
        <v>2021</v>
      </c>
      <c r="AB52" s="681">
        <f>AB40</f>
        <v>2023</v>
      </c>
      <c r="AC52" s="682" t="s">
        <v>357</v>
      </c>
      <c r="AD52" s="656">
        <f ca="1">$B$243</f>
        <v>-26.693000000000005</v>
      </c>
      <c r="AE52" s="543"/>
      <c r="AF52" s="1196"/>
      <c r="AG52" s="668">
        <f>AG40</f>
        <v>2021</v>
      </c>
      <c r="AH52" s="677">
        <f>AH40</f>
        <v>2023</v>
      </c>
      <c r="AI52" s="682" t="s">
        <v>357</v>
      </c>
      <c r="AJ52" s="656">
        <f ca="1">$B$243</f>
        <v>-26.693000000000005</v>
      </c>
      <c r="AK52" s="543"/>
      <c r="AL52" s="1200"/>
      <c r="AM52" s="677">
        <f>AM40</f>
        <v>0</v>
      </c>
      <c r="AN52" s="681">
        <f>AN40</f>
        <v>2023</v>
      </c>
      <c r="AO52" s="682" t="s">
        <v>357</v>
      </c>
      <c r="AP52" s="656">
        <f ca="1">$B$243</f>
        <v>-26.693000000000005</v>
      </c>
      <c r="AQ52" s="543"/>
      <c r="AR52" s="1200"/>
      <c r="AS52" s="677">
        <f>AS40</f>
        <v>2021</v>
      </c>
      <c r="AT52" s="681">
        <f>AT40</f>
        <v>2023</v>
      </c>
      <c r="AU52" s="682" t="s">
        <v>357</v>
      </c>
      <c r="AV52" s="656">
        <f ca="1">$B$243</f>
        <v>-26.693000000000005</v>
      </c>
      <c r="AW52" s="543"/>
      <c r="AX52" s="1196"/>
      <c r="AY52" s="668">
        <f>AY40</f>
        <v>0</v>
      </c>
      <c r="AZ52" s="549">
        <f>AZ40</f>
        <v>2021</v>
      </c>
      <c r="BA52" s="550" t="s">
        <v>357</v>
      </c>
      <c r="BB52" s="656">
        <f ca="1">$B$243</f>
        <v>-26.693000000000005</v>
      </c>
      <c r="BC52" s="543"/>
      <c r="BD52" s="1196"/>
      <c r="BE52" s="668">
        <f>BE40</f>
        <v>0</v>
      </c>
      <c r="BF52" s="549"/>
      <c r="BG52" s="550" t="s">
        <v>357</v>
      </c>
      <c r="BH52" s="656">
        <f ca="1">$B$243</f>
        <v>-26.693000000000005</v>
      </c>
      <c r="BI52" s="543"/>
      <c r="BJ52" s="1196"/>
      <c r="BK52" s="668">
        <f>BK40</f>
        <v>2021</v>
      </c>
      <c r="BL52" s="549">
        <f>BL40</f>
        <v>2021</v>
      </c>
      <c r="BM52" s="550" t="s">
        <v>357</v>
      </c>
      <c r="BN52" s="656">
        <f ca="1">$B$243</f>
        <v>-26.693000000000005</v>
      </c>
      <c r="BO52" s="543"/>
      <c r="BP52" s="1196"/>
      <c r="BQ52" s="668">
        <f>BQ40</f>
        <v>2021</v>
      </c>
      <c r="BR52" s="549">
        <f>BR40</f>
        <v>2022</v>
      </c>
      <c r="BS52" s="550" t="s">
        <v>357</v>
      </c>
      <c r="BT52" s="656">
        <f ca="1">$B$243</f>
        <v>-26.693000000000005</v>
      </c>
      <c r="BU52" s="543"/>
      <c r="BV52" s="1196"/>
      <c r="BW52" s="552">
        <f>BW40</f>
        <v>0</v>
      </c>
      <c r="BX52" s="549">
        <f>BX40</f>
        <v>2022</v>
      </c>
      <c r="BY52" s="550" t="s">
        <v>357</v>
      </c>
      <c r="BZ52" s="656">
        <f ca="1">$B$243</f>
        <v>-26.693000000000005</v>
      </c>
      <c r="CA52" s="543"/>
      <c r="CB52" s="1196"/>
      <c r="CC52" s="668">
        <f>CC40</f>
        <v>2022</v>
      </c>
      <c r="CD52" s="669">
        <f>CD40</f>
        <v>2020</v>
      </c>
      <c r="CE52" s="550" t="s">
        <v>357</v>
      </c>
      <c r="CF52" s="656">
        <f ca="1">$B$243</f>
        <v>-26.693000000000005</v>
      </c>
      <c r="CH52" s="1196"/>
      <c r="CI52" s="668">
        <f t="shared" si="134"/>
        <v>2021</v>
      </c>
      <c r="CJ52" s="669">
        <f>CJ40</f>
        <v>2019</v>
      </c>
      <c r="CK52" s="550" t="s">
        <v>357</v>
      </c>
      <c r="CL52" s="656">
        <f ca="1">$B$243</f>
        <v>-26.693000000000005</v>
      </c>
      <c r="CN52" s="1196"/>
      <c r="CO52" s="668">
        <f t="shared" si="135"/>
        <v>2021</v>
      </c>
      <c r="CP52" s="669">
        <f>CP40</f>
        <v>2020</v>
      </c>
      <c r="CQ52" s="550" t="s">
        <v>357</v>
      </c>
      <c r="CR52" s="656">
        <f ca="1">$B$243</f>
        <v>-26.693000000000005</v>
      </c>
    </row>
    <row r="53" spans="2:96" ht="13">
      <c r="B53" s="693">
        <v>-40</v>
      </c>
      <c r="C53" s="681"/>
      <c r="D53" s="673">
        <f t="shared" ref="D53:D59" si="136">C157</f>
        <v>0</v>
      </c>
      <c r="E53" s="652">
        <f t="shared" ref="E53:E61" si="137">IF(OR(C53=0,D53=0),$C$166/3,((MAX(C53:D53)-(MIN(C53:D53)))))</f>
        <v>0.11333333333333334</v>
      </c>
      <c r="F53" s="654">
        <f ca="1">IF($L$4&lt;=$B$6,$B$5,IF($L$4&lt;=$B$8,$B$7,IF($L$4&lt;=$B$10,$B$9,IF($L$4&lt;=$B$12,$B$11,IF($L$4&lt;=$B$13,$B$13)))))</f>
        <v>-30</v>
      </c>
      <c r="G53" s="551"/>
      <c r="H53" s="693">
        <v>-40</v>
      </c>
      <c r="I53" s="672"/>
      <c r="J53" s="671">
        <f t="shared" ref="J53:J59" si="138">D157</f>
        <v>0</v>
      </c>
      <c r="K53" s="652">
        <f t="shared" ref="K53:K59" si="139">IF(OR(I53=0,J53=0),$D$166/3,((MAX(I53:J53)-(MIN(I53:J53)))))</f>
        <v>0.18666666666666668</v>
      </c>
      <c r="L53" s="654">
        <f ca="1">IF($L$4&lt;=$B$6,$B$5,IF($L$4&lt;=$B$8,$B$7,IF($L$4&lt;=$B$10,$B$9,IF($L$4&lt;=$B$12,$B$11,IF($L$4&lt;=$B$13,$B$13)))))</f>
        <v>-30</v>
      </c>
      <c r="M53" s="551"/>
      <c r="N53" s="693">
        <v>-40</v>
      </c>
      <c r="O53" s="672">
        <v>0</v>
      </c>
      <c r="P53" s="671">
        <f t="shared" ref="P53:P61" si="140">E157</f>
        <v>0</v>
      </c>
      <c r="Q53" s="652">
        <f t="shared" ref="Q53:Q59" si="141">IF(OR(O53=0,P53=0),$E$166/3,((MAX(O53:P53)-(MIN(O53:P53)))))</f>
        <v>9.3333333333333338E-2</v>
      </c>
      <c r="R53" s="654">
        <f ca="1">IF($L$4&lt;=$B$6,$B$5,IF($L$4&lt;=$B$8,$B$7,IF($L$4&lt;=$B$10,$B$9,IF($L$4&lt;=$B$12,$B$11,IF($L$4&lt;=$B$13,$B$13)))))</f>
        <v>-30</v>
      </c>
      <c r="S53" s="543"/>
      <c r="T53" s="693">
        <v>-40</v>
      </c>
      <c r="U53" s="673"/>
      <c r="V53" s="672">
        <f t="shared" ref="V53:V59" si="142">F157</f>
        <v>-2.58</v>
      </c>
      <c r="W53" s="652">
        <f t="shared" ref="W53:W59" si="143">IF(OR(U53=0,V53=0),$F$166/3,((MAX(U53:V53)-(MIN(U53:V53)))))</f>
        <v>0.03</v>
      </c>
      <c r="X53" s="654">
        <f ca="1">IF($L$4&lt;=$B$6,$B$5,IF($L$4&lt;=$B$8,$B$7,IF($L$4&lt;=$B$10,$B$9,IF($L$4&lt;=$B$12,$B$11,IF($L$4&lt;=$B$13,$B$13)))))</f>
        <v>-30</v>
      </c>
      <c r="Y53" s="543"/>
      <c r="Z53" s="693">
        <v>-40</v>
      </c>
      <c r="AA53" s="673">
        <v>0</v>
      </c>
      <c r="AB53" s="672">
        <f t="shared" ref="AB53:AB61" si="144">G157</f>
        <v>0.06</v>
      </c>
      <c r="AC53" s="652">
        <f t="shared" ref="AC53:AC61" si="145">IF(OR(AA53=0,AB53=0),$G$166/3,((MAX(AA53:AB53)-(MIN(AA53:AB53)))))</f>
        <v>4.3333333333333335E-2</v>
      </c>
      <c r="AD53" s="654">
        <f ca="1">IF($L$4&lt;=$B$6,$B$5,IF($L$4&lt;=$B$8,$B$7,IF($L$4&lt;=$B$10,$B$9,IF($L$4&lt;=$B$12,$B$11,IF($L$4&lt;=$B$13,$B$13)))))</f>
        <v>-30</v>
      </c>
      <c r="AE53" s="543"/>
      <c r="AF53" s="693">
        <v>-40</v>
      </c>
      <c r="AG53" s="673">
        <v>0</v>
      </c>
      <c r="AH53" s="672">
        <f t="shared" ref="AH53:AH61" si="146">H157</f>
        <v>0.11</v>
      </c>
      <c r="AI53" s="652">
        <f t="shared" ref="AI53:AI61" si="147">IF(OR(AG53=0,AH53=0),$H$166/3,((MAX(AG53:AH53)-(MIN(AG53:AH53)))))</f>
        <v>3.3333333333333333E-2</v>
      </c>
      <c r="AJ53" s="654">
        <f ca="1">IF($L$4&lt;=$B$6,$B$5,IF($L$4&lt;=$B$8,$B$7,IF($L$4&lt;=$B$10,$B$9,IF($L$4&lt;=$B$12,$B$11,IF($L$4&lt;=$B$13,$B$13)))))</f>
        <v>-30</v>
      </c>
      <c r="AK53" s="543"/>
      <c r="AL53" s="693">
        <v>-40</v>
      </c>
      <c r="AM53" s="673"/>
      <c r="AN53" s="672">
        <f t="shared" ref="AN53:AN61" si="148">I157</f>
        <v>0.42</v>
      </c>
      <c r="AO53" s="652">
        <f t="shared" ref="AO53:AO61" si="149">IF(OR(AM53=0,AN53=0),$I$166/3,((MAX(AM53:AN53)-(MIN(AM53:AN53)))))</f>
        <v>3.3333333333333333E-2</v>
      </c>
      <c r="AP53" s="654">
        <f ca="1">IF($L$4&lt;=$B$6,$B$5,IF($L$4&lt;=$B$8,$B$7,IF($L$4&lt;=$B$10,$B$9,IF($L$4&lt;=$B$12,$B$11,IF($L$4&lt;=$B$13,$B$13)))))</f>
        <v>-30</v>
      </c>
      <c r="AQ53" s="543"/>
      <c r="AR53" s="693">
        <v>-40</v>
      </c>
      <c r="AS53" s="673"/>
      <c r="AT53" s="672">
        <f t="shared" ref="AT53:AT61" si="150">J157</f>
        <v>0.28999999999999998</v>
      </c>
      <c r="AU53" s="652">
        <f t="shared" ref="AU53:AU61" si="151">IF(OR(AS53=0,AT53=0),$J$166/3,((MAX(AS53:AT53)-(MIN(AS53:AT53)))))</f>
        <v>0.03</v>
      </c>
      <c r="AV53" s="654">
        <f ca="1">IF($L$4&lt;=$B$6,$B$5,IF($L$4&lt;=$B$8,$B$7,IF($L$4&lt;=$B$10,$B$9,IF($L$4&lt;=$B$12,$B$11,IF($L$4&lt;=$B$13,$B$13)))))</f>
        <v>-30</v>
      </c>
      <c r="AW53" s="543"/>
      <c r="AX53" s="693">
        <v>-40</v>
      </c>
      <c r="AY53" s="673"/>
      <c r="AZ53" s="649">
        <f t="shared" ref="AZ53:AZ61" si="152">K157</f>
        <v>0</v>
      </c>
      <c r="BA53" s="541">
        <f t="shared" ref="BA53:BA61" si="153">IF(OR(AY53=0,AZ53=0),$K$166/3,((MAX(AY53:AZ53)-(MIN(AY53:AZ53)))))</f>
        <v>0.26333333333333336</v>
      </c>
      <c r="BB53" s="654">
        <f ca="1">IF($L$4&lt;=$B$6,$B$5,IF($L$4&lt;=$B$8,$B$7,IF($L$4&lt;=$B$10,$B$9,IF($L$4&lt;=$B$12,$B$11,IF($L$4&lt;=$B$13,$B$13)))))</f>
        <v>-30</v>
      </c>
      <c r="BC53" s="543"/>
      <c r="BD53" s="693">
        <v>-40</v>
      </c>
      <c r="BE53" s="673"/>
      <c r="BF53" s="559">
        <f t="shared" ref="BF53:BF61" si="154">L157</f>
        <v>-2.62</v>
      </c>
      <c r="BG53" s="541">
        <f t="shared" ref="BG53:BG61" si="155">IF(OR(BE53=0,BF53=0),$L$166/3,((MAX(BE53:BF53)-(MIN(BE53:BF53)))))</f>
        <v>0.03</v>
      </c>
      <c r="BH53" s="654">
        <f ca="1">IF($L$4&lt;=$B$6,$B$5,IF($L$4&lt;=$B$8,$B$7,IF($L$4&lt;=$B$10,$B$9,IF($L$4&lt;=$B$12,$B$11,IF($L$4&lt;=$B$13,$B$13)))))</f>
        <v>-30</v>
      </c>
      <c r="BI53" s="543"/>
      <c r="BJ53" s="693">
        <v>-40</v>
      </c>
      <c r="BK53" s="673"/>
      <c r="BL53" s="559">
        <f t="shared" ref="BL53:BL61" si="156">M157</f>
        <v>0</v>
      </c>
      <c r="BM53" s="541">
        <f t="shared" ref="BM53:BM61" si="157">IF(OR(BK53=0,BL53=0),$M$166/3,((MAX(BK53:BL53)-(MIN(BK53:BL53)))))</f>
        <v>0.26333333333333336</v>
      </c>
      <c r="BN53" s="654">
        <f ca="1">IF($L$4&lt;=$B$6,$B$5,IF($L$4&lt;=$B$8,$B$7,IF($L$4&lt;=$B$10,$B$9,IF($L$4&lt;=$B$12,$B$11,IF($L$4&lt;=$B$13,$B$13)))))</f>
        <v>-30</v>
      </c>
      <c r="BO53" s="543"/>
      <c r="BP53" s="693">
        <v>-40</v>
      </c>
      <c r="BQ53" s="673"/>
      <c r="BR53" s="675">
        <f t="shared" ref="BR53:BR61" si="158">N157</f>
        <v>-2.46</v>
      </c>
      <c r="BS53" s="541">
        <f t="shared" ref="BS53:BS61" si="159">IF(OR(BQ53=0,BR53=0),$N$166/3,((MAX(BQ53:BR53)-(MIN(BQ53:BR53)))))</f>
        <v>2.3333333333333334E-2</v>
      </c>
      <c r="BT53" s="654">
        <f ca="1">IF($L$4&lt;=$B$6,$B$5,IF($L$4&lt;=$B$8,$B$7,IF($L$4&lt;=$B$10,$B$9,IF($L$4&lt;=$B$12,$B$11,IF($L$4&lt;=$B$13,$B$13)))))</f>
        <v>-30</v>
      </c>
      <c r="BU53" s="543"/>
      <c r="BV53" s="693">
        <v>-40</v>
      </c>
      <c r="BW53" s="673"/>
      <c r="BX53" s="676">
        <f t="shared" ref="BX53:BX61" si="160">O157</f>
        <v>-2.71</v>
      </c>
      <c r="BY53" s="541">
        <f t="shared" ref="BY53:BY61" si="161">IF(OR(BW53=0,BX53=0),$O$166/3,((MAX(BW53:BX53)-(MIN(BW53:BX53)))))</f>
        <v>2.6666666666666668E-2</v>
      </c>
      <c r="BZ53" s="654">
        <f ca="1">IF($L$4&lt;=$B$6,$B$5,IF($L$4&lt;=$B$8,$B$7,IF($L$4&lt;=$B$10,$B$9,IF($L$4&lt;=$B$12,$B$11,IF($L$4&lt;=$B$13,$B$13)))))</f>
        <v>-30</v>
      </c>
      <c r="CA53" s="543"/>
      <c r="CB53" s="693">
        <v>-40</v>
      </c>
      <c r="CC53" s="674">
        <f>CC41</f>
        <v>-1.7</v>
      </c>
      <c r="CD53" s="671"/>
      <c r="CE53" s="560">
        <f t="shared" ref="CE53:CE61" si="162">CE41</f>
        <v>6.6666666666666666E-2</v>
      </c>
      <c r="CF53" s="654">
        <f ca="1">IF($L$4&lt;=$B$6,$B$5,IF($L$4&lt;=$B$8,$B$7,IF($L$4&lt;=$B$10,$B$9,IF($L$4&lt;=$B$12,$B$11,IF($L$4&lt;=$B$13,$B$13)))))</f>
        <v>-30</v>
      </c>
      <c r="CH53" s="693">
        <v>-40</v>
      </c>
      <c r="CI53" s="674">
        <f t="shared" si="134"/>
        <v>0</v>
      </c>
      <c r="CJ53" s="671"/>
      <c r="CK53" s="561">
        <f t="shared" ref="CK53:CK61" si="163">CK41</f>
        <v>7.3333333333333334E-2</v>
      </c>
      <c r="CL53" s="654">
        <f ca="1">IF($L$4&lt;=$B$6,$B$5,IF($L$4&lt;=$B$8,$B$7,IF($L$4&lt;=$B$10,$B$9,IF($L$4&lt;=$B$12,$B$11,IF($L$4&lt;=$B$13,$B$13)))))</f>
        <v>-30</v>
      </c>
      <c r="CN53" s="693">
        <v>-40</v>
      </c>
      <c r="CO53" s="674">
        <f t="shared" si="135"/>
        <v>0</v>
      </c>
      <c r="CP53" s="671">
        <f t="shared" ref="CP53:CP59" si="164">CP5</f>
        <v>0</v>
      </c>
      <c r="CQ53" s="562">
        <f t="shared" ref="CQ53:CQ59" si="165">CQ41</f>
        <v>0.25666666666666665</v>
      </c>
      <c r="CR53" s="654">
        <f ca="1">IF($L$4&lt;=$B$6,$B$5,IF($L$4&lt;=$B$8,$B$7,IF($L$4&lt;=$B$10,$B$9,IF($L$4&lt;=$B$12,$B$11,IF($L$4&lt;=$B$13,$B$13)))))</f>
        <v>-30</v>
      </c>
    </row>
    <row r="54" spans="2:96" ht="13">
      <c r="B54" s="693">
        <v>-35</v>
      </c>
      <c r="C54" s="673"/>
      <c r="D54" s="673">
        <f t="shared" si="136"/>
        <v>0</v>
      </c>
      <c r="E54" s="652">
        <f t="shared" si="137"/>
        <v>0.11333333333333334</v>
      </c>
      <c r="F54" s="651"/>
      <c r="G54" s="554"/>
      <c r="H54" s="693">
        <v>-35</v>
      </c>
      <c r="I54" s="673"/>
      <c r="J54" s="671">
        <f t="shared" si="138"/>
        <v>0</v>
      </c>
      <c r="K54" s="652">
        <f t="shared" si="139"/>
        <v>0.18666666666666668</v>
      </c>
      <c r="L54" s="651"/>
      <c r="M54" s="554"/>
      <c r="N54" s="693">
        <v>-35</v>
      </c>
      <c r="O54" s="671">
        <v>0</v>
      </c>
      <c r="P54" s="671">
        <f t="shared" si="140"/>
        <v>0</v>
      </c>
      <c r="Q54" s="652">
        <f t="shared" si="141"/>
        <v>9.3333333333333338E-2</v>
      </c>
      <c r="R54" s="651"/>
      <c r="S54" s="543"/>
      <c r="T54" s="693">
        <v>-35</v>
      </c>
      <c r="U54" s="673"/>
      <c r="V54" s="672">
        <f t="shared" si="142"/>
        <v>0</v>
      </c>
      <c r="W54" s="652">
        <f t="shared" si="143"/>
        <v>0.03</v>
      </c>
      <c r="X54" s="651"/>
      <c r="Y54" s="543"/>
      <c r="Z54" s="693">
        <v>-35</v>
      </c>
      <c r="AA54" s="673">
        <v>0</v>
      </c>
      <c r="AB54" s="672">
        <f t="shared" si="144"/>
        <v>0</v>
      </c>
      <c r="AC54" s="652">
        <f t="shared" si="145"/>
        <v>4.3333333333333335E-2</v>
      </c>
      <c r="AD54" s="651"/>
      <c r="AE54" s="543"/>
      <c r="AF54" s="693">
        <v>-35</v>
      </c>
      <c r="AG54" s="673">
        <v>0</v>
      </c>
      <c r="AH54" s="672">
        <f t="shared" si="146"/>
        <v>0.06</v>
      </c>
      <c r="AI54" s="652">
        <f t="shared" si="147"/>
        <v>3.3333333333333333E-2</v>
      </c>
      <c r="AJ54" s="651"/>
      <c r="AK54" s="543"/>
      <c r="AL54" s="693">
        <v>-35</v>
      </c>
      <c r="AM54" s="673"/>
      <c r="AN54" s="672">
        <f t="shared" si="148"/>
        <v>0.41</v>
      </c>
      <c r="AO54" s="652">
        <f t="shared" si="149"/>
        <v>3.3333333333333333E-2</v>
      </c>
      <c r="AP54" s="651"/>
      <c r="AQ54" s="543"/>
      <c r="AR54" s="693">
        <v>-35</v>
      </c>
      <c r="AS54" s="673"/>
      <c r="AT54" s="672">
        <f t="shared" si="150"/>
        <v>0.28999999999999998</v>
      </c>
      <c r="AU54" s="652">
        <f t="shared" si="151"/>
        <v>0.03</v>
      </c>
      <c r="AV54" s="651"/>
      <c r="AW54" s="543"/>
      <c r="AX54" s="693">
        <v>-35</v>
      </c>
      <c r="AY54" s="673"/>
      <c r="AZ54" s="649">
        <f t="shared" si="152"/>
        <v>0</v>
      </c>
      <c r="BA54" s="541">
        <f t="shared" si="153"/>
        <v>0.26333333333333336</v>
      </c>
      <c r="BB54" s="651"/>
      <c r="BC54" s="543"/>
      <c r="BD54" s="693">
        <v>-35</v>
      </c>
      <c r="BE54" s="673"/>
      <c r="BF54" s="559">
        <f t="shared" si="154"/>
        <v>0</v>
      </c>
      <c r="BG54" s="541">
        <f t="shared" si="155"/>
        <v>0.03</v>
      </c>
      <c r="BH54" s="651"/>
      <c r="BI54" s="543"/>
      <c r="BJ54" s="693">
        <v>-35</v>
      </c>
      <c r="BK54" s="673"/>
      <c r="BL54" s="559">
        <f t="shared" si="156"/>
        <v>0</v>
      </c>
      <c r="BM54" s="541">
        <f t="shared" si="157"/>
        <v>0.26333333333333336</v>
      </c>
      <c r="BN54" s="651"/>
      <c r="BO54" s="543"/>
      <c r="BP54" s="693">
        <v>-35</v>
      </c>
      <c r="BQ54" s="673"/>
      <c r="BR54" s="675">
        <f t="shared" si="158"/>
        <v>0</v>
      </c>
      <c r="BS54" s="541">
        <f t="shared" si="159"/>
        <v>2.3333333333333334E-2</v>
      </c>
      <c r="BT54" s="651"/>
      <c r="BU54" s="543"/>
      <c r="BV54" s="693">
        <v>-35</v>
      </c>
      <c r="BW54" s="673"/>
      <c r="BX54" s="676">
        <f t="shared" si="160"/>
        <v>0</v>
      </c>
      <c r="BY54" s="541">
        <f t="shared" si="161"/>
        <v>2.6666666666666668E-2</v>
      </c>
      <c r="BZ54" s="651"/>
      <c r="CA54" s="543"/>
      <c r="CB54" s="693">
        <v>-35</v>
      </c>
      <c r="CC54" s="674">
        <f t="shared" ref="CC54:CC61" si="166">CC42</f>
        <v>-1.4</v>
      </c>
      <c r="CD54" s="671"/>
      <c r="CE54" s="541">
        <f t="shared" si="162"/>
        <v>6.6666666666666666E-2</v>
      </c>
      <c r="CF54" s="651"/>
      <c r="CH54" s="693">
        <v>-35</v>
      </c>
      <c r="CI54" s="673">
        <f t="shared" si="134"/>
        <v>0</v>
      </c>
      <c r="CJ54" s="671"/>
      <c r="CK54" s="541">
        <f t="shared" si="163"/>
        <v>7.3333333333333334E-2</v>
      </c>
      <c r="CL54" s="651"/>
      <c r="CN54" s="693">
        <v>-35</v>
      </c>
      <c r="CO54" s="673">
        <f t="shared" si="135"/>
        <v>0</v>
      </c>
      <c r="CP54" s="671">
        <f t="shared" si="164"/>
        <v>0</v>
      </c>
      <c r="CQ54" s="541">
        <f t="shared" si="165"/>
        <v>0.25666666666666665</v>
      </c>
      <c r="CR54" s="651"/>
    </row>
    <row r="55" spans="2:96" ht="13">
      <c r="B55" s="693">
        <v>-30</v>
      </c>
      <c r="C55" s="673"/>
      <c r="D55" s="673">
        <f t="shared" si="136"/>
        <v>0</v>
      </c>
      <c r="E55" s="652">
        <f t="shared" si="137"/>
        <v>0.11333333333333334</v>
      </c>
      <c r="F55" s="654">
        <f ca="1">IF($L$4&lt;=$B$5,$B$5,IF($L$4&lt;=$B$6,$B$6,IF($L$4&lt;=$B$7,$B$7,IF($L$4&lt;=$B$8,$B$8,IF($L$4&lt;=$B$9,$B$9,IF($L$4&lt;=$B$10,$B$10,IF($L$4&lt;=$B$11,$B$11)))))))</f>
        <v>-25</v>
      </c>
      <c r="G55" s="554"/>
      <c r="H55" s="693">
        <v>-30</v>
      </c>
      <c r="I55" s="673"/>
      <c r="J55" s="671">
        <f t="shared" si="138"/>
        <v>0</v>
      </c>
      <c r="K55" s="652">
        <f t="shared" si="139"/>
        <v>0.18666666666666668</v>
      </c>
      <c r="L55" s="654">
        <f ca="1">IF($L$4&lt;=$B$5,$B$5,IF($L$4&lt;=$B$6,$B$6,IF($L$4&lt;=$B$7,$B$7,IF($L$4&lt;=$B$8,$B$8,IF($L$4&lt;=$B$9,$B$9,IF($L$4&lt;=$B$10,$B$10,IF($L$4&lt;=$B$11,$B$11)))))))</f>
        <v>-25</v>
      </c>
      <c r="M55" s="554"/>
      <c r="N55" s="693">
        <v>-30</v>
      </c>
      <c r="O55" s="671">
        <v>0</v>
      </c>
      <c r="P55" s="671">
        <f t="shared" si="140"/>
        <v>0</v>
      </c>
      <c r="Q55" s="652">
        <f t="shared" si="141"/>
        <v>9.3333333333333338E-2</v>
      </c>
      <c r="R55" s="654">
        <f ca="1">IF($L$4&lt;=$B$5,$B$5,IF($L$4&lt;=$B$6,$B$6,IF($L$4&lt;=$B$7,$B$7,IF($L$4&lt;=$B$8,$B$8,IF($L$4&lt;=$B$9,$B$9,IF($L$4&lt;=$B$10,$B$10,IF($L$4&lt;=$B$11,$B$11)))))))</f>
        <v>-25</v>
      </c>
      <c r="S55" s="543"/>
      <c r="T55" s="693">
        <v>-30</v>
      </c>
      <c r="U55" s="673"/>
      <c r="V55" s="672">
        <f t="shared" si="142"/>
        <v>0</v>
      </c>
      <c r="W55" s="652">
        <f t="shared" si="143"/>
        <v>0.03</v>
      </c>
      <c r="X55" s="654">
        <f ca="1">IF($L$4&lt;=$B$5,$B$5,IF($L$4&lt;=$B$6,$B$6,IF($L$4&lt;=$B$7,$B$7,IF($L$4&lt;=$B$8,$B$8,IF($L$4&lt;=$B$9,$B$9,IF($L$4&lt;=$B$10,$B$10,IF($L$4&lt;=$B$11,$B$11)))))))</f>
        <v>-25</v>
      </c>
      <c r="Y55" s="543"/>
      <c r="Z55" s="693">
        <v>-30</v>
      </c>
      <c r="AA55" s="673">
        <v>0</v>
      </c>
      <c r="AB55" s="672">
        <f t="shared" si="144"/>
        <v>-0.01</v>
      </c>
      <c r="AC55" s="652">
        <f t="shared" si="145"/>
        <v>4.3333333333333335E-2</v>
      </c>
      <c r="AD55" s="654">
        <f ca="1">IF($L$4&lt;=$B$5,$B$5,IF($L$4&lt;=$B$6,$B$6,IF($L$4&lt;=$B$7,$B$7,IF($L$4&lt;=$B$8,$B$8,IF($L$4&lt;=$B$9,$B$9,IF($L$4&lt;=$B$10,$B$10,IF($L$4&lt;=$B$11,$B$11)))))))</f>
        <v>-25</v>
      </c>
      <c r="AE55" s="543"/>
      <c r="AF55" s="693">
        <v>-30</v>
      </c>
      <c r="AG55" s="673">
        <v>0</v>
      </c>
      <c r="AH55" s="672">
        <f t="shared" si="146"/>
        <v>0.06</v>
      </c>
      <c r="AI55" s="652">
        <f t="shared" si="147"/>
        <v>3.3333333333333333E-2</v>
      </c>
      <c r="AJ55" s="654">
        <f ca="1">IF($L$4&lt;=$B$5,$B$5,IF($L$4&lt;=$B$6,$B$6,IF($L$4&lt;=$B$7,$B$7,IF($L$4&lt;=$B$8,$B$8,IF($L$4&lt;=$B$9,$B$9,IF($L$4&lt;=$B$10,$B$10,IF($L$4&lt;=$B$11,$B$11)))))))</f>
        <v>-25</v>
      </c>
      <c r="AK55" s="543"/>
      <c r="AL55" s="693">
        <v>-30</v>
      </c>
      <c r="AM55" s="673"/>
      <c r="AN55" s="672">
        <f t="shared" si="148"/>
        <v>0.42</v>
      </c>
      <c r="AO55" s="652">
        <f t="shared" si="149"/>
        <v>3.3333333333333333E-2</v>
      </c>
      <c r="AP55" s="654">
        <f ca="1">IF($L$4&lt;=$B$5,$B$5,IF($L$4&lt;=$B$6,$B$6,IF($L$4&lt;=$B$7,$B$7,IF($L$4&lt;=$B$8,$B$8,IF($L$4&lt;=$B$9,$B$9,IF($L$4&lt;=$B$10,$B$10,IF($L$4&lt;=$B$11,$B$11)))))))</f>
        <v>-25</v>
      </c>
      <c r="AQ55" s="543"/>
      <c r="AR55" s="693">
        <v>-30</v>
      </c>
      <c r="AS55" s="673"/>
      <c r="AT55" s="672">
        <f t="shared" si="150"/>
        <v>0.31</v>
      </c>
      <c r="AU55" s="652">
        <f t="shared" si="151"/>
        <v>0.03</v>
      </c>
      <c r="AV55" s="654">
        <f ca="1">IF($L$4&lt;=$B$5,$B$5,IF($L$4&lt;=$B$6,$B$6,IF($L$4&lt;=$B$7,$B$7,IF($L$4&lt;=$B$8,$B$8,IF($L$4&lt;=$B$9,$B$9,IF($L$4&lt;=$B$10,$B$10,IF($L$4&lt;=$B$11,$B$11)))))))</f>
        <v>-25</v>
      </c>
      <c r="AW55" s="543"/>
      <c r="AX55" s="693">
        <v>-30</v>
      </c>
      <c r="AY55" s="673"/>
      <c r="AZ55" s="649">
        <f t="shared" si="152"/>
        <v>0</v>
      </c>
      <c r="BA55" s="541">
        <f t="shared" si="153"/>
        <v>0.26333333333333336</v>
      </c>
      <c r="BB55" s="654">
        <f ca="1">IF($L$4&lt;=$B$5,$B$5,IF($L$4&lt;=$B$6,$B$6,IF($L$4&lt;=$B$7,$B$7,IF($L$4&lt;=$B$8,$B$8,IF($L$4&lt;=$B$9,$B$9,IF($L$4&lt;=$B$10,$B$10,IF($L$4&lt;=$B$11,$B$11)))))))</f>
        <v>-25</v>
      </c>
      <c r="BC55" s="543"/>
      <c r="BD55" s="693">
        <v>-30</v>
      </c>
      <c r="BE55" s="673"/>
      <c r="BF55" s="559">
        <f t="shared" si="154"/>
        <v>0</v>
      </c>
      <c r="BG55" s="541">
        <f t="shared" si="155"/>
        <v>0.03</v>
      </c>
      <c r="BH55" s="654">
        <f ca="1">IF($L$4&lt;=$B$5,$B$5,IF($L$4&lt;=$B$6,$B$6,IF($L$4&lt;=$B$7,$B$7,IF($L$4&lt;=$B$8,$B$8,IF($L$4&lt;=$B$9,$B$9,IF($L$4&lt;=$B$10,$B$10,IF($L$4&lt;=$B$11,$B$11)))))))</f>
        <v>-25</v>
      </c>
      <c r="BI55" s="543"/>
      <c r="BJ55" s="693">
        <v>-30</v>
      </c>
      <c r="BK55" s="673"/>
      <c r="BL55" s="559">
        <f t="shared" si="156"/>
        <v>0</v>
      </c>
      <c r="BM55" s="541">
        <f t="shared" si="157"/>
        <v>0.26333333333333336</v>
      </c>
      <c r="BN55" s="654">
        <f ca="1">IF($L$4&lt;=$B$5,$B$5,IF($L$4&lt;=$B$6,$B$6,IF($L$4&lt;=$B$7,$B$7,IF($L$4&lt;=$B$8,$B$8,IF($L$4&lt;=$B$9,$B$9,IF($L$4&lt;=$B$10,$B$10,IF($L$4&lt;=$B$11,$B$11)))))))</f>
        <v>-25</v>
      </c>
      <c r="BO55" s="543"/>
      <c r="BP55" s="693">
        <v>-30</v>
      </c>
      <c r="BQ55" s="673"/>
      <c r="BR55" s="675">
        <f t="shared" si="158"/>
        <v>0</v>
      </c>
      <c r="BS55" s="541">
        <f t="shared" si="159"/>
        <v>2.3333333333333334E-2</v>
      </c>
      <c r="BT55" s="654">
        <f ca="1">IF($L$4&lt;=$B$5,$B$5,IF($L$4&lt;=$B$6,$B$6,IF($L$4&lt;=$B$7,$B$7,IF($L$4&lt;=$B$8,$B$8,IF($L$4&lt;=$B$9,$B$9,IF($L$4&lt;=$B$10,$B$10,IF($L$4&lt;=$B$11,$B$11)))))))</f>
        <v>-25</v>
      </c>
      <c r="BU55" s="543"/>
      <c r="BV55" s="693">
        <v>-30</v>
      </c>
      <c r="BW55" s="673"/>
      <c r="BX55" s="676">
        <f t="shared" si="160"/>
        <v>0</v>
      </c>
      <c r="BY55" s="541">
        <f t="shared" si="161"/>
        <v>2.6666666666666668E-2</v>
      </c>
      <c r="BZ55" s="654">
        <f ca="1">IF($L$4&lt;=$B$5,$B$5,IF($L$4&lt;=$B$6,$B$6,IF($L$4&lt;=$B$7,$B$7,IF($L$4&lt;=$B$8,$B$8,IF($L$4&lt;=$B$9,$B$9,IF($L$4&lt;=$B$10,$B$10,IF($L$4&lt;=$B$11,$B$11)))))))</f>
        <v>-25</v>
      </c>
      <c r="CA55" s="543"/>
      <c r="CB55" s="693">
        <v>-30</v>
      </c>
      <c r="CC55" s="674">
        <f t="shared" si="166"/>
        <v>-1.2</v>
      </c>
      <c r="CD55" s="671"/>
      <c r="CE55" s="541">
        <f t="shared" si="162"/>
        <v>6.6666666666666666E-2</v>
      </c>
      <c r="CF55" s="654">
        <f ca="1">IF($L$4&lt;=$B$5,$B$5,IF($L$4&lt;=$B$6,$B$6,IF($L$4&lt;=$B$7,$B$7,IF($L$4&lt;=$B$8,$B$8,IF($L$4&lt;=$B$9,$B$9,IF($L$4&lt;=$B$10,$B$10,IF($L$4&lt;=$B$11,$B$11)))))))</f>
        <v>-25</v>
      </c>
      <c r="CH55" s="693">
        <v>-30</v>
      </c>
      <c r="CI55" s="673">
        <f t="shared" si="134"/>
        <v>0</v>
      </c>
      <c r="CJ55" s="671"/>
      <c r="CK55" s="541">
        <f t="shared" si="163"/>
        <v>7.3333333333333334E-2</v>
      </c>
      <c r="CL55" s="654">
        <f ca="1">IF($L$4&lt;=$B$5,$B$5,IF($L$4&lt;=$B$6,$B$6,IF($L$4&lt;=$B$7,$B$7,IF($L$4&lt;=$B$8,$B$8,IF($L$4&lt;=$B$9,$B$9,IF($L$4&lt;=$B$10,$B$10,IF($L$4&lt;=$B$11,$B$11)))))))</f>
        <v>-25</v>
      </c>
      <c r="CN55" s="693">
        <v>-30</v>
      </c>
      <c r="CO55" s="673">
        <f t="shared" si="135"/>
        <v>0</v>
      </c>
      <c r="CP55" s="671">
        <f t="shared" si="164"/>
        <v>0</v>
      </c>
      <c r="CQ55" s="541">
        <f t="shared" si="165"/>
        <v>0.25666666666666665</v>
      </c>
      <c r="CR55" s="654">
        <f ca="1">IF($L$4&lt;=$B$5,$B$5,IF($L$4&lt;=$B$6,$B$6,IF($L$4&lt;=$B$7,$B$7,IF($L$4&lt;=$B$8,$B$8,IF($L$4&lt;=$B$9,$B$9,IF($L$4&lt;=$B$10,$B$10,IF($L$4&lt;=$B$11,$B$11)))))))</f>
        <v>-25</v>
      </c>
    </row>
    <row r="56" spans="2:96" ht="13">
      <c r="B56" s="693">
        <v>-25</v>
      </c>
      <c r="C56" s="673"/>
      <c r="D56" s="673">
        <f t="shared" si="136"/>
        <v>0</v>
      </c>
      <c r="E56" s="652">
        <f t="shared" si="137"/>
        <v>0.11333333333333334</v>
      </c>
      <c r="F56" s="651"/>
      <c r="G56" s="554"/>
      <c r="H56" s="693">
        <v>-25</v>
      </c>
      <c r="I56" s="673"/>
      <c r="J56" s="671">
        <f t="shared" si="138"/>
        <v>0</v>
      </c>
      <c r="K56" s="652">
        <f t="shared" si="139"/>
        <v>0.18666666666666668</v>
      </c>
      <c r="L56" s="651"/>
      <c r="M56" s="554"/>
      <c r="N56" s="693">
        <v>-25</v>
      </c>
      <c r="O56" s="671">
        <v>-0.5</v>
      </c>
      <c r="P56" s="671">
        <f t="shared" si="140"/>
        <v>0</v>
      </c>
      <c r="Q56" s="652">
        <f t="shared" si="141"/>
        <v>9.3333333333333338E-2</v>
      </c>
      <c r="R56" s="651"/>
      <c r="S56" s="543"/>
      <c r="T56" s="693">
        <v>-25</v>
      </c>
      <c r="U56" s="673"/>
      <c r="V56" s="672">
        <f t="shared" si="142"/>
        <v>-1.65</v>
      </c>
      <c r="W56" s="652">
        <f t="shared" si="143"/>
        <v>0.03</v>
      </c>
      <c r="X56" s="651"/>
      <c r="Y56" s="543"/>
      <c r="Z56" s="693">
        <v>-25</v>
      </c>
      <c r="AA56" s="673">
        <v>0</v>
      </c>
      <c r="AB56" s="672">
        <f t="shared" si="144"/>
        <v>0.02</v>
      </c>
      <c r="AC56" s="652">
        <f t="shared" si="145"/>
        <v>4.3333333333333335E-2</v>
      </c>
      <c r="AD56" s="651"/>
      <c r="AE56" s="543"/>
      <c r="AF56" s="693">
        <v>-25</v>
      </c>
      <c r="AG56" s="673">
        <v>0</v>
      </c>
      <c r="AH56" s="672">
        <f t="shared" si="146"/>
        <v>0.08</v>
      </c>
      <c r="AI56" s="652">
        <f t="shared" si="147"/>
        <v>3.3333333333333333E-2</v>
      </c>
      <c r="AJ56" s="651"/>
      <c r="AK56" s="543"/>
      <c r="AL56" s="693">
        <v>-25</v>
      </c>
      <c r="AM56" s="673"/>
      <c r="AN56" s="672">
        <f t="shared" si="148"/>
        <v>0.44</v>
      </c>
      <c r="AO56" s="652">
        <f t="shared" si="149"/>
        <v>3.3333333333333333E-2</v>
      </c>
      <c r="AP56" s="651"/>
      <c r="AQ56" s="543"/>
      <c r="AR56" s="693">
        <v>-25</v>
      </c>
      <c r="AS56" s="673"/>
      <c r="AT56" s="672">
        <f t="shared" si="150"/>
        <v>0.32</v>
      </c>
      <c r="AU56" s="652">
        <f t="shared" si="151"/>
        <v>0.03</v>
      </c>
      <c r="AV56" s="651"/>
      <c r="AW56" s="543"/>
      <c r="AX56" s="693">
        <v>-25</v>
      </c>
      <c r="AY56" s="673"/>
      <c r="AZ56" s="649">
        <f t="shared" si="152"/>
        <v>0</v>
      </c>
      <c r="BA56" s="541">
        <f t="shared" si="153"/>
        <v>0.26333333333333336</v>
      </c>
      <c r="BB56" s="651"/>
      <c r="BC56" s="543"/>
      <c r="BD56" s="693">
        <v>-25</v>
      </c>
      <c r="BE56" s="673"/>
      <c r="BF56" s="559">
        <f t="shared" si="154"/>
        <v>-1.25</v>
      </c>
      <c r="BG56" s="541">
        <f t="shared" si="155"/>
        <v>0.03</v>
      </c>
      <c r="BH56" s="651"/>
      <c r="BI56" s="543"/>
      <c r="BJ56" s="693">
        <v>-25</v>
      </c>
      <c r="BK56" s="673"/>
      <c r="BL56" s="559">
        <f t="shared" si="156"/>
        <v>0</v>
      </c>
      <c r="BM56" s="541">
        <f t="shared" si="157"/>
        <v>0.26333333333333336</v>
      </c>
      <c r="BN56" s="651"/>
      <c r="BO56" s="543"/>
      <c r="BP56" s="693">
        <v>-25</v>
      </c>
      <c r="BQ56" s="673"/>
      <c r="BR56" s="675">
        <f t="shared" si="158"/>
        <v>-1.57</v>
      </c>
      <c r="BS56" s="541">
        <f t="shared" si="159"/>
        <v>2.3333333333333334E-2</v>
      </c>
      <c r="BT56" s="651"/>
      <c r="BU56" s="543"/>
      <c r="BV56" s="693">
        <v>-25</v>
      </c>
      <c r="BW56" s="673"/>
      <c r="BX56" s="676">
        <f t="shared" si="160"/>
        <v>-1.69</v>
      </c>
      <c r="BY56" s="541">
        <f t="shared" si="161"/>
        <v>2.6666666666666668E-2</v>
      </c>
      <c r="BZ56" s="651"/>
      <c r="CA56" s="543"/>
      <c r="CB56" s="693">
        <v>-25</v>
      </c>
      <c r="CC56" s="674">
        <f t="shared" si="166"/>
        <v>-1.1000000000000001</v>
      </c>
      <c r="CD56" s="671"/>
      <c r="CE56" s="541">
        <f t="shared" si="162"/>
        <v>6.6666666666666666E-2</v>
      </c>
      <c r="CF56" s="651"/>
      <c r="CH56" s="693">
        <v>-25</v>
      </c>
      <c r="CI56" s="673">
        <f t="shared" si="134"/>
        <v>0</v>
      </c>
      <c r="CJ56" s="671"/>
      <c r="CK56" s="541">
        <f t="shared" si="163"/>
        <v>7.3333333333333334E-2</v>
      </c>
      <c r="CL56" s="651"/>
      <c r="CN56" s="693">
        <v>-25</v>
      </c>
      <c r="CO56" s="673">
        <f t="shared" si="135"/>
        <v>0</v>
      </c>
      <c r="CP56" s="671">
        <f t="shared" si="164"/>
        <v>0</v>
      </c>
      <c r="CQ56" s="541">
        <f t="shared" si="165"/>
        <v>0.25666666666666665</v>
      </c>
      <c r="CR56" s="651"/>
    </row>
    <row r="57" spans="2:96" ht="13">
      <c r="B57" s="693">
        <v>-20</v>
      </c>
      <c r="C57" s="673">
        <v>-0.42</v>
      </c>
      <c r="D57" s="673">
        <f t="shared" si="136"/>
        <v>-0.56999999999999995</v>
      </c>
      <c r="E57" s="652">
        <f t="shared" si="137"/>
        <v>0.14999999999999997</v>
      </c>
      <c r="F57" s="655">
        <f ca="1">VLOOKUP(F53,B53:E58,4)</f>
        <v>0.11333333333333334</v>
      </c>
      <c r="G57" s="554"/>
      <c r="H57" s="693">
        <v>-20</v>
      </c>
      <c r="I57" s="673">
        <v>-0.6</v>
      </c>
      <c r="J57" s="671">
        <f t="shared" si="138"/>
        <v>-0.47</v>
      </c>
      <c r="K57" s="652">
        <f t="shared" si="139"/>
        <v>0.13</v>
      </c>
      <c r="L57" s="655">
        <f ca="1">VLOOKUP(L53,H53:K58,4)</f>
        <v>0.18666666666666668</v>
      </c>
      <c r="M57" s="554"/>
      <c r="N57" s="693">
        <v>-20</v>
      </c>
      <c r="O57" s="671">
        <v>0</v>
      </c>
      <c r="P57" s="671">
        <f t="shared" si="140"/>
        <v>-0.41</v>
      </c>
      <c r="Q57" s="652">
        <f t="shared" si="141"/>
        <v>9.3333333333333338E-2</v>
      </c>
      <c r="R57" s="655">
        <f ca="1">VLOOKUP(R53,N53:Q58,4)</f>
        <v>9.3333333333333338E-2</v>
      </c>
      <c r="S57" s="543"/>
      <c r="T57" s="693">
        <v>-20</v>
      </c>
      <c r="U57" s="673"/>
      <c r="V57" s="672">
        <f t="shared" si="142"/>
        <v>-1.42</v>
      </c>
      <c r="W57" s="652">
        <f t="shared" si="143"/>
        <v>0.03</v>
      </c>
      <c r="X57" s="655">
        <f ca="1">VLOOKUP(X53,T53:W58,4)</f>
        <v>0.03</v>
      </c>
      <c r="Y57" s="543"/>
      <c r="Z57" s="693">
        <v>-20</v>
      </c>
      <c r="AA57" s="673">
        <v>-0.56999999999999995</v>
      </c>
      <c r="AB57" s="672">
        <f t="shared" si="144"/>
        <v>7.0000000000000007E-2</v>
      </c>
      <c r="AC57" s="652">
        <f t="shared" si="145"/>
        <v>0.6399999999999999</v>
      </c>
      <c r="AD57" s="655">
        <f ca="1">VLOOKUP(AD53,Z53:AC58,4)</f>
        <v>4.3333333333333335E-2</v>
      </c>
      <c r="AE57" s="543"/>
      <c r="AF57" s="693">
        <v>-20</v>
      </c>
      <c r="AG57" s="673">
        <v>-0.04</v>
      </c>
      <c r="AH57" s="672">
        <f t="shared" si="146"/>
        <v>0.11</v>
      </c>
      <c r="AI57" s="652">
        <f t="shared" si="147"/>
        <v>0.15</v>
      </c>
      <c r="AJ57" s="655">
        <f ca="1">VLOOKUP(AJ53,AF53:AI58,4)</f>
        <v>3.3333333333333333E-2</v>
      </c>
      <c r="AK57" s="543"/>
      <c r="AL57" s="693">
        <v>-20</v>
      </c>
      <c r="AM57" s="673"/>
      <c r="AN57" s="672">
        <f t="shared" si="148"/>
        <v>0.46</v>
      </c>
      <c r="AO57" s="652">
        <f t="shared" si="149"/>
        <v>3.3333333333333333E-2</v>
      </c>
      <c r="AP57" s="655">
        <f ca="1">VLOOKUP(AP53,AL53:AO58,4)</f>
        <v>3.3333333333333333E-2</v>
      </c>
      <c r="AQ57" s="543"/>
      <c r="AR57" s="693">
        <v>-20</v>
      </c>
      <c r="AS57" s="673"/>
      <c r="AT57" s="672">
        <f t="shared" si="150"/>
        <v>0.34</v>
      </c>
      <c r="AU57" s="652">
        <f t="shared" si="151"/>
        <v>0.03</v>
      </c>
      <c r="AV57" s="655">
        <f ca="1">VLOOKUP(AV53,AR53:AU58,4)</f>
        <v>0.03</v>
      </c>
      <c r="AW57" s="543"/>
      <c r="AX57" s="693">
        <v>-20</v>
      </c>
      <c r="AY57" s="673"/>
      <c r="AZ57" s="649">
        <f t="shared" si="152"/>
        <v>0.54</v>
      </c>
      <c r="BA57" s="541">
        <f t="shared" si="153"/>
        <v>0.26333333333333336</v>
      </c>
      <c r="BB57" s="655">
        <f ca="1">VLOOKUP(BB53,AX53:BA58,4)</f>
        <v>0.26333333333333336</v>
      </c>
      <c r="BC57" s="543"/>
      <c r="BD57" s="693">
        <v>-20</v>
      </c>
      <c r="BE57" s="673"/>
      <c r="BF57" s="559">
        <f t="shared" si="154"/>
        <v>-0.94</v>
      </c>
      <c r="BG57" s="541">
        <f t="shared" si="155"/>
        <v>0.03</v>
      </c>
      <c r="BH57" s="655">
        <f ca="1">VLOOKUP(BH53,BD53:BG58,4)</f>
        <v>0.03</v>
      </c>
      <c r="BI57" s="543"/>
      <c r="BJ57" s="693">
        <v>-20</v>
      </c>
      <c r="BK57" s="673"/>
      <c r="BL57" s="559">
        <f t="shared" si="156"/>
        <v>0.54</v>
      </c>
      <c r="BM57" s="541">
        <f t="shared" si="157"/>
        <v>0.26333333333333336</v>
      </c>
      <c r="BN57" s="655">
        <f ca="1">VLOOKUP(BN53,BJ53:BM58,4)</f>
        <v>0.26333333333333336</v>
      </c>
      <c r="BO57" s="543"/>
      <c r="BP57" s="693">
        <v>-20</v>
      </c>
      <c r="BQ57" s="673"/>
      <c r="BR57" s="675">
        <f t="shared" si="158"/>
        <v>-1.29</v>
      </c>
      <c r="BS57" s="541">
        <f t="shared" si="159"/>
        <v>2.3333333333333334E-2</v>
      </c>
      <c r="BT57" s="655">
        <f ca="1">VLOOKUP(BT53,BP53:BS58,4)</f>
        <v>2.3333333333333334E-2</v>
      </c>
      <c r="BU57" s="543"/>
      <c r="BV57" s="693">
        <v>-20</v>
      </c>
      <c r="BW57" s="673"/>
      <c r="BX57" s="676">
        <f t="shared" si="160"/>
        <v>-1.4</v>
      </c>
      <c r="BY57" s="541">
        <f t="shared" si="161"/>
        <v>2.6666666666666668E-2</v>
      </c>
      <c r="BZ57" s="655">
        <f ca="1">VLOOKUP(BZ53,BV53:BY58,4)</f>
        <v>2.6666666666666668E-2</v>
      </c>
      <c r="CA57" s="543"/>
      <c r="CB57" s="693">
        <v>-20</v>
      </c>
      <c r="CC57" s="674">
        <f t="shared" si="166"/>
        <v>-1.1000000000000001</v>
      </c>
      <c r="CD57" s="671">
        <v>-0.7</v>
      </c>
      <c r="CE57" s="541">
        <f t="shared" si="162"/>
        <v>0.40000000000000013</v>
      </c>
      <c r="CF57" s="655">
        <f ca="1">VLOOKUP(CF53,CB53:CE58,4)</f>
        <v>6.6666666666666666E-2</v>
      </c>
      <c r="CH57" s="693">
        <v>-20</v>
      </c>
      <c r="CI57" s="673">
        <f t="shared" si="134"/>
        <v>-0.15</v>
      </c>
      <c r="CJ57" s="671"/>
      <c r="CK57" s="541">
        <f t="shared" si="163"/>
        <v>7.3333333333333334E-2</v>
      </c>
      <c r="CL57" s="655">
        <f ca="1">VLOOKUP(CL53,CH53:CK58,4)</f>
        <v>7.3333333333333334E-2</v>
      </c>
      <c r="CN57" s="693">
        <v>-20</v>
      </c>
      <c r="CO57" s="673">
        <f t="shared" si="135"/>
        <v>-1.8</v>
      </c>
      <c r="CP57" s="671">
        <f t="shared" si="164"/>
        <v>-0.51</v>
      </c>
      <c r="CQ57" s="541">
        <f t="shared" si="165"/>
        <v>1.29</v>
      </c>
      <c r="CR57" s="655">
        <f ca="1">VLOOKUP(CR53,CN53:CQ58,4)</f>
        <v>0.25666666666666665</v>
      </c>
    </row>
    <row r="58" spans="2:96" ht="13">
      <c r="B58" s="693">
        <v>-15</v>
      </c>
      <c r="C58" s="673">
        <v>-0.36</v>
      </c>
      <c r="D58" s="673">
        <f t="shared" si="136"/>
        <v>-0.52</v>
      </c>
      <c r="E58" s="652">
        <f t="shared" si="137"/>
        <v>0.16000000000000003</v>
      </c>
      <c r="F58" s="651"/>
      <c r="G58" s="554"/>
      <c r="H58" s="693">
        <v>-15</v>
      </c>
      <c r="I58" s="673">
        <v>-0.49</v>
      </c>
      <c r="J58" s="671">
        <f t="shared" si="138"/>
        <v>-0.4</v>
      </c>
      <c r="K58" s="652">
        <f t="shared" si="139"/>
        <v>8.9999999999999969E-2</v>
      </c>
      <c r="L58" s="651"/>
      <c r="M58" s="554"/>
      <c r="N58" s="693">
        <v>-15</v>
      </c>
      <c r="O58" s="671">
        <v>-0.41</v>
      </c>
      <c r="P58" s="671">
        <f t="shared" si="140"/>
        <v>-0.34</v>
      </c>
      <c r="Q58" s="652">
        <f t="shared" si="141"/>
        <v>6.9999999999999951E-2</v>
      </c>
      <c r="R58" s="651"/>
      <c r="S58" s="543"/>
      <c r="T58" s="693">
        <v>-15</v>
      </c>
      <c r="U58" s="673"/>
      <c r="V58" s="672">
        <f t="shared" si="142"/>
        <v>-1.19</v>
      </c>
      <c r="W58" s="652">
        <f t="shared" si="143"/>
        <v>0.03</v>
      </c>
      <c r="X58" s="651"/>
      <c r="Y58" s="543"/>
      <c r="Z58" s="693">
        <v>-15</v>
      </c>
      <c r="AA58" s="673">
        <v>0</v>
      </c>
      <c r="AB58" s="672">
        <f t="shared" si="144"/>
        <v>0.12</v>
      </c>
      <c r="AC58" s="652">
        <f t="shared" si="145"/>
        <v>4.3333333333333335E-2</v>
      </c>
      <c r="AD58" s="651"/>
      <c r="AE58" s="543"/>
      <c r="AF58" s="693">
        <v>-15</v>
      </c>
      <c r="AG58" s="673">
        <v>0</v>
      </c>
      <c r="AH58" s="672">
        <f t="shared" si="146"/>
        <v>0.15</v>
      </c>
      <c r="AI58" s="652">
        <f t="shared" si="147"/>
        <v>3.3333333333333333E-2</v>
      </c>
      <c r="AJ58" s="651"/>
      <c r="AK58" s="543"/>
      <c r="AL58" s="693">
        <v>-15</v>
      </c>
      <c r="AM58" s="673"/>
      <c r="AN58" s="672">
        <f t="shared" si="148"/>
        <v>0.48</v>
      </c>
      <c r="AO58" s="652">
        <f t="shared" si="149"/>
        <v>3.3333333333333333E-2</v>
      </c>
      <c r="AP58" s="651"/>
      <c r="AQ58" s="543"/>
      <c r="AR58" s="693">
        <v>-15</v>
      </c>
      <c r="AS58" s="673"/>
      <c r="AT58" s="672">
        <f t="shared" si="150"/>
        <v>0.36</v>
      </c>
      <c r="AU58" s="652">
        <f t="shared" si="151"/>
        <v>0.03</v>
      </c>
      <c r="AV58" s="651"/>
      <c r="AW58" s="543"/>
      <c r="AX58" s="693">
        <v>-15</v>
      </c>
      <c r="AY58" s="673"/>
      <c r="AZ58" s="649">
        <f t="shared" si="152"/>
        <v>0</v>
      </c>
      <c r="BA58" s="541">
        <f t="shared" si="153"/>
        <v>0.26333333333333336</v>
      </c>
      <c r="BB58" s="651"/>
      <c r="BC58" s="543"/>
      <c r="BD58" s="693">
        <v>-15</v>
      </c>
      <c r="BE58" s="673"/>
      <c r="BF58" s="559">
        <f t="shared" si="154"/>
        <v>-0.7</v>
      </c>
      <c r="BG58" s="541">
        <f t="shared" si="155"/>
        <v>0.03</v>
      </c>
      <c r="BH58" s="651"/>
      <c r="BI58" s="543"/>
      <c r="BJ58" s="693">
        <v>-15</v>
      </c>
      <c r="BK58" s="673"/>
      <c r="BL58" s="559">
        <f t="shared" si="156"/>
        <v>0</v>
      </c>
      <c r="BM58" s="541">
        <f t="shared" si="157"/>
        <v>0.26333333333333336</v>
      </c>
      <c r="BN58" s="651"/>
      <c r="BO58" s="543"/>
      <c r="BP58" s="693">
        <v>-15</v>
      </c>
      <c r="BQ58" s="673"/>
      <c r="BR58" s="675">
        <f t="shared" si="158"/>
        <v>-1.04</v>
      </c>
      <c r="BS58" s="541">
        <f t="shared" si="159"/>
        <v>2.3333333333333334E-2</v>
      </c>
      <c r="BT58" s="651"/>
      <c r="BU58" s="543"/>
      <c r="BV58" s="693">
        <v>-15</v>
      </c>
      <c r="BW58" s="673"/>
      <c r="BX58" s="676">
        <f t="shared" si="160"/>
        <v>-1.1399999999999999</v>
      </c>
      <c r="BY58" s="541">
        <f t="shared" si="161"/>
        <v>2.6666666666666668E-2</v>
      </c>
      <c r="BZ58" s="651"/>
      <c r="CA58" s="543"/>
      <c r="CB58" s="693">
        <v>-15</v>
      </c>
      <c r="CC58" s="674">
        <f t="shared" si="166"/>
        <v>-1.1000000000000001</v>
      </c>
      <c r="CD58" s="671">
        <v>-0.7</v>
      </c>
      <c r="CE58" s="541">
        <f t="shared" si="162"/>
        <v>0.40000000000000013</v>
      </c>
      <c r="CF58" s="651"/>
      <c r="CH58" s="693">
        <v>-15</v>
      </c>
      <c r="CI58" s="673">
        <f t="shared" si="134"/>
        <v>-0.1</v>
      </c>
      <c r="CJ58" s="671"/>
      <c r="CK58" s="541">
        <f t="shared" si="163"/>
        <v>9.0000000000000011E-2</v>
      </c>
      <c r="CL58" s="651"/>
      <c r="CN58" s="693">
        <v>-15</v>
      </c>
      <c r="CO58" s="673">
        <f t="shared" si="135"/>
        <v>-1.52</v>
      </c>
      <c r="CP58" s="671">
        <f t="shared" si="164"/>
        <v>-0.39</v>
      </c>
      <c r="CQ58" s="541">
        <f t="shared" si="165"/>
        <v>1.1299999999999999</v>
      </c>
      <c r="CR58" s="651"/>
    </row>
    <row r="59" spans="2:96" ht="13">
      <c r="B59" s="693">
        <v>-10</v>
      </c>
      <c r="C59" s="673">
        <v>-0.3</v>
      </c>
      <c r="D59" s="673">
        <f t="shared" si="136"/>
        <v>-0.46</v>
      </c>
      <c r="E59" s="652">
        <f t="shared" si="137"/>
        <v>0.16000000000000003</v>
      </c>
      <c r="F59" s="655">
        <f ca="1">VLOOKUP(F55,B53:E58,4)</f>
        <v>0.11333333333333334</v>
      </c>
      <c r="G59" s="554"/>
      <c r="H59" s="693">
        <v>-10</v>
      </c>
      <c r="I59" s="673"/>
      <c r="J59" s="671">
        <f t="shared" si="138"/>
        <v>-0.34</v>
      </c>
      <c r="K59" s="652">
        <f t="shared" si="139"/>
        <v>0.18666666666666668</v>
      </c>
      <c r="L59" s="655">
        <f ca="1">VLOOKUP(L55,H53:K58,4)</f>
        <v>0.18666666666666668</v>
      </c>
      <c r="M59" s="554"/>
      <c r="N59" s="693">
        <v>-10</v>
      </c>
      <c r="O59" s="671">
        <v>-0.32</v>
      </c>
      <c r="P59" s="671">
        <f t="shared" si="140"/>
        <v>-0.27</v>
      </c>
      <c r="Q59" s="652">
        <f t="shared" si="141"/>
        <v>4.9999999999999989E-2</v>
      </c>
      <c r="R59" s="655">
        <f ca="1">VLOOKUP(R55,N53:Q58,4)</f>
        <v>9.3333333333333338E-2</v>
      </c>
      <c r="S59" s="543"/>
      <c r="T59" s="693">
        <v>-10</v>
      </c>
      <c r="U59" s="673"/>
      <c r="V59" s="672">
        <f t="shared" si="142"/>
        <v>-0.94</v>
      </c>
      <c r="W59" s="652">
        <f t="shared" si="143"/>
        <v>0.03</v>
      </c>
      <c r="X59" s="655">
        <f ca="1">VLOOKUP(X55,T53:W58,4)</f>
        <v>0.03</v>
      </c>
      <c r="Y59" s="543"/>
      <c r="Z59" s="693">
        <v>-10</v>
      </c>
      <c r="AA59" s="673">
        <v>-0.31</v>
      </c>
      <c r="AB59" s="672">
        <f t="shared" si="144"/>
        <v>0.16</v>
      </c>
      <c r="AC59" s="652">
        <f t="shared" si="145"/>
        <v>0.47</v>
      </c>
      <c r="AD59" s="655">
        <f ca="1">VLOOKUP(AD55,Z53:AC58,4)</f>
        <v>4.3333333333333335E-2</v>
      </c>
      <c r="AE59" s="543"/>
      <c r="AF59" s="693">
        <v>-10</v>
      </c>
      <c r="AG59" s="673">
        <v>0.17</v>
      </c>
      <c r="AH59" s="672">
        <f t="shared" si="146"/>
        <v>0.18</v>
      </c>
      <c r="AI59" s="652">
        <f t="shared" si="147"/>
        <v>9.9999999999999811E-3</v>
      </c>
      <c r="AJ59" s="655">
        <f ca="1">VLOOKUP(AJ55,AF53:AI58,4)</f>
        <v>3.3333333333333333E-2</v>
      </c>
      <c r="AK59" s="543"/>
      <c r="AL59" s="693">
        <v>-10</v>
      </c>
      <c r="AM59" s="673"/>
      <c r="AN59" s="672">
        <f t="shared" si="148"/>
        <v>0.49</v>
      </c>
      <c r="AO59" s="652">
        <f t="shared" si="149"/>
        <v>3.3333333333333333E-2</v>
      </c>
      <c r="AP59" s="655">
        <f ca="1">VLOOKUP(AP55,AL53:AO58,4)</f>
        <v>3.3333333333333333E-2</v>
      </c>
      <c r="AQ59" s="543"/>
      <c r="AR59" s="693">
        <v>-10</v>
      </c>
      <c r="AS59" s="673"/>
      <c r="AT59" s="672">
        <f t="shared" si="150"/>
        <v>0.38</v>
      </c>
      <c r="AU59" s="652">
        <f t="shared" si="151"/>
        <v>0.03</v>
      </c>
      <c r="AV59" s="655">
        <f ca="1">VLOOKUP(AV55,AR53:AU58,4)</f>
        <v>0.03</v>
      </c>
      <c r="AW59" s="543"/>
      <c r="AX59" s="693">
        <v>-10</v>
      </c>
      <c r="AY59" s="673"/>
      <c r="AZ59" s="649">
        <f t="shared" si="152"/>
        <v>0.53</v>
      </c>
      <c r="BA59" s="541">
        <f t="shared" si="153"/>
        <v>0.26333333333333336</v>
      </c>
      <c r="BB59" s="655">
        <f ca="1">VLOOKUP(BB55,AX53:BA58,4)</f>
        <v>0.26333333333333336</v>
      </c>
      <c r="BC59" s="543"/>
      <c r="BD59" s="693">
        <v>-10</v>
      </c>
      <c r="BE59" s="673"/>
      <c r="BF59" s="559">
        <f t="shared" si="154"/>
        <v>-0.51</v>
      </c>
      <c r="BG59" s="541">
        <f t="shared" si="155"/>
        <v>0.03</v>
      </c>
      <c r="BH59" s="655">
        <f ca="1">VLOOKUP(BH55,BD53:BG58,4)</f>
        <v>0.03</v>
      </c>
      <c r="BI59" s="543"/>
      <c r="BJ59" s="693">
        <v>-10</v>
      </c>
      <c r="BK59" s="673"/>
      <c r="BL59" s="559">
        <f t="shared" si="156"/>
        <v>0.53</v>
      </c>
      <c r="BM59" s="541">
        <f t="shared" si="157"/>
        <v>0.26333333333333336</v>
      </c>
      <c r="BN59" s="655">
        <f ca="1">VLOOKUP(BN55,BJ53:BM58,4)</f>
        <v>0.26333333333333336</v>
      </c>
      <c r="BO59" s="543"/>
      <c r="BP59" s="693">
        <v>-10</v>
      </c>
      <c r="BQ59" s="673"/>
      <c r="BR59" s="675">
        <f t="shared" si="158"/>
        <v>-0.84</v>
      </c>
      <c r="BS59" s="541">
        <f t="shared" si="159"/>
        <v>2.3333333333333334E-2</v>
      </c>
      <c r="BT59" s="655">
        <f ca="1">VLOOKUP(BT55,BP53:BS58,4)</f>
        <v>2.3333333333333334E-2</v>
      </c>
      <c r="BU59" s="543"/>
      <c r="BV59" s="693">
        <v>-10</v>
      </c>
      <c r="BW59" s="673"/>
      <c r="BX59" s="676">
        <f t="shared" si="160"/>
        <v>-0.91</v>
      </c>
      <c r="BY59" s="541">
        <f t="shared" si="161"/>
        <v>2.6666666666666668E-2</v>
      </c>
      <c r="BZ59" s="655">
        <f ca="1">VLOOKUP(BZ55,BV53:BY58,4)</f>
        <v>2.6666666666666668E-2</v>
      </c>
      <c r="CA59" s="543"/>
      <c r="CB59" s="693">
        <v>-10</v>
      </c>
      <c r="CC59" s="674">
        <f t="shared" si="166"/>
        <v>-1.2</v>
      </c>
      <c r="CD59" s="671">
        <v>-0.7</v>
      </c>
      <c r="CE59" s="541">
        <f t="shared" si="162"/>
        <v>0.5</v>
      </c>
      <c r="CF59" s="655">
        <f ca="1">VLOOKUP(CF55,CB53:CE58,4)</f>
        <v>6.6666666666666666E-2</v>
      </c>
      <c r="CH59" s="693">
        <v>-10</v>
      </c>
      <c r="CI59" s="673">
        <f t="shared" si="134"/>
        <v>-0.05</v>
      </c>
      <c r="CJ59" s="671"/>
      <c r="CK59" s="541">
        <f t="shared" si="163"/>
        <v>6.2E-2</v>
      </c>
      <c r="CL59" s="655">
        <f ca="1">VLOOKUP(CL55,CH53:CK58,4)</f>
        <v>7.3333333333333334E-2</v>
      </c>
      <c r="CN59" s="693">
        <v>-10</v>
      </c>
      <c r="CO59" s="673">
        <f t="shared" si="135"/>
        <v>-1.26</v>
      </c>
      <c r="CP59" s="671">
        <f t="shared" si="164"/>
        <v>-0.28000000000000003</v>
      </c>
      <c r="CQ59" s="541">
        <f t="shared" si="165"/>
        <v>0.98</v>
      </c>
      <c r="CR59" s="655">
        <f ca="1">VLOOKUP(CR55,CN53:CQ58,4)</f>
        <v>0.25666666666666665</v>
      </c>
    </row>
    <row r="60" spans="2:96" ht="13">
      <c r="B60" s="693">
        <v>-5</v>
      </c>
      <c r="C60" s="673"/>
      <c r="D60" s="673"/>
      <c r="E60" s="652">
        <f t="shared" si="137"/>
        <v>0.11333333333333334</v>
      </c>
      <c r="F60" s="1340"/>
      <c r="G60" s="554"/>
      <c r="H60" s="693">
        <v>-5</v>
      </c>
      <c r="I60" s="673"/>
      <c r="J60" s="671"/>
      <c r="K60" s="652"/>
      <c r="L60" s="1340"/>
      <c r="M60" s="554"/>
      <c r="N60" s="693">
        <v>-5</v>
      </c>
      <c r="O60" s="671">
        <v>0</v>
      </c>
      <c r="P60" s="671">
        <f t="shared" si="140"/>
        <v>0</v>
      </c>
      <c r="Q60" s="652"/>
      <c r="R60" s="1340"/>
      <c r="S60" s="543"/>
      <c r="T60" s="693">
        <v>-5</v>
      </c>
      <c r="U60" s="673"/>
      <c r="V60" s="672"/>
      <c r="W60" s="652"/>
      <c r="X60" s="1340"/>
      <c r="Y60" s="543"/>
      <c r="Z60" s="693">
        <v>-5</v>
      </c>
      <c r="AA60" s="673">
        <v>0</v>
      </c>
      <c r="AB60" s="672">
        <f t="shared" si="144"/>
        <v>0.17</v>
      </c>
      <c r="AC60" s="652">
        <f t="shared" si="145"/>
        <v>4.3333333333333335E-2</v>
      </c>
      <c r="AD60" s="1340"/>
      <c r="AE60" s="543"/>
      <c r="AF60" s="693">
        <v>-5</v>
      </c>
      <c r="AG60" s="673">
        <v>0</v>
      </c>
      <c r="AH60" s="672">
        <f t="shared" si="146"/>
        <v>0.18</v>
      </c>
      <c r="AI60" s="652">
        <f t="shared" si="147"/>
        <v>3.3333333333333333E-2</v>
      </c>
      <c r="AJ60" s="1340"/>
      <c r="AK60" s="543"/>
      <c r="AL60" s="693">
        <v>-5</v>
      </c>
      <c r="AM60" s="673"/>
      <c r="AN60" s="672">
        <f t="shared" si="148"/>
        <v>0.47</v>
      </c>
      <c r="AO60" s="652">
        <f t="shared" si="149"/>
        <v>3.3333333333333333E-2</v>
      </c>
      <c r="AP60" s="1340"/>
      <c r="AQ60" s="543"/>
      <c r="AR60" s="693">
        <v>-5</v>
      </c>
      <c r="AS60" s="673"/>
      <c r="AT60" s="672">
        <f t="shared" si="150"/>
        <v>0.39</v>
      </c>
      <c r="AU60" s="652">
        <f t="shared" si="151"/>
        <v>0.03</v>
      </c>
      <c r="AV60" s="1340"/>
      <c r="AW60" s="543"/>
      <c r="AX60" s="693">
        <v>-5</v>
      </c>
      <c r="AY60" s="673"/>
      <c r="AZ60" s="649">
        <f t="shared" si="152"/>
        <v>0</v>
      </c>
      <c r="BA60" s="541">
        <f t="shared" si="153"/>
        <v>0.26333333333333336</v>
      </c>
      <c r="BB60" s="1340"/>
      <c r="BC60" s="543"/>
      <c r="BD60" s="693">
        <v>-5</v>
      </c>
      <c r="BE60" s="673"/>
      <c r="BF60" s="559">
        <f t="shared" si="154"/>
        <v>0</v>
      </c>
      <c r="BG60" s="541">
        <f t="shared" si="155"/>
        <v>0.03</v>
      </c>
      <c r="BH60" s="1340"/>
      <c r="BI60" s="543"/>
      <c r="BJ60" s="693">
        <v>-5</v>
      </c>
      <c r="BK60" s="673"/>
      <c r="BL60" s="559">
        <f t="shared" si="156"/>
        <v>0</v>
      </c>
      <c r="BM60" s="541">
        <f t="shared" si="157"/>
        <v>0.26333333333333336</v>
      </c>
      <c r="BN60" s="1340"/>
      <c r="BO60" s="543"/>
      <c r="BP60" s="693">
        <v>-5</v>
      </c>
      <c r="BQ60" s="673"/>
      <c r="BR60" s="675">
        <f t="shared" si="158"/>
        <v>0</v>
      </c>
      <c r="BS60" s="541">
        <f t="shared" si="159"/>
        <v>2.3333333333333334E-2</v>
      </c>
      <c r="BT60" s="1340"/>
      <c r="BU60" s="543"/>
      <c r="BV60" s="693">
        <v>-5</v>
      </c>
      <c r="BW60" s="673"/>
      <c r="BX60" s="676">
        <f t="shared" si="160"/>
        <v>0</v>
      </c>
      <c r="BY60" s="541">
        <f t="shared" si="161"/>
        <v>2.6666666666666668E-2</v>
      </c>
      <c r="BZ60" s="1340"/>
      <c r="CA60" s="543"/>
      <c r="CB60" s="693">
        <v>-5</v>
      </c>
      <c r="CC60" s="674">
        <f t="shared" si="166"/>
        <v>0</v>
      </c>
      <c r="CD60" s="671"/>
      <c r="CE60" s="541">
        <f t="shared" si="162"/>
        <v>6.6666666666666666E-2</v>
      </c>
      <c r="CF60" s="1340"/>
      <c r="CH60" s="693">
        <v>-5</v>
      </c>
      <c r="CI60" s="673">
        <f t="shared" si="134"/>
        <v>0</v>
      </c>
      <c r="CJ60" s="671"/>
      <c r="CK60" s="541">
        <f t="shared" si="163"/>
        <v>7.3333333333333334E-2</v>
      </c>
      <c r="CL60" s="1340"/>
      <c r="CN60" s="693">
        <v>-5</v>
      </c>
      <c r="CO60" s="673">
        <f t="shared" si="135"/>
        <v>0</v>
      </c>
      <c r="CP60" s="671"/>
      <c r="CQ60" s="541"/>
      <c r="CR60" s="1340"/>
    </row>
    <row r="61" spans="2:96" ht="13">
      <c r="B61" s="693">
        <v>0</v>
      </c>
      <c r="C61" s="673">
        <v>-0.19</v>
      </c>
      <c r="D61" s="673">
        <f>C165</f>
        <v>-0.34</v>
      </c>
      <c r="E61" s="652">
        <f t="shared" si="137"/>
        <v>0.15000000000000002</v>
      </c>
      <c r="F61" s="1339">
        <f ca="1">(((F59-F57)/(F55-F53))*(F52-F53))+F57</f>
        <v>0.11333333333333334</v>
      </c>
      <c r="G61" s="554"/>
      <c r="H61" s="693">
        <v>0</v>
      </c>
      <c r="I61" s="673">
        <v>-0.2</v>
      </c>
      <c r="J61" s="671">
        <f>D165</f>
        <v>-0.22</v>
      </c>
      <c r="K61" s="652">
        <f>IF(OR(I61=0,J61=0),$D$166/3,((MAX(I61:J61)-(MIN(I61:J61)))))</f>
        <v>1.999999999999999E-2</v>
      </c>
      <c r="L61" s="1339">
        <f ca="1">(((L59-L57)/(L55-L53))*(L52-L53))+L57</f>
        <v>0.18666666666666668</v>
      </c>
      <c r="M61" s="554"/>
      <c r="N61" s="693">
        <v>0</v>
      </c>
      <c r="O61" s="671">
        <v>-0.28999999999999998</v>
      </c>
      <c r="P61" s="671">
        <f t="shared" si="140"/>
        <v>-0.16</v>
      </c>
      <c r="Q61" s="652">
        <f>IF(OR(O61=0,P61=0),$E$166/3,((MAX(O61:P61)-(MIN(O61:P61)))))</f>
        <v>0.12999999999999998</v>
      </c>
      <c r="R61" s="1339">
        <f ca="1">(((R59-R57)/(R55-R53))*(R52-R53))+R57</f>
        <v>9.3333333333333338E-2</v>
      </c>
      <c r="S61" s="543"/>
      <c r="T61" s="693">
        <v>0</v>
      </c>
      <c r="U61" s="673"/>
      <c r="V61" s="672">
        <f>F165</f>
        <v>-0.3</v>
      </c>
      <c r="W61" s="652">
        <f>IF(OR(U61=0,V61=0),$F$166/3,((MAX(U61:V61)-(MIN(U61:V61)))))</f>
        <v>0.03</v>
      </c>
      <c r="X61" s="1339">
        <f ca="1">(((X59-X57)/(X55-X53))*(X52-X53))+X57</f>
        <v>0.03</v>
      </c>
      <c r="Y61" s="543"/>
      <c r="Z61" s="693">
        <v>0</v>
      </c>
      <c r="AA61" s="673">
        <v>-0.08</v>
      </c>
      <c r="AB61" s="672">
        <f t="shared" si="144"/>
        <v>0.14000000000000001</v>
      </c>
      <c r="AC61" s="652">
        <f t="shared" si="145"/>
        <v>0.22000000000000003</v>
      </c>
      <c r="AD61" s="1339">
        <f ca="1">(((AD59-AD57)/(AD55-AD53))*(AD52-AD53))+AD57</f>
        <v>4.3333333333333335E-2</v>
      </c>
      <c r="AE61" s="543"/>
      <c r="AF61" s="693">
        <v>0</v>
      </c>
      <c r="AG61" s="673">
        <v>0.34</v>
      </c>
      <c r="AH61" s="672">
        <f t="shared" si="146"/>
        <v>0.16</v>
      </c>
      <c r="AI61" s="652">
        <f t="shared" si="147"/>
        <v>0.18000000000000002</v>
      </c>
      <c r="AJ61" s="1339">
        <f ca="1">(((AJ59-AJ57)/(AJ55-AJ53))*(AJ52-AJ53))+AJ57</f>
        <v>3.3333333333333333E-2</v>
      </c>
      <c r="AK61" s="543"/>
      <c r="AL61" s="693">
        <v>0</v>
      </c>
      <c r="AM61" s="673"/>
      <c r="AN61" s="672">
        <f t="shared" si="148"/>
        <v>0.43</v>
      </c>
      <c r="AO61" s="652">
        <f t="shared" si="149"/>
        <v>3.3333333333333333E-2</v>
      </c>
      <c r="AP61" s="1339">
        <f ca="1">(((AP59-AP57)/(AP55-AP53))*(AP52-AP53))+AP57</f>
        <v>3.3333333333333333E-2</v>
      </c>
      <c r="AQ61" s="543"/>
      <c r="AR61" s="693">
        <v>0</v>
      </c>
      <c r="AS61" s="673"/>
      <c r="AT61" s="672">
        <f t="shared" si="150"/>
        <v>0.39</v>
      </c>
      <c r="AU61" s="652">
        <f t="shared" si="151"/>
        <v>0.03</v>
      </c>
      <c r="AV61" s="1339">
        <f ca="1">(((AV59-AV57)/(AV55-AV53))*(AV52-AV53))+AV57</f>
        <v>0.03</v>
      </c>
      <c r="AW61" s="543"/>
      <c r="AX61" s="693">
        <v>0</v>
      </c>
      <c r="AY61" s="673"/>
      <c r="AZ61" s="649">
        <f t="shared" si="152"/>
        <v>0.51</v>
      </c>
      <c r="BA61" s="541">
        <f t="shared" si="153"/>
        <v>0.26333333333333336</v>
      </c>
      <c r="BB61" s="1339">
        <f ca="1">(((BB59-BB57)/(BB55-BB53))*(BB52-BB53))+BB57</f>
        <v>0.26333333333333336</v>
      </c>
      <c r="BC61" s="543"/>
      <c r="BD61" s="693">
        <v>0</v>
      </c>
      <c r="BE61" s="673"/>
      <c r="BF61" s="559">
        <f t="shared" si="154"/>
        <v>-0.27</v>
      </c>
      <c r="BG61" s="541">
        <f t="shared" si="155"/>
        <v>0.03</v>
      </c>
      <c r="BH61" s="1339">
        <f ca="1">(((BH59-BH57)/(BH55-BH53))*(BH52-BH53))+BH57</f>
        <v>0.03</v>
      </c>
      <c r="BI61" s="543"/>
      <c r="BJ61" s="693">
        <v>0</v>
      </c>
      <c r="BK61" s="673"/>
      <c r="BL61" s="559">
        <f t="shared" si="156"/>
        <v>0.51</v>
      </c>
      <c r="BM61" s="541">
        <f t="shared" si="157"/>
        <v>0.26333333333333336</v>
      </c>
      <c r="BN61" s="1339">
        <f ca="1">(((BN59-BN57)/(BN55-BN53))*(BN52-BN53))+BN57</f>
        <v>0.26333333333333336</v>
      </c>
      <c r="BO61" s="543"/>
      <c r="BP61" s="693">
        <v>0</v>
      </c>
      <c r="BQ61" s="673"/>
      <c r="BR61" s="675">
        <f t="shared" si="158"/>
        <v>-0.56999999999999995</v>
      </c>
      <c r="BS61" s="541">
        <f t="shared" si="159"/>
        <v>2.3333333333333334E-2</v>
      </c>
      <c r="BT61" s="1339">
        <f ca="1">(((BT59-BT57)/(BT55-BT53))*(BT52-BT53))+BT57</f>
        <v>2.3333333333333334E-2</v>
      </c>
      <c r="BU61" s="543"/>
      <c r="BV61" s="693">
        <v>0</v>
      </c>
      <c r="BW61" s="673"/>
      <c r="BX61" s="676">
        <f t="shared" si="160"/>
        <v>-0.51</v>
      </c>
      <c r="BY61" s="541">
        <f t="shared" si="161"/>
        <v>2.6666666666666668E-2</v>
      </c>
      <c r="BZ61" s="1339">
        <f ca="1">(((BZ59-BZ57)/(BZ55-BZ53))*(BZ52-BZ53))+BZ57</f>
        <v>2.6666666666666668E-2</v>
      </c>
      <c r="CA61" s="543"/>
      <c r="CB61" s="693">
        <v>0</v>
      </c>
      <c r="CC61" s="674">
        <f t="shared" si="166"/>
        <v>-1.4</v>
      </c>
      <c r="CD61" s="671">
        <v>-0.7</v>
      </c>
      <c r="CE61" s="541">
        <f t="shared" si="162"/>
        <v>0.7</v>
      </c>
      <c r="CF61" s="1339">
        <f ca="1">(((CF59-CF57)/(CF55-CF53))*(CF52-CF53))+CF57</f>
        <v>6.6666666666666666E-2</v>
      </c>
      <c r="CH61" s="693">
        <v>0</v>
      </c>
      <c r="CI61" s="673">
        <f t="shared" si="134"/>
        <v>0.03</v>
      </c>
      <c r="CJ61" s="671"/>
      <c r="CK61" s="541">
        <f t="shared" si="163"/>
        <v>2.5999999999999999E-2</v>
      </c>
      <c r="CL61" s="1339">
        <f ca="1">(((CL59-CL57)/(CL55-CL53))*(CL52-CL53))+CL57</f>
        <v>7.3333333333333334E-2</v>
      </c>
      <c r="CN61" s="693">
        <v>0</v>
      </c>
      <c r="CO61" s="673">
        <f t="shared" si="135"/>
        <v>-0.79</v>
      </c>
      <c r="CP61" s="671">
        <f>CP13</f>
        <v>-0.08</v>
      </c>
      <c r="CQ61" s="541">
        <f>CQ49</f>
        <v>0.71000000000000008</v>
      </c>
      <c r="CR61" s="1339">
        <f ca="1">(((CR59-CR57)/(CR55-CR53))*(CR52-CR53))+CR57</f>
        <v>0.25666666666666665</v>
      </c>
    </row>
    <row r="62" spans="2:96" s="543" customFormat="1" ht="13">
      <c r="B62" s="678"/>
      <c r="C62" s="679"/>
      <c r="D62" s="679"/>
      <c r="E62" s="683"/>
      <c r="F62" s="554"/>
      <c r="G62" s="554"/>
      <c r="H62" s="678"/>
      <c r="I62" s="679"/>
      <c r="J62" s="679"/>
      <c r="K62" s="683"/>
      <c r="L62" s="554"/>
      <c r="M62" s="554"/>
      <c r="N62" s="678"/>
      <c r="O62" s="679"/>
      <c r="P62" s="679"/>
      <c r="Q62" s="683"/>
      <c r="R62" s="554"/>
      <c r="T62" s="678"/>
      <c r="U62" s="679"/>
      <c r="V62" s="679"/>
      <c r="W62" s="683"/>
      <c r="X62" s="554"/>
      <c r="Z62" s="678"/>
      <c r="AA62" s="679"/>
      <c r="AB62" s="679"/>
      <c r="AC62" s="683"/>
      <c r="AD62" s="554"/>
      <c r="AF62" s="678"/>
      <c r="AG62" s="679"/>
      <c r="AH62" s="679"/>
      <c r="AI62" s="683"/>
      <c r="AJ62" s="554"/>
      <c r="AL62" s="558"/>
      <c r="AM62" s="679"/>
      <c r="AN62" s="679"/>
      <c r="AO62" s="683"/>
      <c r="AP62" s="554"/>
      <c r="AR62" s="558"/>
      <c r="AS62" s="679"/>
      <c r="AT62" s="679"/>
      <c r="AU62" s="683"/>
      <c r="AV62" s="554"/>
      <c r="AX62" s="678"/>
      <c r="AY62" s="544"/>
      <c r="AZ62" s="544"/>
      <c r="BA62" s="556"/>
      <c r="BB62" s="554"/>
      <c r="BD62" s="678"/>
      <c r="BE62" s="544"/>
      <c r="BF62" s="544"/>
      <c r="BG62" s="556"/>
      <c r="BH62" s="554"/>
      <c r="BJ62" s="678"/>
      <c r="BK62" s="544"/>
      <c r="BL62" s="544"/>
      <c r="BM62" s="556"/>
      <c r="BN62" s="554"/>
      <c r="BP62" s="678"/>
      <c r="BQ62" s="544"/>
      <c r="BR62" s="544"/>
      <c r="BS62" s="556"/>
      <c r="BT62" s="554"/>
      <c r="BV62" s="678"/>
      <c r="BW62" s="544"/>
      <c r="BX62" s="544"/>
      <c r="BY62" s="556"/>
      <c r="BZ62" s="554"/>
      <c r="CB62" s="678"/>
      <c r="CC62" s="544"/>
      <c r="CD62" s="544"/>
      <c r="CE62" s="556"/>
      <c r="CF62" s="554"/>
      <c r="CH62" s="678"/>
      <c r="CI62" s="544"/>
      <c r="CJ62" s="544"/>
      <c r="CK62" s="556"/>
      <c r="CL62" s="554"/>
      <c r="CN62" s="678"/>
      <c r="CO62" s="544"/>
      <c r="CP62" s="544"/>
      <c r="CQ62" s="556"/>
      <c r="CR62" s="554"/>
    </row>
    <row r="63" spans="2:96" ht="22.5" customHeight="1">
      <c r="B63" s="1195" t="s">
        <v>362</v>
      </c>
      <c r="C63" s="1197" t="str">
        <f>C51</f>
        <v>Thermocouple Data Logger, Merek : MADGETECH, Model : OctTemp 2000, SN : P40270</v>
      </c>
      <c r="D63" s="1197"/>
      <c r="E63" s="1197"/>
      <c r="F63" s="546" t="str">
        <f>F51</f>
        <v>Interpolasi</v>
      </c>
      <c r="G63" s="547"/>
      <c r="H63" s="1195" t="s">
        <v>362</v>
      </c>
      <c r="I63" s="1197" t="str">
        <f>I51</f>
        <v>Thermocouple Data Logger, Merek : MADGETECH, Model : OctTemp 2000, SN : P41878</v>
      </c>
      <c r="J63" s="1197"/>
      <c r="K63" s="1197"/>
      <c r="L63" s="546" t="str">
        <f>L51</f>
        <v>Interpolasi</v>
      </c>
      <c r="M63" s="547"/>
      <c r="N63" s="1195" t="s">
        <v>362</v>
      </c>
      <c r="O63" s="1197" t="str">
        <f>O51</f>
        <v>Mobile Corder, Merek : Yokogawa, Model : GP 10, SN : S5T810599</v>
      </c>
      <c r="P63" s="1198"/>
      <c r="Q63" s="1197"/>
      <c r="R63" s="546" t="str">
        <f>R51</f>
        <v>Interpolasi</v>
      </c>
      <c r="S63" s="543"/>
      <c r="T63" s="1195" t="s">
        <v>362</v>
      </c>
      <c r="U63" s="1197" t="str">
        <f>U51</f>
        <v>Wireless Temperature Recorder, Merek : HIOKI, Model : LR 8510, SN : 200936000</v>
      </c>
      <c r="V63" s="1198"/>
      <c r="W63" s="1197"/>
      <c r="X63" s="546" t="str">
        <f>X51</f>
        <v>Interpolasi</v>
      </c>
      <c r="Y63" s="543"/>
      <c r="Z63" s="1195" t="s">
        <v>362</v>
      </c>
      <c r="AA63" s="1197" t="str">
        <f>AA51</f>
        <v>Wireless Temperature Recorder, Merek : HIOKI, Model : LR 8510, SN : 200936001</v>
      </c>
      <c r="AB63" s="1198"/>
      <c r="AC63" s="1197"/>
      <c r="AD63" s="546" t="str">
        <f>AD51</f>
        <v>Interpolasi</v>
      </c>
      <c r="AE63" s="543"/>
      <c r="AF63" s="1195" t="s">
        <v>362</v>
      </c>
      <c r="AG63" s="1197" t="str">
        <f>AG51</f>
        <v>Wireless Temperature Recorder, Merek : HIOKI, Model : LR 8510, SN : 200821397</v>
      </c>
      <c r="AH63" s="1198"/>
      <c r="AI63" s="1197"/>
      <c r="AJ63" s="546" t="str">
        <f>AJ51</f>
        <v>Interpolasi</v>
      </c>
      <c r="AK63" s="543"/>
      <c r="AL63" s="1199" t="s">
        <v>362</v>
      </c>
      <c r="AM63" s="1197" t="str">
        <f>AM51</f>
        <v>Wireless Temperature Recorder, Merek : HIOKI, Model : LR 8510, SN : 210411983</v>
      </c>
      <c r="AN63" s="1198"/>
      <c r="AO63" s="1197"/>
      <c r="AP63" s="546" t="str">
        <f>AP51</f>
        <v>Interpolasi</v>
      </c>
      <c r="AQ63" s="543"/>
      <c r="AR63" s="1199" t="s">
        <v>362</v>
      </c>
      <c r="AS63" s="1197" t="str">
        <f>AS51</f>
        <v>Wireless Temperature Recorder, Merek : HIOKI, Model : LR 8510, SN : 210411984</v>
      </c>
      <c r="AT63" s="1198"/>
      <c r="AU63" s="1197"/>
      <c r="AV63" s="546" t="str">
        <f>AV51</f>
        <v>Interpolasi</v>
      </c>
      <c r="AW63" s="543"/>
      <c r="AX63" s="1195" t="s">
        <v>362</v>
      </c>
      <c r="AY63" s="1193" t="str">
        <f>AY51</f>
        <v>Wireless Temperature Recorder, Merek : HIOKI, Model : LR 8510, SN : 210411985</v>
      </c>
      <c r="AZ63" s="1194"/>
      <c r="BA63" s="1193"/>
      <c r="BB63" s="546" t="str">
        <f>BB51</f>
        <v>Interpolasi</v>
      </c>
      <c r="BC63" s="543"/>
      <c r="BD63" s="1195" t="s">
        <v>362</v>
      </c>
      <c r="BE63" s="1193" t="str">
        <f>BE51</f>
        <v>Wireless Temperature Recorder, Merek : HIOKI, Model : LR 8510, SN : 210746054</v>
      </c>
      <c r="BF63" s="1194"/>
      <c r="BG63" s="1193"/>
      <c r="BH63" s="546" t="str">
        <f>BH51</f>
        <v>Interpolasi</v>
      </c>
      <c r="BI63" s="543"/>
      <c r="BJ63" s="1195" t="s">
        <v>362</v>
      </c>
      <c r="BK63" s="1193" t="str">
        <f>BK51</f>
        <v>Wireless Temperature Recorder, Merek : HIOKI, Model : LR 8510, SN : 210746055</v>
      </c>
      <c r="BL63" s="1194"/>
      <c r="BM63" s="1193"/>
      <c r="BN63" s="546" t="str">
        <f>BN51</f>
        <v>Interpolasi</v>
      </c>
      <c r="BO63" s="543"/>
      <c r="BP63" s="1195" t="s">
        <v>362</v>
      </c>
      <c r="BQ63" s="1193" t="str">
        <f>BQ51</f>
        <v>Wireless Temperature Recorder, Merek : HIOKI, Model : LR 8510, SN : 210746056</v>
      </c>
      <c r="BR63" s="1194"/>
      <c r="BS63" s="1193"/>
      <c r="BT63" s="546" t="str">
        <f>BT51</f>
        <v>Interpolasi</v>
      </c>
      <c r="BU63" s="543"/>
      <c r="BV63" s="1195" t="s">
        <v>362</v>
      </c>
      <c r="BW63" s="1193" t="str">
        <f>BW51</f>
        <v>Wireless Temperature Recorder, Merek : HIOKI, Model : LR 8510, SN : 200821396</v>
      </c>
      <c r="BX63" s="1194"/>
      <c r="BY63" s="1193"/>
      <c r="BZ63" s="546" t="str">
        <f>BZ51</f>
        <v>Interpolasi</v>
      </c>
      <c r="CA63" s="543"/>
      <c r="CB63" s="1195" t="s">
        <v>362</v>
      </c>
      <c r="CC63" s="1193" t="str">
        <f>CC51</f>
        <v>Reference Thermometer, Merek : APPA, Model : APPA51, SN : 03002948</v>
      </c>
      <c r="CD63" s="1194"/>
      <c r="CE63" s="1193"/>
      <c r="CF63" s="546" t="str">
        <f>CF51</f>
        <v>Interpolasi</v>
      </c>
      <c r="CH63" s="1195" t="s">
        <v>362</v>
      </c>
      <c r="CI63" s="1193" t="str">
        <f t="shared" ref="CI63:CI73" si="167">CI51</f>
        <v>Reference Thermometer, Merek : FLUKE, Model : 1524, SN : 1803038</v>
      </c>
      <c r="CJ63" s="1194"/>
      <c r="CK63" s="1193"/>
      <c r="CL63" s="546" t="str">
        <f>CL51</f>
        <v>Interpolasi</v>
      </c>
      <c r="CN63" s="1195" t="s">
        <v>362</v>
      </c>
      <c r="CO63" s="1193" t="str">
        <f t="shared" ref="CO63:CO73" si="168">CO51</f>
        <v>Reference Thermometer, Merek : FLUKE, Model : 1524, SN : 1803037</v>
      </c>
      <c r="CP63" s="1194"/>
      <c r="CQ63" s="1193"/>
      <c r="CR63" s="546" t="str">
        <f>CR51</f>
        <v>Interpolasi</v>
      </c>
    </row>
    <row r="64" spans="2:96" ht="13">
      <c r="B64" s="1196"/>
      <c r="C64" s="681">
        <f>C52</f>
        <v>2021</v>
      </c>
      <c r="D64" s="681">
        <f>D52</f>
        <v>2022</v>
      </c>
      <c r="E64" s="682" t="s">
        <v>357</v>
      </c>
      <c r="F64" s="656">
        <f ca="1">$B$243</f>
        <v>-26.693000000000005</v>
      </c>
      <c r="G64" s="551"/>
      <c r="H64" s="1196"/>
      <c r="I64" s="677">
        <f>I52</f>
        <v>2021</v>
      </c>
      <c r="J64" s="681">
        <f>J52</f>
        <v>2022</v>
      </c>
      <c r="K64" s="682" t="s">
        <v>357</v>
      </c>
      <c r="L64" s="656">
        <f ca="1">$B$243</f>
        <v>-26.693000000000005</v>
      </c>
      <c r="M64" s="551"/>
      <c r="N64" s="1196"/>
      <c r="O64" s="677">
        <f>O4</f>
        <v>2021</v>
      </c>
      <c r="P64" s="681">
        <f>P4</f>
        <v>2023</v>
      </c>
      <c r="Q64" s="682" t="s">
        <v>357</v>
      </c>
      <c r="R64" s="656">
        <f ca="1">$B$243</f>
        <v>-26.693000000000005</v>
      </c>
      <c r="S64" s="543"/>
      <c r="T64" s="1196"/>
      <c r="U64" s="668">
        <f>U52</f>
        <v>0</v>
      </c>
      <c r="V64" s="681">
        <f>V52</f>
        <v>2022</v>
      </c>
      <c r="W64" s="682" t="s">
        <v>357</v>
      </c>
      <c r="X64" s="656">
        <f ca="1">$B$243</f>
        <v>-26.693000000000005</v>
      </c>
      <c r="Y64" s="543"/>
      <c r="Z64" s="1196"/>
      <c r="AA64" s="668">
        <f>AA52</f>
        <v>2021</v>
      </c>
      <c r="AB64" s="681">
        <f>AB52</f>
        <v>2023</v>
      </c>
      <c r="AC64" s="682" t="s">
        <v>357</v>
      </c>
      <c r="AD64" s="656">
        <f ca="1">$B$243</f>
        <v>-26.693000000000005</v>
      </c>
      <c r="AE64" s="543"/>
      <c r="AF64" s="1196"/>
      <c r="AG64" s="668">
        <f>AG52</f>
        <v>2021</v>
      </c>
      <c r="AH64" s="677">
        <f>AH52</f>
        <v>2023</v>
      </c>
      <c r="AI64" s="682" t="s">
        <v>357</v>
      </c>
      <c r="AJ64" s="656">
        <f ca="1">$B$243</f>
        <v>-26.693000000000005</v>
      </c>
      <c r="AK64" s="543"/>
      <c r="AL64" s="1200"/>
      <c r="AM64" s="677">
        <f>AM52</f>
        <v>0</v>
      </c>
      <c r="AN64" s="681">
        <f>AN52</f>
        <v>2023</v>
      </c>
      <c r="AO64" s="682" t="s">
        <v>357</v>
      </c>
      <c r="AP64" s="656">
        <f ca="1">$B$243</f>
        <v>-26.693000000000005</v>
      </c>
      <c r="AQ64" s="543"/>
      <c r="AR64" s="1200"/>
      <c r="AS64" s="677">
        <f>AS52</f>
        <v>2021</v>
      </c>
      <c r="AT64" s="681">
        <f>AT52</f>
        <v>2023</v>
      </c>
      <c r="AU64" s="682" t="s">
        <v>357</v>
      </c>
      <c r="AV64" s="656">
        <f ca="1">$B$243</f>
        <v>-26.693000000000005</v>
      </c>
      <c r="AW64" s="543"/>
      <c r="AX64" s="1196"/>
      <c r="AY64" s="668">
        <f>AY52</f>
        <v>0</v>
      </c>
      <c r="AZ64" s="549">
        <f>AZ52</f>
        <v>2021</v>
      </c>
      <c r="BA64" s="550" t="s">
        <v>357</v>
      </c>
      <c r="BB64" s="656">
        <f ca="1">$B$243</f>
        <v>-26.693000000000005</v>
      </c>
      <c r="BC64" s="543"/>
      <c r="BD64" s="1196"/>
      <c r="BE64" s="668">
        <f>BE52</f>
        <v>0</v>
      </c>
      <c r="BF64" s="549"/>
      <c r="BG64" s="550" t="s">
        <v>357</v>
      </c>
      <c r="BH64" s="656">
        <f ca="1">$B$243</f>
        <v>-26.693000000000005</v>
      </c>
      <c r="BI64" s="543"/>
      <c r="BJ64" s="1196"/>
      <c r="BK64" s="668">
        <f>BK52</f>
        <v>2021</v>
      </c>
      <c r="BL64" s="549">
        <f>BL52</f>
        <v>2021</v>
      </c>
      <c r="BM64" s="550" t="s">
        <v>357</v>
      </c>
      <c r="BN64" s="656">
        <f ca="1">$B$243</f>
        <v>-26.693000000000005</v>
      </c>
      <c r="BO64" s="543"/>
      <c r="BP64" s="1196"/>
      <c r="BQ64" s="668">
        <f>BQ52</f>
        <v>2021</v>
      </c>
      <c r="BR64" s="549">
        <f>BR52</f>
        <v>2022</v>
      </c>
      <c r="BS64" s="550" t="s">
        <v>357</v>
      </c>
      <c r="BT64" s="656">
        <f ca="1">$B$243</f>
        <v>-26.693000000000005</v>
      </c>
      <c r="BU64" s="543"/>
      <c r="BV64" s="1196"/>
      <c r="BW64" s="552">
        <f>BW52</f>
        <v>0</v>
      </c>
      <c r="BX64" s="549">
        <f>BX52</f>
        <v>2022</v>
      </c>
      <c r="BY64" s="550" t="s">
        <v>357</v>
      </c>
      <c r="BZ64" s="656">
        <f ca="1">$B$243</f>
        <v>-26.693000000000005</v>
      </c>
      <c r="CA64" s="543"/>
      <c r="CB64" s="1196"/>
      <c r="CC64" s="668">
        <f>CC52</f>
        <v>2022</v>
      </c>
      <c r="CD64" s="669">
        <f>CD52</f>
        <v>2020</v>
      </c>
      <c r="CE64" s="550" t="s">
        <v>357</v>
      </c>
      <c r="CF64" s="656">
        <f ca="1">$B$243</f>
        <v>-26.693000000000005</v>
      </c>
      <c r="CH64" s="1196"/>
      <c r="CI64" s="668">
        <f t="shared" si="167"/>
        <v>2021</v>
      </c>
      <c r="CJ64" s="669">
        <f>CJ52</f>
        <v>2019</v>
      </c>
      <c r="CK64" s="550" t="s">
        <v>357</v>
      </c>
      <c r="CL64" s="656">
        <f ca="1">$B$243</f>
        <v>-26.693000000000005</v>
      </c>
      <c r="CN64" s="1196"/>
      <c r="CO64" s="668">
        <f t="shared" si="168"/>
        <v>2021</v>
      </c>
      <c r="CP64" s="669">
        <f>CP52</f>
        <v>2020</v>
      </c>
      <c r="CQ64" s="550" t="s">
        <v>357</v>
      </c>
      <c r="CR64" s="656">
        <f ca="1">$B$243</f>
        <v>-26.693000000000005</v>
      </c>
    </row>
    <row r="65" spans="2:96" ht="13">
      <c r="B65" s="693">
        <v>-40</v>
      </c>
      <c r="C65" s="671"/>
      <c r="D65" s="671">
        <f>U157</f>
        <v>0</v>
      </c>
      <c r="E65" s="652">
        <f t="shared" ref="E65:E73" si="169">IF(OR(C65=0,D65=0),$U$166/3,((MAX(C65:D65)-(MIN(C65:D65)))))</f>
        <v>0.11333333333333334</v>
      </c>
      <c r="F65" s="654">
        <f ca="1">IF($L$4&lt;=$B$6,$B$5,IF($L$4&lt;=$B$8,$B$7,IF($L$4&lt;=$B$10,$B$9,IF($L$4&lt;=$B$12,$B$11,IF($L$4&lt;=$B$13,$B$13)))))</f>
        <v>-30</v>
      </c>
      <c r="G65" s="554"/>
      <c r="H65" s="693">
        <v>-40</v>
      </c>
      <c r="I65" s="671"/>
      <c r="J65" s="671">
        <f t="shared" ref="J65:J71" si="170">V157</f>
        <v>0</v>
      </c>
      <c r="K65" s="652">
        <f t="shared" ref="K65:K71" si="171">IF(OR(I65=0,J65=0),$V$166/3,((MAX(I65:J65)-(MIN(I65:J65)))))</f>
        <v>0.18666666666666668</v>
      </c>
      <c r="L65" s="654">
        <f ca="1">IF($L$4&lt;=$B$6,$B$5,IF($L$4&lt;=$B$8,$B$7,IF($L$4&lt;=$B$10,$B$9,IF($L$4&lt;=$B$12,$B$11,IF($L$4&lt;=$B$13,$B$13)))))</f>
        <v>-30</v>
      </c>
      <c r="M65" s="554"/>
      <c r="N65" s="693">
        <v>-40</v>
      </c>
      <c r="O65" s="671">
        <v>0</v>
      </c>
      <c r="P65" s="671">
        <f>W157</f>
        <v>0</v>
      </c>
      <c r="Q65" s="652">
        <f t="shared" ref="Q65:Q71" si="172">IF(OR(O65=0,P65=0),$W$166/3,((MAX(O65:P65)-(MIN(O65:P65)))))</f>
        <v>9.3333333333333338E-2</v>
      </c>
      <c r="R65" s="654">
        <f ca="1">IF($L$4&lt;=$B$6,$B$5,IF($L$4&lt;=$B$8,$B$7,IF($L$4&lt;=$B$10,$B$9,IF($L$4&lt;=$B$12,$B$11,IF($L$4&lt;=$B$13,$B$13)))))</f>
        <v>-30</v>
      </c>
      <c r="S65" s="543"/>
      <c r="T65" s="693">
        <v>-40</v>
      </c>
      <c r="U65" s="671"/>
      <c r="V65" s="671">
        <f>X157</f>
        <v>-2.54</v>
      </c>
      <c r="W65" s="652">
        <f t="shared" ref="W65:W71" si="173">IF(OR(U65=0,V65=0),$X$166/3,((MAX(U65:V65)-(MIN(U65:V65)))))</f>
        <v>3.3333333333333333E-2</v>
      </c>
      <c r="X65" s="654">
        <f ca="1">IF($L$4&lt;=$B$6,$B$5,IF($L$4&lt;=$B$8,$B$7,IF($L$4&lt;=$B$10,$B$9,IF($L$4&lt;=$B$12,$B$11,IF($L$4&lt;=$B$13,$B$13)))))</f>
        <v>-30</v>
      </c>
      <c r="Y65" s="543"/>
      <c r="Z65" s="693">
        <v>-40</v>
      </c>
      <c r="AA65" s="671">
        <v>0</v>
      </c>
      <c r="AB65" s="671">
        <f>Y157</f>
        <v>0.11</v>
      </c>
      <c r="AC65" s="652">
        <f t="shared" ref="AC65:AC73" si="174">IF(OR(AA65=0,AB65=0),$Y$166/3,((MAX(AA65:AB65)-(MIN(AA65:AB65)))))</f>
        <v>3.3333333333333333E-2</v>
      </c>
      <c r="AD65" s="654">
        <f ca="1">IF($L$4&lt;=$B$6,$B$5,IF($L$4&lt;=$B$8,$B$7,IF($L$4&lt;=$B$10,$B$9,IF($L$4&lt;=$B$12,$B$11,IF($L$4&lt;=$B$13,$B$13)))))</f>
        <v>-30</v>
      </c>
      <c r="AE65" s="543"/>
      <c r="AF65" s="693">
        <v>-40</v>
      </c>
      <c r="AG65" s="671">
        <v>0</v>
      </c>
      <c r="AH65" s="671">
        <f>Z157</f>
        <v>0.11</v>
      </c>
      <c r="AI65" s="652">
        <f t="shared" ref="AI65:AI73" si="175">IF(OR(AG65=0,AH65=0),$Z$166/3,((MAX(AG65:AH65)-(MIN(AG65:AH65)))))</f>
        <v>3.3333333333333333E-2</v>
      </c>
      <c r="AJ65" s="654">
        <f ca="1">IF($L$4&lt;=$B$6,$B$5,IF($L$4&lt;=$B$8,$B$7,IF($L$4&lt;=$B$10,$B$9,IF($L$4&lt;=$B$12,$B$11,IF($L$4&lt;=$B$13,$B$13)))))</f>
        <v>-30</v>
      </c>
      <c r="AK65" s="543"/>
      <c r="AL65" s="693">
        <v>-40</v>
      </c>
      <c r="AM65" s="671"/>
      <c r="AN65" s="671">
        <f>AA157</f>
        <v>0.42</v>
      </c>
      <c r="AO65" s="652">
        <f t="shared" ref="AO65:AO73" si="176">IF(OR(AM65=0,AN65=0),$AA$166/3,((MAX(AM65:AN65)-(MIN(AM65:AN65)))))</f>
        <v>0.04</v>
      </c>
      <c r="AP65" s="654">
        <f ca="1">IF($L$4&lt;=$B$6,$B$5,IF($L$4&lt;=$B$8,$B$7,IF($L$4&lt;=$B$10,$B$9,IF($L$4&lt;=$B$12,$B$11,IF($L$4&lt;=$B$13,$B$13)))))</f>
        <v>-30</v>
      </c>
      <c r="AQ65" s="543"/>
      <c r="AR65" s="693">
        <v>-40</v>
      </c>
      <c r="AS65" s="671"/>
      <c r="AT65" s="671">
        <f>AB157</f>
        <v>0.31</v>
      </c>
      <c r="AU65" s="652">
        <f t="shared" ref="AU65:AU73" si="177">IF(OR(AS65=0,AT65=0),$AB$166/3,((MAX(AS65:AT65)-(MIN(AS65:AT65)))))</f>
        <v>0.03</v>
      </c>
      <c r="AV65" s="654">
        <f ca="1">IF($L$4&lt;=$B$6,$B$5,IF($L$4&lt;=$B$8,$B$7,IF($L$4&lt;=$B$10,$B$9,IF($L$4&lt;=$B$12,$B$11,IF($L$4&lt;=$B$13,$B$13)))))</f>
        <v>-30</v>
      </c>
      <c r="AW65" s="543"/>
      <c r="AX65" s="693">
        <v>-40</v>
      </c>
      <c r="AY65" s="671"/>
      <c r="AZ65" s="553">
        <f>AC157</f>
        <v>0</v>
      </c>
      <c r="BA65" s="541">
        <f t="shared" ref="BA65:BA73" si="178">IF(OR(AY65=0,AZ65=0),$AC$166/3,((MAX(AY65:AZ65)-(MIN(AY65:AZ65)))))</f>
        <v>0.26333333333333336</v>
      </c>
      <c r="BB65" s="654">
        <f ca="1">IF($L$4&lt;=$B$6,$B$5,IF($L$4&lt;=$B$8,$B$7,IF($L$4&lt;=$B$10,$B$9,IF($L$4&lt;=$B$12,$B$11,IF($L$4&lt;=$B$13,$B$13)))))</f>
        <v>-30</v>
      </c>
      <c r="BC65" s="543"/>
      <c r="BD65" s="693">
        <v>-40</v>
      </c>
      <c r="BE65" s="671"/>
      <c r="BF65" s="553">
        <f>AD157</f>
        <v>-2.41</v>
      </c>
      <c r="BG65" s="541">
        <f t="shared" ref="BG65:BG73" si="179">IF(OR(BE65=0,BF65=0),$AD$166/3,((MAX(BE65:BF65)-(MIN(BE65:BF65)))))</f>
        <v>3.3333333333333333E-2</v>
      </c>
      <c r="BH65" s="654">
        <f ca="1">IF($L$4&lt;=$B$6,$B$5,IF($L$4&lt;=$B$8,$B$7,IF($L$4&lt;=$B$10,$B$9,IF($L$4&lt;=$B$12,$B$11,IF($L$4&lt;=$B$13,$B$13)))))</f>
        <v>-30</v>
      </c>
      <c r="BI65" s="543"/>
      <c r="BJ65" s="693">
        <v>-40</v>
      </c>
      <c r="BK65" s="671"/>
      <c r="BL65" s="553">
        <f>AE157</f>
        <v>0</v>
      </c>
      <c r="BM65" s="541">
        <f t="shared" ref="BM65:BM73" si="180">IF(OR(BK65=0,BL65=0),$AE$166/3,((MAX(BK65:BL65)-(MIN(BK65:BL65)))))</f>
        <v>0.26333333333333336</v>
      </c>
      <c r="BN65" s="654">
        <f ca="1">IF($L$4&lt;=$B$6,$B$5,IF($L$4&lt;=$B$8,$B$7,IF($L$4&lt;=$B$10,$B$9,IF($L$4&lt;=$B$12,$B$11,IF($L$4&lt;=$B$13,$B$13)))))</f>
        <v>-30</v>
      </c>
      <c r="BO65" s="543"/>
      <c r="BP65" s="693">
        <v>-40</v>
      </c>
      <c r="BQ65" s="671"/>
      <c r="BR65" s="671">
        <f>AF157</f>
        <v>-2.44</v>
      </c>
      <c r="BS65" s="541">
        <f t="shared" ref="BS65:BS73" si="181">IF(OR(BQ65=0,BR65=0),$AF$166/3,((MAX(BQ65:BR65)-(MIN(BQ65:BR65)))))</f>
        <v>2.3333333333333334E-2</v>
      </c>
      <c r="BT65" s="654">
        <f ca="1">IF($L$4&lt;=$B$6,$B$5,IF($L$4&lt;=$B$8,$B$7,IF($L$4&lt;=$B$10,$B$9,IF($L$4&lt;=$B$12,$B$11,IF($L$4&lt;=$B$13,$B$13)))))</f>
        <v>-30</v>
      </c>
      <c r="BU65" s="543"/>
      <c r="BV65" s="693">
        <v>-40</v>
      </c>
      <c r="BW65" s="671"/>
      <c r="BX65" s="553">
        <f>AG157</f>
        <v>-2.68</v>
      </c>
      <c r="BY65" s="541">
        <f t="shared" ref="BY65:BY73" si="182">IF(OR(BW65=0,BX65=0),$AG$166/3,((MAX(BW65:BX65)-(MIN(BW65:BX65)))))</f>
        <v>2.6666666666666668E-2</v>
      </c>
      <c r="BZ65" s="654">
        <f ca="1">IF($L$4&lt;=$B$6,$B$5,IF($L$4&lt;=$B$8,$B$7,IF($L$4&lt;=$B$10,$B$9,IF($L$4&lt;=$B$12,$B$11,IF($L$4&lt;=$B$13,$B$13)))))</f>
        <v>-30</v>
      </c>
      <c r="CA65" s="543"/>
      <c r="CB65" s="693">
        <v>-40</v>
      </c>
      <c r="CC65" s="671">
        <f>CC53</f>
        <v>-1.7</v>
      </c>
      <c r="CD65" s="671"/>
      <c r="CE65" s="541">
        <f>CE54</f>
        <v>6.6666666666666666E-2</v>
      </c>
      <c r="CF65" s="654">
        <f ca="1">IF($L$4&lt;=$B$6,$B$5,IF($L$4&lt;=$B$8,$B$7,IF($L$4&lt;=$B$10,$B$9,IF($L$4&lt;=$B$12,$B$11,IF($L$4&lt;=$B$13,$B$13)))))</f>
        <v>-30</v>
      </c>
      <c r="CH65" s="693">
        <v>-40</v>
      </c>
      <c r="CI65" s="671">
        <f t="shared" si="167"/>
        <v>0</v>
      </c>
      <c r="CJ65" s="671"/>
      <c r="CK65" s="541">
        <f t="shared" ref="CK65:CK73" si="183">CK53</f>
        <v>7.3333333333333334E-2</v>
      </c>
      <c r="CL65" s="654">
        <f ca="1">IF($L$4&lt;=$B$6,$B$5,IF($L$4&lt;=$B$8,$B$7,IF($L$4&lt;=$B$10,$B$9,IF($L$4&lt;=$B$12,$B$11,IF($L$4&lt;=$B$13,$B$13)))))</f>
        <v>-30</v>
      </c>
      <c r="CN65" s="693">
        <v>-40</v>
      </c>
      <c r="CO65" s="671">
        <f t="shared" si="168"/>
        <v>0</v>
      </c>
      <c r="CP65" s="671">
        <f t="shared" ref="CP65:CP71" si="184">CP5</f>
        <v>0</v>
      </c>
      <c r="CQ65" s="541">
        <f t="shared" ref="CQ65:CQ71" si="185">CQ53</f>
        <v>0.25666666666666665</v>
      </c>
      <c r="CR65" s="654">
        <f ca="1">IF($L$4&lt;=$B$6,$B$5,IF($L$4&lt;=$B$8,$B$7,IF($L$4&lt;=$B$10,$B$9,IF($L$4&lt;=$B$12,$B$11,IF($L$4&lt;=$B$13,$B$13)))))</f>
        <v>-30</v>
      </c>
    </row>
    <row r="66" spans="2:96" ht="13">
      <c r="B66" s="693">
        <v>-35</v>
      </c>
      <c r="C66" s="671"/>
      <c r="D66" s="671">
        <f t="shared" ref="D66:D71" si="186">U158</f>
        <v>0</v>
      </c>
      <c r="E66" s="652">
        <f t="shared" si="169"/>
        <v>0.11333333333333334</v>
      </c>
      <c r="F66" s="651"/>
      <c r="G66" s="554"/>
      <c r="H66" s="693">
        <v>-35</v>
      </c>
      <c r="I66" s="671"/>
      <c r="J66" s="671">
        <f t="shared" si="170"/>
        <v>0</v>
      </c>
      <c r="K66" s="652">
        <f t="shared" si="171"/>
        <v>0.18666666666666668</v>
      </c>
      <c r="L66" s="651"/>
      <c r="M66" s="554"/>
      <c r="N66" s="693">
        <v>-35</v>
      </c>
      <c r="O66" s="671">
        <v>0</v>
      </c>
      <c r="P66" s="671">
        <f t="shared" ref="P66:P73" si="187">W158</f>
        <v>0</v>
      </c>
      <c r="Q66" s="652">
        <f t="shared" si="172"/>
        <v>9.3333333333333338E-2</v>
      </c>
      <c r="R66" s="651"/>
      <c r="S66" s="543"/>
      <c r="T66" s="693">
        <v>-35</v>
      </c>
      <c r="U66" s="671"/>
      <c r="V66" s="671">
        <f t="shared" ref="V66:V71" si="188">X158</f>
        <v>0</v>
      </c>
      <c r="W66" s="652">
        <f t="shared" si="173"/>
        <v>3.3333333333333333E-2</v>
      </c>
      <c r="X66" s="651"/>
      <c r="Y66" s="543"/>
      <c r="Z66" s="693">
        <v>-35</v>
      </c>
      <c r="AA66" s="671">
        <v>0</v>
      </c>
      <c r="AB66" s="671">
        <f t="shared" ref="AB66:AB73" si="189">Y158</f>
        <v>0.06</v>
      </c>
      <c r="AC66" s="652">
        <f t="shared" si="174"/>
        <v>3.3333333333333333E-2</v>
      </c>
      <c r="AD66" s="651"/>
      <c r="AE66" s="543"/>
      <c r="AF66" s="693">
        <v>-35</v>
      </c>
      <c r="AG66" s="671">
        <v>0</v>
      </c>
      <c r="AH66" s="671">
        <f t="shared" ref="AH66:AH72" si="190">Z158</f>
        <v>0.1</v>
      </c>
      <c r="AI66" s="652">
        <f t="shared" si="175"/>
        <v>3.3333333333333333E-2</v>
      </c>
      <c r="AJ66" s="651"/>
      <c r="AK66" s="543"/>
      <c r="AL66" s="693">
        <v>-35</v>
      </c>
      <c r="AM66" s="671"/>
      <c r="AN66" s="671">
        <f t="shared" ref="AN66:AN72" si="191">AA158</f>
        <v>0.42</v>
      </c>
      <c r="AO66" s="652">
        <f t="shared" si="176"/>
        <v>0.04</v>
      </c>
      <c r="AP66" s="651"/>
      <c r="AQ66" s="543"/>
      <c r="AR66" s="693">
        <v>-35</v>
      </c>
      <c r="AS66" s="671"/>
      <c r="AT66" s="671">
        <f t="shared" ref="AT66:AT72" si="192">AB158</f>
        <v>0.3</v>
      </c>
      <c r="AU66" s="652">
        <f t="shared" si="177"/>
        <v>0.03</v>
      </c>
      <c r="AV66" s="651"/>
      <c r="AW66" s="543"/>
      <c r="AX66" s="693">
        <v>-35</v>
      </c>
      <c r="AY66" s="671"/>
      <c r="AZ66" s="553">
        <f t="shared" ref="AZ66:AZ72" si="193">AC158</f>
        <v>0</v>
      </c>
      <c r="BA66" s="541">
        <f t="shared" si="178"/>
        <v>0.26333333333333336</v>
      </c>
      <c r="BB66" s="651"/>
      <c r="BC66" s="543"/>
      <c r="BD66" s="693">
        <v>-35</v>
      </c>
      <c r="BE66" s="671"/>
      <c r="BF66" s="553">
        <f t="shared" ref="BF66:BF72" si="194">AD158</f>
        <v>0</v>
      </c>
      <c r="BG66" s="541">
        <f t="shared" si="179"/>
        <v>3.3333333333333333E-2</v>
      </c>
      <c r="BH66" s="651"/>
      <c r="BI66" s="543"/>
      <c r="BJ66" s="693">
        <v>-35</v>
      </c>
      <c r="BK66" s="671"/>
      <c r="BL66" s="553">
        <f t="shared" ref="BL66:BL72" si="195">AE158</f>
        <v>0</v>
      </c>
      <c r="BM66" s="541">
        <f t="shared" si="180"/>
        <v>0.26333333333333336</v>
      </c>
      <c r="BN66" s="651"/>
      <c r="BO66" s="543"/>
      <c r="BP66" s="693">
        <v>-35</v>
      </c>
      <c r="BQ66" s="671"/>
      <c r="BR66" s="671">
        <f t="shared" ref="BR66:BR72" si="196">AF158</f>
        <v>0</v>
      </c>
      <c r="BS66" s="541">
        <f t="shared" si="181"/>
        <v>2.3333333333333334E-2</v>
      </c>
      <c r="BT66" s="651"/>
      <c r="BU66" s="543"/>
      <c r="BV66" s="693">
        <v>-35</v>
      </c>
      <c r="BW66" s="671"/>
      <c r="BX66" s="553">
        <f t="shared" ref="BX66:BX72" si="197">AG158</f>
        <v>0</v>
      </c>
      <c r="BY66" s="541">
        <f t="shared" si="182"/>
        <v>2.6666666666666668E-2</v>
      </c>
      <c r="BZ66" s="651"/>
      <c r="CA66" s="543"/>
      <c r="CB66" s="693">
        <v>-35</v>
      </c>
      <c r="CC66" s="671">
        <f t="shared" ref="CC66:CC73" si="198">CC54</f>
        <v>-1.4</v>
      </c>
      <c r="CD66" s="671"/>
      <c r="CE66" s="541">
        <f t="shared" ref="CE66:CE73" si="199">CE54</f>
        <v>6.6666666666666666E-2</v>
      </c>
      <c r="CF66" s="651"/>
      <c r="CH66" s="693">
        <v>-35</v>
      </c>
      <c r="CI66" s="671">
        <f t="shared" si="167"/>
        <v>0</v>
      </c>
      <c r="CJ66" s="671"/>
      <c r="CK66" s="541">
        <f t="shared" si="183"/>
        <v>7.3333333333333334E-2</v>
      </c>
      <c r="CL66" s="651"/>
      <c r="CN66" s="693">
        <v>-35</v>
      </c>
      <c r="CO66" s="671">
        <f t="shared" si="168"/>
        <v>0</v>
      </c>
      <c r="CP66" s="671">
        <f t="shared" si="184"/>
        <v>0</v>
      </c>
      <c r="CQ66" s="541">
        <f t="shared" si="185"/>
        <v>0.25666666666666665</v>
      </c>
      <c r="CR66" s="651"/>
    </row>
    <row r="67" spans="2:96" ht="13">
      <c r="B67" s="693">
        <v>-30</v>
      </c>
      <c r="C67" s="671"/>
      <c r="D67" s="671">
        <f t="shared" si="186"/>
        <v>0</v>
      </c>
      <c r="E67" s="652">
        <f t="shared" si="169"/>
        <v>0.11333333333333334</v>
      </c>
      <c r="F67" s="654">
        <f ca="1">IF($L$4&lt;=$B$5,$B$5,IF($L$4&lt;=$B$6,$B$6,IF($L$4&lt;=$B$7,$B$7,IF($L$4&lt;=$B$8,$B$8,IF($L$4&lt;=$B$9,$B$9,IF($L$4&lt;=$B$10,$B$10,IF($L$4&lt;=$B$11,$B$11)))))))</f>
        <v>-25</v>
      </c>
      <c r="G67" s="554"/>
      <c r="H67" s="693">
        <v>-30</v>
      </c>
      <c r="I67" s="671"/>
      <c r="J67" s="671">
        <f t="shared" si="170"/>
        <v>0</v>
      </c>
      <c r="K67" s="652">
        <f t="shared" si="171"/>
        <v>0.18666666666666668</v>
      </c>
      <c r="L67" s="654">
        <f ca="1">IF($L$4&lt;=$B$5,$B$5,IF($L$4&lt;=$B$6,$B$6,IF($L$4&lt;=$B$7,$B$7,IF($L$4&lt;=$B$8,$B$8,IF($L$4&lt;=$B$9,$B$9,IF($L$4&lt;=$B$10,$B$10,IF($L$4&lt;=$B$11,$B$11)))))))</f>
        <v>-25</v>
      </c>
      <c r="M67" s="554"/>
      <c r="N67" s="693">
        <v>-30</v>
      </c>
      <c r="O67" s="671">
        <v>0</v>
      </c>
      <c r="P67" s="671">
        <f t="shared" si="187"/>
        <v>0</v>
      </c>
      <c r="Q67" s="652">
        <f t="shared" si="172"/>
        <v>9.3333333333333338E-2</v>
      </c>
      <c r="R67" s="654">
        <f ca="1">IF($L$4&lt;=$B$5,$B$5,IF($L$4&lt;=$B$6,$B$6,IF($L$4&lt;=$B$7,$B$7,IF($L$4&lt;=$B$8,$B$8,IF($L$4&lt;=$B$9,$B$9,IF($L$4&lt;=$B$10,$B$10,IF($L$4&lt;=$B$11,$B$11)))))))</f>
        <v>-25</v>
      </c>
      <c r="S67" s="543"/>
      <c r="T67" s="693">
        <v>-30</v>
      </c>
      <c r="U67" s="671"/>
      <c r="V67" s="671">
        <f t="shared" si="188"/>
        <v>0</v>
      </c>
      <c r="W67" s="652">
        <f t="shared" si="173"/>
        <v>3.3333333333333333E-2</v>
      </c>
      <c r="X67" s="654">
        <f ca="1">IF($L$4&lt;=$B$5,$B$5,IF($L$4&lt;=$B$6,$B$6,IF($L$4&lt;=$B$7,$B$7,IF($L$4&lt;=$B$8,$B$8,IF($L$4&lt;=$B$9,$B$9,IF($L$4&lt;=$B$10,$B$10,IF($L$4&lt;=$B$11,$B$11)))))))</f>
        <v>-25</v>
      </c>
      <c r="Y67" s="543"/>
      <c r="Z67" s="693">
        <v>-30</v>
      </c>
      <c r="AA67" s="671">
        <v>0</v>
      </c>
      <c r="AB67" s="671">
        <f t="shared" si="189"/>
        <v>0.05</v>
      </c>
      <c r="AC67" s="652">
        <f t="shared" si="174"/>
        <v>3.3333333333333333E-2</v>
      </c>
      <c r="AD67" s="654">
        <f ca="1">IF($L$4&lt;=$B$5,$B$5,IF($L$4&lt;=$B$6,$B$6,IF($L$4&lt;=$B$7,$B$7,IF($L$4&lt;=$B$8,$B$8,IF($L$4&lt;=$B$9,$B$9,IF($L$4&lt;=$B$10,$B$10,IF($L$4&lt;=$B$11,$B$11)))))))</f>
        <v>-25</v>
      </c>
      <c r="AE67" s="543"/>
      <c r="AF67" s="693">
        <v>-30</v>
      </c>
      <c r="AG67" s="671">
        <v>0</v>
      </c>
      <c r="AH67" s="671">
        <f t="shared" si="190"/>
        <v>0.1</v>
      </c>
      <c r="AI67" s="652">
        <f t="shared" si="175"/>
        <v>3.3333333333333333E-2</v>
      </c>
      <c r="AJ67" s="654">
        <f ca="1">IF($L$4&lt;=$B$5,$B$5,IF($L$4&lt;=$B$6,$B$6,IF($L$4&lt;=$B$7,$B$7,IF($L$4&lt;=$B$8,$B$8,IF($L$4&lt;=$B$9,$B$9,IF($L$4&lt;=$B$10,$B$10,IF($L$4&lt;=$B$11,$B$11)))))))</f>
        <v>-25</v>
      </c>
      <c r="AK67" s="543"/>
      <c r="AL67" s="693">
        <v>-30</v>
      </c>
      <c r="AM67" s="671"/>
      <c r="AN67" s="671">
        <f t="shared" si="191"/>
        <v>0.44</v>
      </c>
      <c r="AO67" s="652">
        <f t="shared" si="176"/>
        <v>0.04</v>
      </c>
      <c r="AP67" s="654">
        <f ca="1">IF($L$4&lt;=$B$5,$B$5,IF($L$4&lt;=$B$6,$B$6,IF($L$4&lt;=$B$7,$B$7,IF($L$4&lt;=$B$8,$B$8,IF($L$4&lt;=$B$9,$B$9,IF($L$4&lt;=$B$10,$B$10,IF($L$4&lt;=$B$11,$B$11)))))))</f>
        <v>-25</v>
      </c>
      <c r="AQ67" s="543"/>
      <c r="AR67" s="693">
        <v>-30</v>
      </c>
      <c r="AS67" s="671"/>
      <c r="AT67" s="671">
        <f t="shared" si="192"/>
        <v>0.3</v>
      </c>
      <c r="AU67" s="652">
        <f t="shared" si="177"/>
        <v>0.03</v>
      </c>
      <c r="AV67" s="654">
        <f ca="1">IF($L$4&lt;=$B$5,$B$5,IF($L$4&lt;=$B$6,$B$6,IF($L$4&lt;=$B$7,$B$7,IF($L$4&lt;=$B$8,$B$8,IF($L$4&lt;=$B$9,$B$9,IF($L$4&lt;=$B$10,$B$10,IF($L$4&lt;=$B$11,$B$11)))))))</f>
        <v>-25</v>
      </c>
      <c r="AW67" s="543"/>
      <c r="AX67" s="693">
        <v>-30</v>
      </c>
      <c r="AY67" s="671"/>
      <c r="AZ67" s="553">
        <f t="shared" si="193"/>
        <v>0</v>
      </c>
      <c r="BA67" s="541">
        <f t="shared" si="178"/>
        <v>0.26333333333333336</v>
      </c>
      <c r="BB67" s="654">
        <f ca="1">IF($L$4&lt;=$B$5,$B$5,IF($L$4&lt;=$B$6,$B$6,IF($L$4&lt;=$B$7,$B$7,IF($L$4&lt;=$B$8,$B$8,IF($L$4&lt;=$B$9,$B$9,IF($L$4&lt;=$B$10,$B$10,IF($L$4&lt;=$B$11,$B$11)))))))</f>
        <v>-25</v>
      </c>
      <c r="BC67" s="543"/>
      <c r="BD67" s="693">
        <v>-30</v>
      </c>
      <c r="BE67" s="671"/>
      <c r="BF67" s="553">
        <f t="shared" si="194"/>
        <v>0</v>
      </c>
      <c r="BG67" s="541">
        <f t="shared" si="179"/>
        <v>3.3333333333333333E-2</v>
      </c>
      <c r="BH67" s="654">
        <f ca="1">IF($L$4&lt;=$B$5,$B$5,IF($L$4&lt;=$B$6,$B$6,IF($L$4&lt;=$B$7,$B$7,IF($L$4&lt;=$B$8,$B$8,IF($L$4&lt;=$B$9,$B$9,IF($L$4&lt;=$B$10,$B$10,IF($L$4&lt;=$B$11,$B$11)))))))</f>
        <v>-25</v>
      </c>
      <c r="BI67" s="543"/>
      <c r="BJ67" s="693">
        <v>-30</v>
      </c>
      <c r="BK67" s="671"/>
      <c r="BL67" s="553">
        <f t="shared" si="195"/>
        <v>0</v>
      </c>
      <c r="BM67" s="541">
        <f t="shared" si="180"/>
        <v>0.26333333333333336</v>
      </c>
      <c r="BN67" s="654">
        <f ca="1">IF($L$4&lt;=$B$5,$B$5,IF($L$4&lt;=$B$6,$B$6,IF($L$4&lt;=$B$7,$B$7,IF($L$4&lt;=$B$8,$B$8,IF($L$4&lt;=$B$9,$B$9,IF($L$4&lt;=$B$10,$B$10,IF($L$4&lt;=$B$11,$B$11)))))))</f>
        <v>-25</v>
      </c>
      <c r="BO67" s="543"/>
      <c r="BP67" s="693">
        <v>-30</v>
      </c>
      <c r="BQ67" s="671"/>
      <c r="BR67" s="671">
        <f t="shared" si="196"/>
        <v>0</v>
      </c>
      <c r="BS67" s="541">
        <f t="shared" si="181"/>
        <v>2.3333333333333334E-2</v>
      </c>
      <c r="BT67" s="654">
        <f ca="1">IF($L$4&lt;=$B$5,$B$5,IF($L$4&lt;=$B$6,$B$6,IF($L$4&lt;=$B$7,$B$7,IF($L$4&lt;=$B$8,$B$8,IF($L$4&lt;=$B$9,$B$9,IF($L$4&lt;=$B$10,$B$10,IF($L$4&lt;=$B$11,$B$11)))))))</f>
        <v>-25</v>
      </c>
      <c r="BU67" s="543"/>
      <c r="BV67" s="693">
        <v>-30</v>
      </c>
      <c r="BW67" s="671"/>
      <c r="BX67" s="553">
        <f t="shared" si="197"/>
        <v>0</v>
      </c>
      <c r="BY67" s="541">
        <f t="shared" si="182"/>
        <v>2.6666666666666668E-2</v>
      </c>
      <c r="BZ67" s="654">
        <f ca="1">IF($L$4&lt;=$B$5,$B$5,IF($L$4&lt;=$B$6,$B$6,IF($L$4&lt;=$B$7,$B$7,IF($L$4&lt;=$B$8,$B$8,IF($L$4&lt;=$B$9,$B$9,IF($L$4&lt;=$B$10,$B$10,IF($L$4&lt;=$B$11,$B$11)))))))</f>
        <v>-25</v>
      </c>
      <c r="CA67" s="543"/>
      <c r="CB67" s="693">
        <v>-30</v>
      </c>
      <c r="CC67" s="671">
        <f t="shared" si="198"/>
        <v>-1.2</v>
      </c>
      <c r="CD67" s="671"/>
      <c r="CE67" s="541">
        <f t="shared" si="199"/>
        <v>6.6666666666666666E-2</v>
      </c>
      <c r="CF67" s="654">
        <f ca="1">IF($L$4&lt;=$B$5,$B$5,IF($L$4&lt;=$B$6,$B$6,IF($L$4&lt;=$B$7,$B$7,IF($L$4&lt;=$B$8,$B$8,IF($L$4&lt;=$B$9,$B$9,IF($L$4&lt;=$B$10,$B$10,IF($L$4&lt;=$B$11,$B$11)))))))</f>
        <v>-25</v>
      </c>
      <c r="CH67" s="693">
        <v>-30</v>
      </c>
      <c r="CI67" s="671">
        <f t="shared" si="167"/>
        <v>0</v>
      </c>
      <c r="CJ67" s="671"/>
      <c r="CK67" s="541">
        <f t="shared" si="183"/>
        <v>7.3333333333333334E-2</v>
      </c>
      <c r="CL67" s="654">
        <f ca="1">IF($L$4&lt;=$B$5,$B$5,IF($L$4&lt;=$B$6,$B$6,IF($L$4&lt;=$B$7,$B$7,IF($L$4&lt;=$B$8,$B$8,IF($L$4&lt;=$B$9,$B$9,IF($L$4&lt;=$B$10,$B$10,IF($L$4&lt;=$B$11,$B$11)))))))</f>
        <v>-25</v>
      </c>
      <c r="CN67" s="693">
        <v>-30</v>
      </c>
      <c r="CO67" s="671">
        <f t="shared" si="168"/>
        <v>0</v>
      </c>
      <c r="CP67" s="671">
        <f t="shared" si="184"/>
        <v>0</v>
      </c>
      <c r="CQ67" s="541">
        <f t="shared" si="185"/>
        <v>0.25666666666666665</v>
      </c>
      <c r="CR67" s="654">
        <f ca="1">IF($L$4&lt;=$B$5,$B$5,IF($L$4&lt;=$B$6,$B$6,IF($L$4&lt;=$B$7,$B$7,IF($L$4&lt;=$B$8,$B$8,IF($L$4&lt;=$B$9,$B$9,IF($L$4&lt;=$B$10,$B$10,IF($L$4&lt;=$B$11,$B$11)))))))</f>
        <v>-25</v>
      </c>
    </row>
    <row r="68" spans="2:96" ht="13">
      <c r="B68" s="693">
        <v>-25</v>
      </c>
      <c r="C68" s="671"/>
      <c r="D68" s="671">
        <f t="shared" si="186"/>
        <v>0</v>
      </c>
      <c r="E68" s="652">
        <f t="shared" si="169"/>
        <v>0.11333333333333334</v>
      </c>
      <c r="F68" s="651"/>
      <c r="G68" s="554"/>
      <c r="H68" s="693">
        <v>-25</v>
      </c>
      <c r="I68" s="671"/>
      <c r="J68" s="671">
        <f t="shared" si="170"/>
        <v>0</v>
      </c>
      <c r="K68" s="652">
        <f t="shared" si="171"/>
        <v>0.18666666666666668</v>
      </c>
      <c r="L68" s="651"/>
      <c r="M68" s="554"/>
      <c r="N68" s="693">
        <v>-25</v>
      </c>
      <c r="O68" s="671">
        <v>-0.62</v>
      </c>
      <c r="P68" s="671">
        <f t="shared" si="187"/>
        <v>0</v>
      </c>
      <c r="Q68" s="652">
        <f t="shared" si="172"/>
        <v>9.3333333333333338E-2</v>
      </c>
      <c r="R68" s="651"/>
      <c r="S68" s="543"/>
      <c r="T68" s="693">
        <v>-25</v>
      </c>
      <c r="U68" s="671"/>
      <c r="V68" s="671">
        <f t="shared" si="188"/>
        <v>-1.6</v>
      </c>
      <c r="W68" s="652">
        <f t="shared" si="173"/>
        <v>3.3333333333333333E-2</v>
      </c>
      <c r="X68" s="651"/>
      <c r="Y68" s="543"/>
      <c r="Z68" s="693">
        <v>-25</v>
      </c>
      <c r="AA68" s="671">
        <v>0</v>
      </c>
      <c r="AB68" s="671">
        <f t="shared" si="189"/>
        <v>7.0000000000000007E-2</v>
      </c>
      <c r="AC68" s="652">
        <f t="shared" si="174"/>
        <v>3.3333333333333333E-2</v>
      </c>
      <c r="AD68" s="651"/>
      <c r="AE68" s="543"/>
      <c r="AF68" s="693">
        <v>-25</v>
      </c>
      <c r="AG68" s="671">
        <v>0</v>
      </c>
      <c r="AH68" s="671">
        <f t="shared" si="190"/>
        <v>0.12</v>
      </c>
      <c r="AI68" s="652">
        <f t="shared" si="175"/>
        <v>3.3333333333333333E-2</v>
      </c>
      <c r="AJ68" s="651"/>
      <c r="AK68" s="543"/>
      <c r="AL68" s="693">
        <v>-25</v>
      </c>
      <c r="AM68" s="671"/>
      <c r="AN68" s="671">
        <f t="shared" si="191"/>
        <v>0.46</v>
      </c>
      <c r="AO68" s="652">
        <f t="shared" si="176"/>
        <v>0.04</v>
      </c>
      <c r="AP68" s="651"/>
      <c r="AQ68" s="543"/>
      <c r="AR68" s="693">
        <v>-25</v>
      </c>
      <c r="AS68" s="671"/>
      <c r="AT68" s="671">
        <f t="shared" si="192"/>
        <v>0.33</v>
      </c>
      <c r="AU68" s="652">
        <f t="shared" si="177"/>
        <v>0.03</v>
      </c>
      <c r="AV68" s="651"/>
      <c r="AW68" s="543"/>
      <c r="AX68" s="693">
        <v>-25</v>
      </c>
      <c r="AY68" s="671"/>
      <c r="AZ68" s="553">
        <f t="shared" si="193"/>
        <v>0</v>
      </c>
      <c r="BA68" s="541">
        <f t="shared" si="178"/>
        <v>0.26333333333333336</v>
      </c>
      <c r="BB68" s="651"/>
      <c r="BC68" s="543"/>
      <c r="BD68" s="693">
        <v>-25</v>
      </c>
      <c r="BE68" s="671"/>
      <c r="BF68" s="553">
        <f t="shared" si="194"/>
        <v>-1.21</v>
      </c>
      <c r="BG68" s="541">
        <f t="shared" si="179"/>
        <v>3.3333333333333333E-2</v>
      </c>
      <c r="BH68" s="651"/>
      <c r="BI68" s="543"/>
      <c r="BJ68" s="693">
        <v>-25</v>
      </c>
      <c r="BK68" s="671"/>
      <c r="BL68" s="553">
        <f t="shared" si="195"/>
        <v>0</v>
      </c>
      <c r="BM68" s="541">
        <f t="shared" si="180"/>
        <v>0.26333333333333336</v>
      </c>
      <c r="BN68" s="651"/>
      <c r="BO68" s="543"/>
      <c r="BP68" s="693">
        <v>-25</v>
      </c>
      <c r="BQ68" s="671"/>
      <c r="BR68" s="671">
        <f t="shared" si="196"/>
        <v>-1.56</v>
      </c>
      <c r="BS68" s="541">
        <f t="shared" si="181"/>
        <v>2.3333333333333334E-2</v>
      </c>
      <c r="BT68" s="651"/>
      <c r="BU68" s="543"/>
      <c r="BV68" s="693">
        <v>-25</v>
      </c>
      <c r="BW68" s="671"/>
      <c r="BX68" s="553">
        <f t="shared" si="197"/>
        <v>-1.71</v>
      </c>
      <c r="BY68" s="541">
        <f t="shared" si="182"/>
        <v>2.6666666666666668E-2</v>
      </c>
      <c r="BZ68" s="651"/>
      <c r="CA68" s="543"/>
      <c r="CB68" s="693">
        <v>-25</v>
      </c>
      <c r="CC68" s="671">
        <f t="shared" si="198"/>
        <v>-1.1000000000000001</v>
      </c>
      <c r="CD68" s="671"/>
      <c r="CE68" s="541">
        <f t="shared" si="199"/>
        <v>6.6666666666666666E-2</v>
      </c>
      <c r="CF68" s="651"/>
      <c r="CH68" s="693">
        <v>-25</v>
      </c>
      <c r="CI68" s="671">
        <f t="shared" si="167"/>
        <v>0</v>
      </c>
      <c r="CJ68" s="671"/>
      <c r="CK68" s="541">
        <f t="shared" si="183"/>
        <v>7.3333333333333334E-2</v>
      </c>
      <c r="CL68" s="651"/>
      <c r="CN68" s="693">
        <v>-25</v>
      </c>
      <c r="CO68" s="671">
        <f t="shared" si="168"/>
        <v>0</v>
      </c>
      <c r="CP68" s="671">
        <f t="shared" si="184"/>
        <v>0</v>
      </c>
      <c r="CQ68" s="541">
        <f t="shared" si="185"/>
        <v>0.25666666666666665</v>
      </c>
      <c r="CR68" s="651"/>
    </row>
    <row r="69" spans="2:96" ht="13">
      <c r="B69" s="693">
        <v>-20</v>
      </c>
      <c r="C69" s="671">
        <v>-0.32</v>
      </c>
      <c r="D69" s="671">
        <f t="shared" si="186"/>
        <v>-0.63</v>
      </c>
      <c r="E69" s="652">
        <f t="shared" si="169"/>
        <v>0.31</v>
      </c>
      <c r="F69" s="655">
        <f ca="1">VLOOKUP(F65,B65:E70,4)</f>
        <v>0.11333333333333334</v>
      </c>
      <c r="G69" s="554"/>
      <c r="H69" s="693">
        <v>-20</v>
      </c>
      <c r="I69" s="671">
        <v>-0.77</v>
      </c>
      <c r="J69" s="671">
        <f t="shared" si="170"/>
        <v>-0.43</v>
      </c>
      <c r="K69" s="652">
        <f t="shared" si="171"/>
        <v>0.34</v>
      </c>
      <c r="L69" s="655">
        <f ca="1">VLOOKUP(L65,H65:K70,4)</f>
        <v>0.18666666666666668</v>
      </c>
      <c r="M69" s="554"/>
      <c r="N69" s="693">
        <v>-20</v>
      </c>
      <c r="O69" s="671">
        <v>0</v>
      </c>
      <c r="P69" s="671">
        <f t="shared" si="187"/>
        <v>-0.45</v>
      </c>
      <c r="Q69" s="652">
        <f t="shared" si="172"/>
        <v>9.3333333333333338E-2</v>
      </c>
      <c r="R69" s="655">
        <f ca="1">VLOOKUP(R65,N65:Q70,4)</f>
        <v>9.3333333333333338E-2</v>
      </c>
      <c r="S69" s="543"/>
      <c r="T69" s="693">
        <v>-20</v>
      </c>
      <c r="U69" s="671"/>
      <c r="V69" s="671">
        <f t="shared" si="188"/>
        <v>-1.37</v>
      </c>
      <c r="W69" s="652">
        <f t="shared" si="173"/>
        <v>3.3333333333333333E-2</v>
      </c>
      <c r="X69" s="655">
        <f ca="1">VLOOKUP(X65,T65:W70,4)</f>
        <v>3.3333333333333333E-2</v>
      </c>
      <c r="Y69" s="543"/>
      <c r="Z69" s="693">
        <v>-20</v>
      </c>
      <c r="AA69" s="671">
        <v>-0.57999999999999996</v>
      </c>
      <c r="AB69" s="671">
        <f t="shared" si="189"/>
        <v>1.0999999999999999E-2</v>
      </c>
      <c r="AC69" s="652">
        <f t="shared" si="174"/>
        <v>0.59099999999999997</v>
      </c>
      <c r="AD69" s="655">
        <f ca="1">VLOOKUP(AD65,Z65:AC70,4)</f>
        <v>3.3333333333333333E-2</v>
      </c>
      <c r="AE69" s="543"/>
      <c r="AF69" s="693">
        <v>-20</v>
      </c>
      <c r="AG69" s="671">
        <v>-7.0000000000000007E-2</v>
      </c>
      <c r="AH69" s="671">
        <f t="shared" si="190"/>
        <v>0.15</v>
      </c>
      <c r="AI69" s="652">
        <f t="shared" si="175"/>
        <v>0.22</v>
      </c>
      <c r="AJ69" s="655">
        <f ca="1">VLOOKUP(AJ65,AF65:AI70,4)</f>
        <v>3.3333333333333333E-2</v>
      </c>
      <c r="AK69" s="543"/>
      <c r="AL69" s="693">
        <v>-20</v>
      </c>
      <c r="AM69" s="671"/>
      <c r="AN69" s="671">
        <f t="shared" si="191"/>
        <v>0.48</v>
      </c>
      <c r="AO69" s="652">
        <f t="shared" si="176"/>
        <v>0.04</v>
      </c>
      <c r="AP69" s="655">
        <f ca="1">VLOOKUP(AP65,AL65:AO70,4)</f>
        <v>0.04</v>
      </c>
      <c r="AQ69" s="543"/>
      <c r="AR69" s="693">
        <v>-20</v>
      </c>
      <c r="AS69" s="671"/>
      <c r="AT69" s="671">
        <f t="shared" si="192"/>
        <v>0.35</v>
      </c>
      <c r="AU69" s="652">
        <f t="shared" si="177"/>
        <v>0.03</v>
      </c>
      <c r="AV69" s="655">
        <f ca="1">VLOOKUP(AV65,AR65:AU70,4)</f>
        <v>0.03</v>
      </c>
      <c r="AW69" s="543"/>
      <c r="AX69" s="693">
        <v>-20</v>
      </c>
      <c r="AY69" s="671"/>
      <c r="AZ69" s="553">
        <f t="shared" si="193"/>
        <v>0.57999999999999996</v>
      </c>
      <c r="BA69" s="541">
        <f t="shared" si="178"/>
        <v>0.26333333333333336</v>
      </c>
      <c r="BB69" s="655">
        <f ca="1">VLOOKUP(BB65,AX65:BA70,4)</f>
        <v>0.26333333333333336</v>
      </c>
      <c r="BC69" s="543"/>
      <c r="BD69" s="693">
        <v>-20</v>
      </c>
      <c r="BE69" s="671"/>
      <c r="BF69" s="553">
        <f t="shared" si="194"/>
        <v>-0.91</v>
      </c>
      <c r="BG69" s="541">
        <f t="shared" si="179"/>
        <v>3.3333333333333333E-2</v>
      </c>
      <c r="BH69" s="655">
        <f ca="1">VLOOKUP(BH65,BD65:BG70,4)</f>
        <v>3.3333333333333333E-2</v>
      </c>
      <c r="BI69" s="543"/>
      <c r="BJ69" s="693">
        <v>-20</v>
      </c>
      <c r="BK69" s="671"/>
      <c r="BL69" s="553">
        <f t="shared" si="195"/>
        <v>0.57999999999999996</v>
      </c>
      <c r="BM69" s="541">
        <f t="shared" si="180"/>
        <v>0.26333333333333336</v>
      </c>
      <c r="BN69" s="655">
        <f ca="1">VLOOKUP(BN65,BJ65:BM70,4)</f>
        <v>0.26333333333333336</v>
      </c>
      <c r="BO69" s="543"/>
      <c r="BP69" s="693">
        <v>-20</v>
      </c>
      <c r="BQ69" s="671"/>
      <c r="BR69" s="671">
        <f t="shared" si="196"/>
        <v>-1.27</v>
      </c>
      <c r="BS69" s="541">
        <f t="shared" si="181"/>
        <v>2.3333333333333334E-2</v>
      </c>
      <c r="BT69" s="655">
        <f ca="1">VLOOKUP(BT65,BP65:BS70,4)</f>
        <v>2.3333333333333334E-2</v>
      </c>
      <c r="BU69" s="543"/>
      <c r="BV69" s="693">
        <v>-20</v>
      </c>
      <c r="BW69" s="671"/>
      <c r="BX69" s="553">
        <f t="shared" si="197"/>
        <v>-1.43</v>
      </c>
      <c r="BY69" s="541">
        <f t="shared" si="182"/>
        <v>2.6666666666666668E-2</v>
      </c>
      <c r="BZ69" s="655">
        <f ca="1">VLOOKUP(BZ65,BV65:BY70,4)</f>
        <v>2.6666666666666668E-2</v>
      </c>
      <c r="CA69" s="543"/>
      <c r="CB69" s="693">
        <v>-20</v>
      </c>
      <c r="CC69" s="671">
        <f t="shared" si="198"/>
        <v>-1.1000000000000001</v>
      </c>
      <c r="CD69" s="671">
        <v>-0.7</v>
      </c>
      <c r="CE69" s="541">
        <f t="shared" si="199"/>
        <v>0.40000000000000013</v>
      </c>
      <c r="CF69" s="655">
        <f ca="1">VLOOKUP(CF65,CB65:CE70,4)</f>
        <v>6.6666666666666666E-2</v>
      </c>
      <c r="CH69" s="693">
        <v>-20</v>
      </c>
      <c r="CI69" s="671">
        <f t="shared" si="167"/>
        <v>-0.15</v>
      </c>
      <c r="CJ69" s="671"/>
      <c r="CK69" s="541">
        <f t="shared" si="183"/>
        <v>7.3333333333333334E-2</v>
      </c>
      <c r="CL69" s="655">
        <f ca="1">VLOOKUP(CL65,CH65:CK70,4)</f>
        <v>7.3333333333333334E-2</v>
      </c>
      <c r="CN69" s="693">
        <v>-20</v>
      </c>
      <c r="CO69" s="671">
        <f t="shared" si="168"/>
        <v>-1.8</v>
      </c>
      <c r="CP69" s="671">
        <f t="shared" si="184"/>
        <v>-0.51</v>
      </c>
      <c r="CQ69" s="541">
        <f t="shared" si="185"/>
        <v>1.29</v>
      </c>
      <c r="CR69" s="655">
        <f ca="1">VLOOKUP(CR65,CN65:CQ70,4)</f>
        <v>0.25666666666666665</v>
      </c>
    </row>
    <row r="70" spans="2:96" ht="13">
      <c r="B70" s="693">
        <v>-15</v>
      </c>
      <c r="C70" s="671">
        <v>-0.24</v>
      </c>
      <c r="D70" s="671">
        <f t="shared" si="186"/>
        <v>-0.56000000000000005</v>
      </c>
      <c r="E70" s="652">
        <f t="shared" si="169"/>
        <v>0.32000000000000006</v>
      </c>
      <c r="F70" s="651"/>
      <c r="G70" s="554"/>
      <c r="H70" s="693">
        <v>-15</v>
      </c>
      <c r="I70" s="671">
        <v>-0.63</v>
      </c>
      <c r="J70" s="671">
        <f t="shared" si="170"/>
        <v>-0.37</v>
      </c>
      <c r="K70" s="652">
        <f t="shared" si="171"/>
        <v>0.26</v>
      </c>
      <c r="L70" s="651"/>
      <c r="M70" s="554"/>
      <c r="N70" s="693">
        <v>-15</v>
      </c>
      <c r="O70" s="671">
        <v>-0.5</v>
      </c>
      <c r="P70" s="671">
        <f t="shared" si="187"/>
        <v>-0.35</v>
      </c>
      <c r="Q70" s="652">
        <f t="shared" si="172"/>
        <v>0.15000000000000002</v>
      </c>
      <c r="R70" s="651"/>
      <c r="S70" s="543"/>
      <c r="T70" s="693">
        <v>-15</v>
      </c>
      <c r="U70" s="671"/>
      <c r="V70" s="671">
        <f t="shared" si="188"/>
        <v>-1.1399999999999999</v>
      </c>
      <c r="W70" s="652">
        <f t="shared" si="173"/>
        <v>3.3333333333333333E-2</v>
      </c>
      <c r="X70" s="651"/>
      <c r="Y70" s="543"/>
      <c r="Z70" s="693">
        <v>-15</v>
      </c>
      <c r="AA70" s="671">
        <v>0</v>
      </c>
      <c r="AB70" s="671">
        <f t="shared" si="189"/>
        <v>0.15</v>
      </c>
      <c r="AC70" s="652">
        <f t="shared" si="174"/>
        <v>3.3333333333333333E-2</v>
      </c>
      <c r="AD70" s="651"/>
      <c r="AE70" s="543"/>
      <c r="AF70" s="693">
        <v>-15</v>
      </c>
      <c r="AG70" s="671">
        <v>0</v>
      </c>
      <c r="AH70" s="671">
        <f t="shared" si="190"/>
        <v>0.18</v>
      </c>
      <c r="AI70" s="652">
        <f t="shared" si="175"/>
        <v>3.3333333333333333E-2</v>
      </c>
      <c r="AJ70" s="651"/>
      <c r="AK70" s="543"/>
      <c r="AL70" s="693">
        <v>-15</v>
      </c>
      <c r="AM70" s="671"/>
      <c r="AN70" s="671">
        <f t="shared" si="191"/>
        <v>0.49</v>
      </c>
      <c r="AO70" s="652">
        <f t="shared" si="176"/>
        <v>0.04</v>
      </c>
      <c r="AP70" s="651"/>
      <c r="AQ70" s="543"/>
      <c r="AR70" s="693">
        <v>-15</v>
      </c>
      <c r="AS70" s="671"/>
      <c r="AT70" s="671">
        <f t="shared" si="192"/>
        <v>0.38</v>
      </c>
      <c r="AU70" s="652">
        <f t="shared" si="177"/>
        <v>0.03</v>
      </c>
      <c r="AV70" s="651"/>
      <c r="AW70" s="543"/>
      <c r="AX70" s="693">
        <v>-15</v>
      </c>
      <c r="AY70" s="671"/>
      <c r="AZ70" s="553">
        <f t="shared" si="193"/>
        <v>0</v>
      </c>
      <c r="BA70" s="541">
        <f t="shared" si="178"/>
        <v>0.26333333333333336</v>
      </c>
      <c r="BB70" s="651"/>
      <c r="BC70" s="543"/>
      <c r="BD70" s="693">
        <v>-15</v>
      </c>
      <c r="BE70" s="671"/>
      <c r="BF70" s="553">
        <f t="shared" si="194"/>
        <v>-0.65</v>
      </c>
      <c r="BG70" s="541">
        <f t="shared" si="179"/>
        <v>3.3333333333333333E-2</v>
      </c>
      <c r="BH70" s="651"/>
      <c r="BI70" s="543"/>
      <c r="BJ70" s="693">
        <v>-15</v>
      </c>
      <c r="BK70" s="671"/>
      <c r="BL70" s="553">
        <f t="shared" si="195"/>
        <v>0</v>
      </c>
      <c r="BM70" s="541">
        <f t="shared" si="180"/>
        <v>0.26333333333333336</v>
      </c>
      <c r="BN70" s="651"/>
      <c r="BO70" s="543"/>
      <c r="BP70" s="693">
        <v>-15</v>
      </c>
      <c r="BQ70" s="671"/>
      <c r="BR70" s="671">
        <f t="shared" si="196"/>
        <v>-1.01</v>
      </c>
      <c r="BS70" s="541">
        <f t="shared" si="181"/>
        <v>2.3333333333333334E-2</v>
      </c>
      <c r="BT70" s="651"/>
      <c r="BU70" s="543"/>
      <c r="BV70" s="693">
        <v>-15</v>
      </c>
      <c r="BW70" s="671"/>
      <c r="BX70" s="553">
        <f t="shared" si="197"/>
        <v>-1.17</v>
      </c>
      <c r="BY70" s="541">
        <f t="shared" si="182"/>
        <v>2.6666666666666668E-2</v>
      </c>
      <c r="BZ70" s="651"/>
      <c r="CA70" s="543"/>
      <c r="CB70" s="693">
        <v>-15</v>
      </c>
      <c r="CC70" s="671">
        <f t="shared" si="198"/>
        <v>-1.1000000000000001</v>
      </c>
      <c r="CD70" s="671">
        <v>-0.7</v>
      </c>
      <c r="CE70" s="541">
        <f t="shared" si="199"/>
        <v>0.40000000000000013</v>
      </c>
      <c r="CF70" s="651"/>
      <c r="CH70" s="693">
        <v>-15</v>
      </c>
      <c r="CI70" s="671">
        <f t="shared" si="167"/>
        <v>-0.1</v>
      </c>
      <c r="CJ70" s="671"/>
      <c r="CK70" s="541">
        <f t="shared" si="183"/>
        <v>9.0000000000000011E-2</v>
      </c>
      <c r="CL70" s="651"/>
      <c r="CN70" s="693">
        <v>-15</v>
      </c>
      <c r="CO70" s="671">
        <f t="shared" si="168"/>
        <v>-1.52</v>
      </c>
      <c r="CP70" s="671">
        <f t="shared" si="184"/>
        <v>-0.39</v>
      </c>
      <c r="CQ70" s="541">
        <f t="shared" si="185"/>
        <v>1.1299999999999999</v>
      </c>
      <c r="CR70" s="651"/>
    </row>
    <row r="71" spans="2:96" ht="13">
      <c r="B71" s="693">
        <v>-10</v>
      </c>
      <c r="C71" s="671">
        <v>-0.18</v>
      </c>
      <c r="D71" s="671">
        <f t="shared" si="186"/>
        <v>-0.49</v>
      </c>
      <c r="E71" s="652">
        <f t="shared" si="169"/>
        <v>0.31</v>
      </c>
      <c r="F71" s="655">
        <f ca="1">VLOOKUP(F67,B65:E70,4)</f>
        <v>0.11333333333333334</v>
      </c>
      <c r="G71" s="554"/>
      <c r="H71" s="693">
        <v>-10</v>
      </c>
      <c r="I71" s="671"/>
      <c r="J71" s="671">
        <f t="shared" si="170"/>
        <v>-0.31</v>
      </c>
      <c r="K71" s="652">
        <f t="shared" si="171"/>
        <v>0.18666666666666668</v>
      </c>
      <c r="L71" s="655">
        <f ca="1">VLOOKUP(L67,H65:K70,4)</f>
        <v>0.18666666666666668</v>
      </c>
      <c r="M71" s="554"/>
      <c r="N71" s="693">
        <v>-10</v>
      </c>
      <c r="O71" s="671">
        <v>-0.41</v>
      </c>
      <c r="P71" s="671">
        <f t="shared" si="187"/>
        <v>-0.31</v>
      </c>
      <c r="Q71" s="652">
        <f t="shared" si="172"/>
        <v>9.9999999999999978E-2</v>
      </c>
      <c r="R71" s="655">
        <f ca="1">VLOOKUP(R67,N65:Q70,4)</f>
        <v>9.3333333333333338E-2</v>
      </c>
      <c r="S71" s="543"/>
      <c r="T71" s="693">
        <v>-10</v>
      </c>
      <c r="U71" s="671"/>
      <c r="V71" s="671">
        <f t="shared" si="188"/>
        <v>-0.9</v>
      </c>
      <c r="W71" s="652">
        <f t="shared" si="173"/>
        <v>3.3333333333333333E-2</v>
      </c>
      <c r="X71" s="655">
        <f ca="1">VLOOKUP(X67,T65:W70,4)</f>
        <v>3.3333333333333333E-2</v>
      </c>
      <c r="Y71" s="543"/>
      <c r="Z71" s="693">
        <v>-10</v>
      </c>
      <c r="AA71" s="671">
        <v>-0.31</v>
      </c>
      <c r="AB71" s="671">
        <f t="shared" si="189"/>
        <v>0.18</v>
      </c>
      <c r="AC71" s="652">
        <f t="shared" si="174"/>
        <v>0.49</v>
      </c>
      <c r="AD71" s="655">
        <f ca="1">VLOOKUP(AD67,Z65:AC70,4)</f>
        <v>3.3333333333333333E-2</v>
      </c>
      <c r="AE71" s="543"/>
      <c r="AF71" s="693">
        <v>-10</v>
      </c>
      <c r="AG71" s="671">
        <v>0.16</v>
      </c>
      <c r="AH71" s="671">
        <f t="shared" si="190"/>
        <v>0.2</v>
      </c>
      <c r="AI71" s="652">
        <f t="shared" si="175"/>
        <v>4.0000000000000008E-2</v>
      </c>
      <c r="AJ71" s="655">
        <f ca="1">VLOOKUP(AJ67,AF65:AI70,4)</f>
        <v>3.3333333333333333E-2</v>
      </c>
      <c r="AK71" s="543"/>
      <c r="AL71" s="693">
        <v>-10</v>
      </c>
      <c r="AM71" s="671"/>
      <c r="AN71" s="671">
        <f t="shared" si="191"/>
        <v>0.5</v>
      </c>
      <c r="AO71" s="652">
        <f t="shared" si="176"/>
        <v>0.04</v>
      </c>
      <c r="AP71" s="655">
        <f ca="1">VLOOKUP(AP67,AL65:AO70,4)</f>
        <v>0.04</v>
      </c>
      <c r="AQ71" s="543"/>
      <c r="AR71" s="693">
        <v>-10</v>
      </c>
      <c r="AS71" s="671"/>
      <c r="AT71" s="671">
        <f t="shared" si="192"/>
        <v>0.4</v>
      </c>
      <c r="AU71" s="652">
        <f t="shared" si="177"/>
        <v>0.03</v>
      </c>
      <c r="AV71" s="655">
        <f ca="1">VLOOKUP(AV67,AR65:AU70,4)</f>
        <v>0.03</v>
      </c>
      <c r="AW71" s="543"/>
      <c r="AX71" s="693">
        <v>-10</v>
      </c>
      <c r="AY71" s="671"/>
      <c r="AZ71" s="553">
        <f t="shared" si="193"/>
        <v>0.55000000000000004</v>
      </c>
      <c r="BA71" s="541">
        <f t="shared" si="178"/>
        <v>0.26333333333333336</v>
      </c>
      <c r="BB71" s="655">
        <f ca="1">VLOOKUP(BB67,AX65:BA70,4)</f>
        <v>0.26333333333333336</v>
      </c>
      <c r="BC71" s="543"/>
      <c r="BD71" s="693">
        <v>-10</v>
      </c>
      <c r="BE71" s="671"/>
      <c r="BF71" s="553">
        <f t="shared" si="194"/>
        <v>-0.46</v>
      </c>
      <c r="BG71" s="541">
        <f t="shared" si="179"/>
        <v>3.3333333333333333E-2</v>
      </c>
      <c r="BH71" s="655">
        <f ca="1">VLOOKUP(BH67,BD65:BG70,4)</f>
        <v>3.3333333333333333E-2</v>
      </c>
      <c r="BI71" s="543"/>
      <c r="BJ71" s="693">
        <v>-10</v>
      </c>
      <c r="BK71" s="671"/>
      <c r="BL71" s="553">
        <f t="shared" si="195"/>
        <v>0.55000000000000004</v>
      </c>
      <c r="BM71" s="541">
        <f t="shared" si="180"/>
        <v>0.26333333333333336</v>
      </c>
      <c r="BN71" s="655">
        <f ca="1">VLOOKUP(BN67,BJ65:BM70,4)</f>
        <v>0.26333333333333336</v>
      </c>
      <c r="BO71" s="543"/>
      <c r="BP71" s="693">
        <v>-10</v>
      </c>
      <c r="BQ71" s="671"/>
      <c r="BR71" s="671">
        <f t="shared" si="196"/>
        <v>-0.8</v>
      </c>
      <c r="BS71" s="541">
        <f t="shared" si="181"/>
        <v>2.3333333333333334E-2</v>
      </c>
      <c r="BT71" s="655">
        <f ca="1">VLOOKUP(BT67,BP65:BS70,4)</f>
        <v>2.3333333333333334E-2</v>
      </c>
      <c r="BU71" s="543"/>
      <c r="BV71" s="693">
        <v>-10</v>
      </c>
      <c r="BW71" s="671"/>
      <c r="BX71" s="553">
        <f t="shared" si="197"/>
        <v>-0.94</v>
      </c>
      <c r="BY71" s="541">
        <f t="shared" si="182"/>
        <v>2.6666666666666668E-2</v>
      </c>
      <c r="BZ71" s="655">
        <f ca="1">VLOOKUP(BZ67,BV65:BY70,4)</f>
        <v>2.6666666666666668E-2</v>
      </c>
      <c r="CA71" s="543"/>
      <c r="CB71" s="693">
        <v>-10</v>
      </c>
      <c r="CC71" s="671">
        <f t="shared" si="198"/>
        <v>-1.2</v>
      </c>
      <c r="CD71" s="671">
        <v>-0.7</v>
      </c>
      <c r="CE71" s="541">
        <f t="shared" si="199"/>
        <v>0.5</v>
      </c>
      <c r="CF71" s="655">
        <f ca="1">VLOOKUP(CF67,CB65:CE70,4)</f>
        <v>6.6666666666666666E-2</v>
      </c>
      <c r="CH71" s="693">
        <v>-10</v>
      </c>
      <c r="CI71" s="671">
        <f t="shared" si="167"/>
        <v>-0.05</v>
      </c>
      <c r="CJ71" s="671"/>
      <c r="CK71" s="541">
        <f t="shared" si="183"/>
        <v>6.2E-2</v>
      </c>
      <c r="CL71" s="655">
        <f ca="1">VLOOKUP(CL67,CH65:CK70,4)</f>
        <v>7.3333333333333334E-2</v>
      </c>
      <c r="CN71" s="693">
        <v>-10</v>
      </c>
      <c r="CO71" s="671">
        <f t="shared" si="168"/>
        <v>-1.26</v>
      </c>
      <c r="CP71" s="671">
        <f t="shared" si="184"/>
        <v>-0.28000000000000003</v>
      </c>
      <c r="CQ71" s="541">
        <f t="shared" si="185"/>
        <v>0.98</v>
      </c>
      <c r="CR71" s="655">
        <f ca="1">VLOOKUP(CR67,CN65:CQ70,4)</f>
        <v>0.25666666666666665</v>
      </c>
    </row>
    <row r="72" spans="2:96" ht="13">
      <c r="B72" s="693">
        <v>-5</v>
      </c>
      <c r="C72" s="671"/>
      <c r="D72" s="671"/>
      <c r="E72" s="652">
        <f t="shared" si="169"/>
        <v>0.11333333333333334</v>
      </c>
      <c r="F72" s="1340"/>
      <c r="G72" s="554"/>
      <c r="H72" s="693">
        <v>-5</v>
      </c>
      <c r="I72" s="671"/>
      <c r="J72" s="671"/>
      <c r="K72" s="652"/>
      <c r="L72" s="1340"/>
      <c r="M72" s="554"/>
      <c r="N72" s="693">
        <v>-5</v>
      </c>
      <c r="O72" s="671">
        <v>0</v>
      </c>
      <c r="P72" s="671">
        <f t="shared" si="187"/>
        <v>0</v>
      </c>
      <c r="Q72" s="652"/>
      <c r="R72" s="1340"/>
      <c r="S72" s="543"/>
      <c r="T72" s="693">
        <v>-5</v>
      </c>
      <c r="U72" s="671"/>
      <c r="V72" s="671"/>
      <c r="W72" s="652"/>
      <c r="X72" s="1340"/>
      <c r="Y72" s="543"/>
      <c r="Z72" s="693">
        <v>-5</v>
      </c>
      <c r="AA72" s="671">
        <v>0</v>
      </c>
      <c r="AB72" s="671">
        <f t="shared" si="189"/>
        <v>0.19</v>
      </c>
      <c r="AC72" s="652">
        <f t="shared" si="174"/>
        <v>3.3333333333333333E-2</v>
      </c>
      <c r="AD72" s="1340"/>
      <c r="AE72" s="543"/>
      <c r="AF72" s="693">
        <v>-5</v>
      </c>
      <c r="AG72" s="671">
        <v>0</v>
      </c>
      <c r="AH72" s="671">
        <f t="shared" si="190"/>
        <v>0.2</v>
      </c>
      <c r="AI72" s="652">
        <f t="shared" si="175"/>
        <v>3.3333333333333333E-2</v>
      </c>
      <c r="AJ72" s="1340"/>
      <c r="AK72" s="543"/>
      <c r="AL72" s="693">
        <v>-5</v>
      </c>
      <c r="AM72" s="671"/>
      <c r="AN72" s="671">
        <f t="shared" si="191"/>
        <v>0.49</v>
      </c>
      <c r="AO72" s="652">
        <f t="shared" si="176"/>
        <v>0.04</v>
      </c>
      <c r="AP72" s="1340"/>
      <c r="AQ72" s="543"/>
      <c r="AR72" s="693">
        <v>-5</v>
      </c>
      <c r="AS72" s="671"/>
      <c r="AT72" s="671">
        <f t="shared" si="192"/>
        <v>0.4</v>
      </c>
      <c r="AU72" s="652">
        <f t="shared" si="177"/>
        <v>0.03</v>
      </c>
      <c r="AV72" s="1340"/>
      <c r="AW72" s="543"/>
      <c r="AX72" s="693">
        <v>-5</v>
      </c>
      <c r="AY72" s="671"/>
      <c r="AZ72" s="553">
        <f t="shared" si="193"/>
        <v>0</v>
      </c>
      <c r="BA72" s="541">
        <f t="shared" si="178"/>
        <v>0.26333333333333336</v>
      </c>
      <c r="BB72" s="1340"/>
      <c r="BC72" s="543"/>
      <c r="BD72" s="693">
        <v>-5</v>
      </c>
      <c r="BE72" s="671"/>
      <c r="BF72" s="553">
        <f t="shared" si="194"/>
        <v>0</v>
      </c>
      <c r="BG72" s="541">
        <f t="shared" si="179"/>
        <v>3.3333333333333333E-2</v>
      </c>
      <c r="BH72" s="1340"/>
      <c r="BI72" s="543"/>
      <c r="BJ72" s="693">
        <v>-5</v>
      </c>
      <c r="BK72" s="671"/>
      <c r="BL72" s="553">
        <f t="shared" si="195"/>
        <v>0</v>
      </c>
      <c r="BM72" s="541">
        <f t="shared" si="180"/>
        <v>0.26333333333333336</v>
      </c>
      <c r="BN72" s="1340"/>
      <c r="BO72" s="543"/>
      <c r="BP72" s="693">
        <v>-5</v>
      </c>
      <c r="BQ72" s="671"/>
      <c r="BR72" s="671">
        <f t="shared" si="196"/>
        <v>0</v>
      </c>
      <c r="BS72" s="541">
        <f t="shared" si="181"/>
        <v>2.3333333333333334E-2</v>
      </c>
      <c r="BT72" s="1340"/>
      <c r="BU72" s="543"/>
      <c r="BV72" s="693">
        <v>-5</v>
      </c>
      <c r="BW72" s="671"/>
      <c r="BX72" s="553">
        <f t="shared" si="197"/>
        <v>0</v>
      </c>
      <c r="BY72" s="541">
        <f t="shared" si="182"/>
        <v>2.6666666666666668E-2</v>
      </c>
      <c r="BZ72" s="1340"/>
      <c r="CA72" s="543"/>
      <c r="CB72" s="693">
        <v>-5</v>
      </c>
      <c r="CC72" s="671">
        <f>CC60</f>
        <v>0</v>
      </c>
      <c r="CD72" s="671"/>
      <c r="CE72" s="541">
        <f t="shared" si="199"/>
        <v>6.6666666666666666E-2</v>
      </c>
      <c r="CF72" s="1340"/>
      <c r="CH72" s="693">
        <v>-5</v>
      </c>
      <c r="CI72" s="671">
        <f t="shared" si="167"/>
        <v>0</v>
      </c>
      <c r="CJ72" s="671"/>
      <c r="CK72" s="541">
        <f t="shared" si="183"/>
        <v>7.3333333333333334E-2</v>
      </c>
      <c r="CL72" s="1340"/>
      <c r="CN72" s="693">
        <v>-5</v>
      </c>
      <c r="CO72" s="671">
        <f t="shared" si="168"/>
        <v>0</v>
      </c>
      <c r="CP72" s="671"/>
      <c r="CQ72" s="541"/>
      <c r="CR72" s="1340"/>
    </row>
    <row r="73" spans="2:96" ht="13">
      <c r="B73" s="693">
        <v>0</v>
      </c>
      <c r="C73" s="671">
        <v>-0.06</v>
      </c>
      <c r="D73" s="671">
        <f>U165</f>
        <v>-0.35</v>
      </c>
      <c r="E73" s="652">
        <f t="shared" si="169"/>
        <v>0.28999999999999998</v>
      </c>
      <c r="F73" s="1339">
        <f ca="1">(((F71-F69)/(F67-F65))*(F64-F65))+F69</f>
        <v>0.11333333333333334</v>
      </c>
      <c r="G73" s="554"/>
      <c r="H73" s="693">
        <v>0</v>
      </c>
      <c r="I73" s="671">
        <v>-0.28000000000000003</v>
      </c>
      <c r="J73" s="671">
        <f>V165</f>
        <v>-0.19</v>
      </c>
      <c r="K73" s="652">
        <f>IF(OR(I73=0,J73=0),$V$166/3,((MAX(I73:J73)-(MIN(I73:J73)))))</f>
        <v>9.0000000000000024E-2</v>
      </c>
      <c r="L73" s="1339">
        <f ca="1">(((L71-L69)/(L67-L65))*(L64-L65))+L69</f>
        <v>0.18666666666666668</v>
      </c>
      <c r="M73" s="554"/>
      <c r="N73" s="693">
        <v>0</v>
      </c>
      <c r="O73" s="671">
        <v>-0.34</v>
      </c>
      <c r="P73" s="671">
        <f t="shared" si="187"/>
        <v>-0.21</v>
      </c>
      <c r="Q73" s="652">
        <f>IF(OR(O73=0,P73=0),$W$166/3,((MAX(O73:P73)-(MIN(O73:P73)))))</f>
        <v>0.13000000000000003</v>
      </c>
      <c r="R73" s="1339">
        <f ca="1">(((R71-R69)/(R67-R65))*(R64-R65))+R69</f>
        <v>9.3333333333333338E-2</v>
      </c>
      <c r="S73" s="543"/>
      <c r="T73" s="693">
        <v>0</v>
      </c>
      <c r="U73" s="671"/>
      <c r="V73" s="671">
        <f>X165</f>
        <v>-0.27</v>
      </c>
      <c r="W73" s="652">
        <f>IF(OR(U73=0,V73=0),$X$166/3,((MAX(U73:V73)-(MIN(U73:V73)))))</f>
        <v>3.3333333333333333E-2</v>
      </c>
      <c r="X73" s="1339">
        <f ca="1">(((X71-X69)/(X67-X65))*(X64-X65))+X69</f>
        <v>3.3333333333333333E-2</v>
      </c>
      <c r="Y73" s="543"/>
      <c r="Z73" s="693">
        <v>0</v>
      </c>
      <c r="AA73" s="671">
        <v>-0.08</v>
      </c>
      <c r="AB73" s="671">
        <f t="shared" si="189"/>
        <v>0.16</v>
      </c>
      <c r="AC73" s="652">
        <f t="shared" si="174"/>
        <v>0.24</v>
      </c>
      <c r="AD73" s="1339">
        <f ca="1">(((AD71-AD69)/(AD67-AD65))*(AD64-AD65))+AD69</f>
        <v>3.3333333333333333E-2</v>
      </c>
      <c r="AE73" s="543"/>
      <c r="AF73" s="693">
        <v>0</v>
      </c>
      <c r="AG73" s="671">
        <v>0.34</v>
      </c>
      <c r="AH73" s="671">
        <f>Z165</f>
        <v>0.19</v>
      </c>
      <c r="AI73" s="652">
        <f t="shared" si="175"/>
        <v>0.15000000000000002</v>
      </c>
      <c r="AJ73" s="1339">
        <f ca="1">(((AJ71-AJ69)/(AJ67-AJ65))*(AJ64-AJ65))+AJ69</f>
        <v>3.3333333333333333E-2</v>
      </c>
      <c r="AK73" s="543"/>
      <c r="AL73" s="693">
        <v>0</v>
      </c>
      <c r="AM73" s="671"/>
      <c r="AN73" s="671">
        <f>AA165</f>
        <v>0.45</v>
      </c>
      <c r="AO73" s="652">
        <f t="shared" si="176"/>
        <v>0.04</v>
      </c>
      <c r="AP73" s="1339">
        <f ca="1">(((AP71-AP69)/(AP67-AP65))*(AP64-AP65))+AP69</f>
        <v>0.04</v>
      </c>
      <c r="AQ73" s="543"/>
      <c r="AR73" s="693">
        <v>0</v>
      </c>
      <c r="AS73" s="671"/>
      <c r="AT73" s="671">
        <f>AB165</f>
        <v>0.38</v>
      </c>
      <c r="AU73" s="652">
        <f t="shared" si="177"/>
        <v>0.03</v>
      </c>
      <c r="AV73" s="1339">
        <f ca="1">(((AV71-AV69)/(AV67-AV65))*(AV64-AV65))+AV69</f>
        <v>0.03</v>
      </c>
      <c r="AW73" s="543"/>
      <c r="AX73" s="693">
        <v>0</v>
      </c>
      <c r="AY73" s="671"/>
      <c r="AZ73" s="553">
        <f>AC165</f>
        <v>0.52</v>
      </c>
      <c r="BA73" s="541">
        <f t="shared" si="178"/>
        <v>0.26333333333333336</v>
      </c>
      <c r="BB73" s="1339">
        <f ca="1">(((BB71-BB69)/(BB67-BB65))*(BB64-BB65))+BB69</f>
        <v>0.26333333333333336</v>
      </c>
      <c r="BC73" s="543"/>
      <c r="BD73" s="693">
        <v>0</v>
      </c>
      <c r="BE73" s="671"/>
      <c r="BF73" s="553">
        <f>AD165</f>
        <v>-0.25</v>
      </c>
      <c r="BG73" s="541">
        <f t="shared" si="179"/>
        <v>3.3333333333333333E-2</v>
      </c>
      <c r="BH73" s="1339">
        <f ca="1">(((BH71-BH69)/(BH67-BH65))*(BH64-BH65))+BH69</f>
        <v>3.3333333333333333E-2</v>
      </c>
      <c r="BI73" s="543"/>
      <c r="BJ73" s="693">
        <v>0</v>
      </c>
      <c r="BK73" s="671"/>
      <c r="BL73" s="553">
        <f>AE165</f>
        <v>0.52</v>
      </c>
      <c r="BM73" s="541">
        <f t="shared" si="180"/>
        <v>0.26333333333333336</v>
      </c>
      <c r="BN73" s="1339">
        <f ca="1">(((BN71-BN69)/(BN67-BN65))*(BN64-BN65))+BN69</f>
        <v>0.26333333333333336</v>
      </c>
      <c r="BO73" s="543"/>
      <c r="BP73" s="693">
        <v>0</v>
      </c>
      <c r="BQ73" s="671"/>
      <c r="BR73" s="671">
        <f>AF165</f>
        <v>-0.61</v>
      </c>
      <c r="BS73" s="541">
        <f t="shared" si="181"/>
        <v>2.3333333333333334E-2</v>
      </c>
      <c r="BT73" s="1339">
        <f ca="1">(((BT71-BT69)/(BT67-BT65))*(BT64-BT65))+BT69</f>
        <v>2.3333333333333334E-2</v>
      </c>
      <c r="BU73" s="543"/>
      <c r="BV73" s="693">
        <v>0</v>
      </c>
      <c r="BW73" s="671"/>
      <c r="BX73" s="553">
        <f>AG165</f>
        <v>-0.53</v>
      </c>
      <c r="BY73" s="541">
        <f t="shared" si="182"/>
        <v>2.6666666666666668E-2</v>
      </c>
      <c r="BZ73" s="1339">
        <f ca="1">(((BZ71-BZ69)/(BZ67-BZ65))*(BZ64-BZ65))+BZ69</f>
        <v>2.6666666666666668E-2</v>
      </c>
      <c r="CA73" s="543"/>
      <c r="CB73" s="693">
        <v>0</v>
      </c>
      <c r="CC73" s="671">
        <f t="shared" si="198"/>
        <v>-1.4</v>
      </c>
      <c r="CD73" s="671">
        <v>-0.7</v>
      </c>
      <c r="CE73" s="541">
        <f t="shared" si="199"/>
        <v>0.7</v>
      </c>
      <c r="CF73" s="1339">
        <f ca="1">(((CF71-CF69)/(CF67-CF65))*(CF64-CF65))+CF69</f>
        <v>6.6666666666666666E-2</v>
      </c>
      <c r="CH73" s="693">
        <v>0</v>
      </c>
      <c r="CI73" s="671">
        <f t="shared" si="167"/>
        <v>0.03</v>
      </c>
      <c r="CJ73" s="671"/>
      <c r="CK73" s="541">
        <f t="shared" si="183"/>
        <v>2.5999999999999999E-2</v>
      </c>
      <c r="CL73" s="1339">
        <f ca="1">(((CL71-CL69)/(CL67-CL65))*(CL64-CL65))+CL69</f>
        <v>7.3333333333333334E-2</v>
      </c>
      <c r="CN73" s="693">
        <v>0</v>
      </c>
      <c r="CO73" s="671">
        <f t="shared" si="168"/>
        <v>-0.79</v>
      </c>
      <c r="CP73" s="671">
        <f>CP13</f>
        <v>-0.08</v>
      </c>
      <c r="CQ73" s="541">
        <f>CQ61</f>
        <v>0.71000000000000008</v>
      </c>
      <c r="CR73" s="1339">
        <f ca="1">(((CR71-CR69)/(CR67-CR65))*(CR64-CR65))+CR69</f>
        <v>0.25666666666666665</v>
      </c>
    </row>
    <row r="74" spans="2:96" s="543" customFormat="1" ht="13">
      <c r="B74" s="678"/>
      <c r="C74" s="679"/>
      <c r="D74" s="679"/>
      <c r="E74" s="683"/>
      <c r="F74" s="554"/>
      <c r="G74" s="554"/>
      <c r="H74" s="678"/>
      <c r="I74" s="679"/>
      <c r="J74" s="679"/>
      <c r="K74" s="683"/>
      <c r="L74" s="554"/>
      <c r="M74" s="554"/>
      <c r="N74" s="678"/>
      <c r="O74" s="679"/>
      <c r="P74" s="679"/>
      <c r="Q74" s="683"/>
      <c r="R74" s="554"/>
      <c r="T74" s="678"/>
      <c r="U74" s="679"/>
      <c r="V74" s="679"/>
      <c r="W74" s="683"/>
      <c r="X74" s="554"/>
      <c r="Z74" s="678"/>
      <c r="AA74" s="679"/>
      <c r="AB74" s="679"/>
      <c r="AC74" s="683"/>
      <c r="AD74" s="554"/>
      <c r="AF74" s="678"/>
      <c r="AG74" s="679"/>
      <c r="AH74" s="679"/>
      <c r="AI74" s="683"/>
      <c r="AJ74" s="554"/>
      <c r="AL74" s="678"/>
      <c r="AM74" s="679"/>
      <c r="AN74" s="679"/>
      <c r="AO74" s="683"/>
      <c r="AP74" s="554"/>
      <c r="AR74" s="558"/>
      <c r="AS74" s="679"/>
      <c r="AT74" s="679"/>
      <c r="AU74" s="683"/>
      <c r="AV74" s="554"/>
      <c r="AX74" s="678"/>
      <c r="AY74" s="544"/>
      <c r="AZ74" s="544"/>
      <c r="BA74" s="556"/>
      <c r="BB74" s="554"/>
      <c r="BD74" s="678"/>
      <c r="BE74" s="544"/>
      <c r="BF74" s="544"/>
      <c r="BG74" s="556"/>
      <c r="BH74" s="554"/>
      <c r="BJ74" s="678"/>
      <c r="BK74" s="544"/>
      <c r="BL74" s="544"/>
      <c r="BM74" s="556"/>
      <c r="BN74" s="554"/>
      <c r="BP74" s="678"/>
      <c r="BQ74" s="544"/>
      <c r="BR74" s="544"/>
      <c r="BS74" s="556"/>
      <c r="BT74" s="554"/>
      <c r="BV74" s="678"/>
      <c r="BW74" s="544"/>
      <c r="BX74" s="544"/>
      <c r="BY74" s="556"/>
      <c r="BZ74" s="554"/>
      <c r="CB74" s="678"/>
      <c r="CC74" s="544"/>
      <c r="CD74" s="544"/>
      <c r="CE74" s="556"/>
      <c r="CF74" s="554"/>
      <c r="CH74" s="678"/>
      <c r="CI74" s="544"/>
      <c r="CJ74" s="544"/>
      <c r="CK74" s="556"/>
      <c r="CL74" s="554"/>
      <c r="CN74" s="678"/>
      <c r="CO74" s="544"/>
      <c r="CP74" s="544"/>
      <c r="CQ74" s="556"/>
      <c r="CR74" s="554"/>
    </row>
    <row r="75" spans="2:96" ht="21.75" customHeight="1">
      <c r="B75" s="1195" t="s">
        <v>363</v>
      </c>
      <c r="C75" s="1197" t="str">
        <f>C63</f>
        <v>Thermocouple Data Logger, Merek : MADGETECH, Model : OctTemp 2000, SN : P40270</v>
      </c>
      <c r="D75" s="1197"/>
      <c r="E75" s="1197"/>
      <c r="F75" s="546" t="str">
        <f>F63</f>
        <v>Interpolasi</v>
      </c>
      <c r="G75" s="547"/>
      <c r="H75" s="1195" t="s">
        <v>363</v>
      </c>
      <c r="I75" s="1197" t="str">
        <f>I63</f>
        <v>Thermocouple Data Logger, Merek : MADGETECH, Model : OctTemp 2000, SN : P41878</v>
      </c>
      <c r="J75" s="1197"/>
      <c r="K75" s="1197"/>
      <c r="L75" s="546" t="str">
        <f>L63</f>
        <v>Interpolasi</v>
      </c>
      <c r="M75" s="547"/>
      <c r="N75" s="1195" t="s">
        <v>363</v>
      </c>
      <c r="O75" s="1197" t="str">
        <f>O63</f>
        <v>Mobile Corder, Merek : Yokogawa, Model : GP 10, SN : S5T810599</v>
      </c>
      <c r="P75" s="1198"/>
      <c r="Q75" s="1197"/>
      <c r="R75" s="546" t="str">
        <f>R63</f>
        <v>Interpolasi</v>
      </c>
      <c r="S75" s="543"/>
      <c r="T75" s="1195" t="s">
        <v>363</v>
      </c>
      <c r="U75" s="1197" t="str">
        <f>U63</f>
        <v>Wireless Temperature Recorder, Merek : HIOKI, Model : LR 8510, SN : 200936000</v>
      </c>
      <c r="V75" s="1198"/>
      <c r="W75" s="1197"/>
      <c r="X75" s="546" t="str">
        <f>X63</f>
        <v>Interpolasi</v>
      </c>
      <c r="Y75" s="543"/>
      <c r="Z75" s="1195" t="s">
        <v>363</v>
      </c>
      <c r="AA75" s="1197" t="str">
        <f>AA63</f>
        <v>Wireless Temperature Recorder, Merek : HIOKI, Model : LR 8510, SN : 200936001</v>
      </c>
      <c r="AB75" s="1198"/>
      <c r="AC75" s="1197"/>
      <c r="AD75" s="546" t="str">
        <f>AD63</f>
        <v>Interpolasi</v>
      </c>
      <c r="AE75" s="543"/>
      <c r="AF75" s="1195" t="s">
        <v>363</v>
      </c>
      <c r="AG75" s="1197" t="str">
        <f>AG63</f>
        <v>Wireless Temperature Recorder, Merek : HIOKI, Model : LR 8510, SN : 200821397</v>
      </c>
      <c r="AH75" s="1198"/>
      <c r="AI75" s="1197"/>
      <c r="AJ75" s="546" t="str">
        <f>AJ63</f>
        <v>Interpolasi</v>
      </c>
      <c r="AK75" s="543"/>
      <c r="AL75" s="1199" t="s">
        <v>363</v>
      </c>
      <c r="AM75" s="1197" t="str">
        <f>AM63</f>
        <v>Wireless Temperature Recorder, Merek : HIOKI, Model : LR 8510, SN : 210411983</v>
      </c>
      <c r="AN75" s="1198"/>
      <c r="AO75" s="1197"/>
      <c r="AP75" s="546" t="str">
        <f>AP63</f>
        <v>Interpolasi</v>
      </c>
      <c r="AQ75" s="543"/>
      <c r="AR75" s="1199" t="s">
        <v>363</v>
      </c>
      <c r="AS75" s="1197" t="str">
        <f>AS63</f>
        <v>Wireless Temperature Recorder, Merek : HIOKI, Model : LR 8510, SN : 210411984</v>
      </c>
      <c r="AT75" s="1198"/>
      <c r="AU75" s="1197"/>
      <c r="AV75" s="546" t="str">
        <f>AV63</f>
        <v>Interpolasi</v>
      </c>
      <c r="AW75" s="543"/>
      <c r="AX75" s="1195" t="s">
        <v>363</v>
      </c>
      <c r="AY75" s="1193" t="str">
        <f>AY63</f>
        <v>Wireless Temperature Recorder, Merek : HIOKI, Model : LR 8510, SN : 210411985</v>
      </c>
      <c r="AZ75" s="1194"/>
      <c r="BA75" s="1193"/>
      <c r="BB75" s="546" t="str">
        <f>BB63</f>
        <v>Interpolasi</v>
      </c>
      <c r="BC75" s="543"/>
      <c r="BD75" s="1195" t="s">
        <v>363</v>
      </c>
      <c r="BE75" s="1193" t="str">
        <f>BE63</f>
        <v>Wireless Temperature Recorder, Merek : HIOKI, Model : LR 8510, SN : 210746054</v>
      </c>
      <c r="BF75" s="1194"/>
      <c r="BG75" s="1193"/>
      <c r="BH75" s="546" t="str">
        <f>BH63</f>
        <v>Interpolasi</v>
      </c>
      <c r="BI75" s="543"/>
      <c r="BJ75" s="1195" t="s">
        <v>363</v>
      </c>
      <c r="BK75" s="1193" t="str">
        <f>BK63</f>
        <v>Wireless Temperature Recorder, Merek : HIOKI, Model : LR 8510, SN : 210746055</v>
      </c>
      <c r="BL75" s="1194"/>
      <c r="BM75" s="1193"/>
      <c r="BN75" s="546" t="str">
        <f>BN63</f>
        <v>Interpolasi</v>
      </c>
      <c r="BO75" s="543"/>
      <c r="BP75" s="1195" t="s">
        <v>363</v>
      </c>
      <c r="BQ75" s="1193" t="str">
        <f>BQ63</f>
        <v>Wireless Temperature Recorder, Merek : HIOKI, Model : LR 8510, SN : 210746056</v>
      </c>
      <c r="BR75" s="1194"/>
      <c r="BS75" s="1193"/>
      <c r="BT75" s="546" t="str">
        <f>BT63</f>
        <v>Interpolasi</v>
      </c>
      <c r="BU75" s="543"/>
      <c r="BV75" s="1195" t="s">
        <v>363</v>
      </c>
      <c r="BW75" s="1193" t="str">
        <f>BW63</f>
        <v>Wireless Temperature Recorder, Merek : HIOKI, Model : LR 8510, SN : 200821396</v>
      </c>
      <c r="BX75" s="1194"/>
      <c r="BY75" s="1193"/>
      <c r="BZ75" s="546" t="str">
        <f>BZ63</f>
        <v>Interpolasi</v>
      </c>
      <c r="CA75" s="543"/>
      <c r="CB75" s="1195" t="s">
        <v>363</v>
      </c>
      <c r="CC75" s="1193" t="str">
        <f>CC63</f>
        <v>Reference Thermometer, Merek : APPA, Model : APPA51, SN : 03002948</v>
      </c>
      <c r="CD75" s="1194"/>
      <c r="CE75" s="1193"/>
      <c r="CF75" s="546" t="str">
        <f>CF63</f>
        <v>Interpolasi</v>
      </c>
      <c r="CH75" s="1195" t="s">
        <v>363</v>
      </c>
      <c r="CI75" s="1193" t="str">
        <f t="shared" ref="CI75:CI85" si="200">CI63</f>
        <v>Reference Thermometer, Merek : FLUKE, Model : 1524, SN : 1803038</v>
      </c>
      <c r="CJ75" s="1194"/>
      <c r="CK75" s="1193"/>
      <c r="CL75" s="546" t="str">
        <f>CL63</f>
        <v>Interpolasi</v>
      </c>
      <c r="CN75" s="1195" t="s">
        <v>363</v>
      </c>
      <c r="CO75" s="1193" t="str">
        <f t="shared" ref="CO75:CO85" si="201">CO63</f>
        <v>Reference Thermometer, Merek : FLUKE, Model : 1524, SN : 1803037</v>
      </c>
      <c r="CP75" s="1194"/>
      <c r="CQ75" s="1193"/>
      <c r="CR75" s="546" t="str">
        <f>CR63</f>
        <v>Interpolasi</v>
      </c>
    </row>
    <row r="76" spans="2:96" ht="13">
      <c r="B76" s="1196"/>
      <c r="C76" s="681">
        <f>C64</f>
        <v>2021</v>
      </c>
      <c r="D76" s="681">
        <f>D64</f>
        <v>2022</v>
      </c>
      <c r="E76" s="682" t="s">
        <v>357</v>
      </c>
      <c r="F76" s="656">
        <f ca="1">$B$243</f>
        <v>-26.693000000000005</v>
      </c>
      <c r="G76" s="551"/>
      <c r="H76" s="1196"/>
      <c r="I76" s="677">
        <f>I64</f>
        <v>2021</v>
      </c>
      <c r="J76" s="681">
        <f>J64</f>
        <v>2022</v>
      </c>
      <c r="K76" s="682" t="s">
        <v>357</v>
      </c>
      <c r="L76" s="656">
        <f ca="1">$B$243</f>
        <v>-26.693000000000005</v>
      </c>
      <c r="M76" s="551"/>
      <c r="N76" s="1196"/>
      <c r="O76" s="677">
        <f>O4</f>
        <v>2021</v>
      </c>
      <c r="P76" s="681">
        <f>P4</f>
        <v>2023</v>
      </c>
      <c r="Q76" s="682" t="s">
        <v>357</v>
      </c>
      <c r="R76" s="656">
        <f ca="1">$B$243</f>
        <v>-26.693000000000005</v>
      </c>
      <c r="S76" s="543"/>
      <c r="T76" s="1196"/>
      <c r="U76" s="668">
        <f>U64</f>
        <v>0</v>
      </c>
      <c r="V76" s="681">
        <f>V64</f>
        <v>2022</v>
      </c>
      <c r="W76" s="682" t="s">
        <v>357</v>
      </c>
      <c r="X76" s="656">
        <f ca="1">$B$243</f>
        <v>-26.693000000000005</v>
      </c>
      <c r="Y76" s="543"/>
      <c r="Z76" s="1196"/>
      <c r="AA76" s="668">
        <f>AA64</f>
        <v>2021</v>
      </c>
      <c r="AB76" s="681">
        <f>AB64</f>
        <v>2023</v>
      </c>
      <c r="AC76" s="682" t="s">
        <v>357</v>
      </c>
      <c r="AD76" s="656">
        <f ca="1">$B$243</f>
        <v>-26.693000000000005</v>
      </c>
      <c r="AE76" s="543"/>
      <c r="AF76" s="1196"/>
      <c r="AG76" s="668">
        <f>AG64</f>
        <v>2021</v>
      </c>
      <c r="AH76" s="677">
        <f>AH64</f>
        <v>2023</v>
      </c>
      <c r="AI76" s="682" t="s">
        <v>357</v>
      </c>
      <c r="AJ76" s="656">
        <f ca="1">$B$243</f>
        <v>-26.693000000000005</v>
      </c>
      <c r="AK76" s="543"/>
      <c r="AL76" s="1200"/>
      <c r="AM76" s="677">
        <f>AM64</f>
        <v>0</v>
      </c>
      <c r="AN76" s="681">
        <f>AN64</f>
        <v>2023</v>
      </c>
      <c r="AO76" s="682" t="s">
        <v>357</v>
      </c>
      <c r="AP76" s="656">
        <f ca="1">$B$243</f>
        <v>-26.693000000000005</v>
      </c>
      <c r="AQ76" s="543"/>
      <c r="AR76" s="1200"/>
      <c r="AS76" s="677">
        <f>AS64</f>
        <v>2021</v>
      </c>
      <c r="AT76" s="681">
        <f>AT64</f>
        <v>2023</v>
      </c>
      <c r="AU76" s="682" t="s">
        <v>357</v>
      </c>
      <c r="AV76" s="656">
        <f ca="1">$B$243</f>
        <v>-26.693000000000005</v>
      </c>
      <c r="AW76" s="543"/>
      <c r="AX76" s="1196"/>
      <c r="AY76" s="668">
        <f>AY64</f>
        <v>0</v>
      </c>
      <c r="AZ76" s="549">
        <f>AZ64</f>
        <v>2021</v>
      </c>
      <c r="BA76" s="550" t="s">
        <v>357</v>
      </c>
      <c r="BB76" s="656">
        <f ca="1">$B$243</f>
        <v>-26.693000000000005</v>
      </c>
      <c r="BC76" s="543"/>
      <c r="BD76" s="1196"/>
      <c r="BE76" s="668">
        <f>BE64</f>
        <v>0</v>
      </c>
      <c r="BF76" s="549"/>
      <c r="BG76" s="550" t="s">
        <v>357</v>
      </c>
      <c r="BH76" s="656">
        <f ca="1">$B$243</f>
        <v>-26.693000000000005</v>
      </c>
      <c r="BI76" s="543"/>
      <c r="BJ76" s="1196"/>
      <c r="BK76" s="668">
        <f>BK64</f>
        <v>2021</v>
      </c>
      <c r="BL76" s="549">
        <f>BL64</f>
        <v>2021</v>
      </c>
      <c r="BM76" s="550" t="s">
        <v>357</v>
      </c>
      <c r="BN76" s="656">
        <f ca="1">$B$243</f>
        <v>-26.693000000000005</v>
      </c>
      <c r="BO76" s="543"/>
      <c r="BP76" s="1196"/>
      <c r="BQ76" s="668">
        <f>BQ64</f>
        <v>2021</v>
      </c>
      <c r="BR76" s="549">
        <f>BR64</f>
        <v>2022</v>
      </c>
      <c r="BS76" s="550" t="s">
        <v>357</v>
      </c>
      <c r="BT76" s="656">
        <f ca="1">$B$243</f>
        <v>-26.693000000000005</v>
      </c>
      <c r="BU76" s="543"/>
      <c r="BV76" s="1196"/>
      <c r="BW76" s="552">
        <f>BW64</f>
        <v>0</v>
      </c>
      <c r="BX76" s="549">
        <f>BX64</f>
        <v>2022</v>
      </c>
      <c r="BY76" s="550" t="s">
        <v>357</v>
      </c>
      <c r="BZ76" s="656">
        <f ca="1">$B$243</f>
        <v>-26.693000000000005</v>
      </c>
      <c r="CA76" s="543"/>
      <c r="CB76" s="1196"/>
      <c r="CC76" s="668">
        <f>CC64</f>
        <v>2022</v>
      </c>
      <c r="CD76" s="669">
        <f>CD64</f>
        <v>2020</v>
      </c>
      <c r="CE76" s="550" t="s">
        <v>357</v>
      </c>
      <c r="CF76" s="656">
        <f ca="1">$B$243</f>
        <v>-26.693000000000005</v>
      </c>
      <c r="CH76" s="1196"/>
      <c r="CI76" s="668">
        <f t="shared" si="200"/>
        <v>2021</v>
      </c>
      <c r="CJ76" s="669">
        <f>CJ64</f>
        <v>2019</v>
      </c>
      <c r="CK76" s="550" t="s">
        <v>357</v>
      </c>
      <c r="CL76" s="656">
        <f ca="1">$B$243</f>
        <v>-26.693000000000005</v>
      </c>
      <c r="CN76" s="1196"/>
      <c r="CO76" s="668">
        <f t="shared" si="201"/>
        <v>2021</v>
      </c>
      <c r="CP76" s="669">
        <f>CP64</f>
        <v>2020</v>
      </c>
      <c r="CQ76" s="550" t="s">
        <v>357</v>
      </c>
      <c r="CR76" s="656">
        <f ca="1">$B$243</f>
        <v>-26.693000000000005</v>
      </c>
    </row>
    <row r="77" spans="2:96" ht="13">
      <c r="B77" s="693">
        <v>-40</v>
      </c>
      <c r="C77" s="671"/>
      <c r="D77" s="671">
        <f t="shared" ref="D77:D83" si="202">C171</f>
        <v>0</v>
      </c>
      <c r="E77" s="652">
        <f t="shared" ref="E77:E83" si="203">IF(OR(C77=0,D77=0),$C$180/3,((MAX(C77:D77)-(MIN(C77:D77)))))</f>
        <v>9.3333333333333338E-2</v>
      </c>
      <c r="F77" s="654">
        <f ca="1">IF($L$4&lt;=$B$6,$B$5,IF($L$4&lt;=$B$8,$B$7,IF($L$4&lt;=$B$10,$B$9,IF($L$4&lt;=$B$12,$B$11,IF($L$4&lt;=$B$13,$B$13)))))</f>
        <v>-30</v>
      </c>
      <c r="G77" s="554"/>
      <c r="H77" s="693">
        <v>-40</v>
      </c>
      <c r="I77" s="671"/>
      <c r="J77" s="671">
        <f t="shared" ref="J77:J83" si="204">D171</f>
        <v>0</v>
      </c>
      <c r="K77" s="652">
        <f t="shared" ref="K77:K83" si="205">IF(OR(I77=0,J77=0),$D$180/3,((MAX(I77:J77)-(MIN(I77:J77)))))</f>
        <v>0.18666666666666668</v>
      </c>
      <c r="L77" s="654">
        <f ca="1">IF($L$4&lt;=$B$6,$B$5,IF($L$4&lt;=$B$8,$B$7,IF($L$4&lt;=$B$10,$B$9,IF($L$4&lt;=$B$12,$B$11,IF($L$4&lt;=$B$13,$B$13)))))</f>
        <v>-30</v>
      </c>
      <c r="M77" s="554"/>
      <c r="N77" s="693">
        <v>-40</v>
      </c>
      <c r="O77" s="671">
        <v>0</v>
      </c>
      <c r="P77" s="671">
        <f t="shared" ref="P77:P85" si="206">E171</f>
        <v>0</v>
      </c>
      <c r="Q77" s="652">
        <f t="shared" ref="Q77:Q83" si="207">IF(OR(O77=0,P77=0),$E$180/3,((MAX(O77:P77)-(MIN(O77:P77)))))</f>
        <v>0.13</v>
      </c>
      <c r="R77" s="654">
        <f ca="1">IF($L$4&lt;=$B$6,$B$5,IF($L$4&lt;=$B$8,$B$7,IF($L$4&lt;=$B$10,$B$9,IF($L$4&lt;=$B$12,$B$11,IF($L$4&lt;=$B$13,$B$13)))))</f>
        <v>-30</v>
      </c>
      <c r="S77" s="543"/>
      <c r="T77" s="693">
        <v>-40</v>
      </c>
      <c r="U77" s="671"/>
      <c r="V77" s="671">
        <f t="shared" ref="V77:V83" si="208">F171</f>
        <v>-2.5299999999999998</v>
      </c>
      <c r="W77" s="652">
        <f t="shared" ref="W77:W83" si="209">IF(OR(U77=0,V77=0),$F$180/3,((MAX(U77:V77)-(MIN(U77:V77)))))</f>
        <v>4.3333333333333335E-2</v>
      </c>
      <c r="X77" s="654">
        <f ca="1">IF($L$4&lt;=$B$6,$B$5,IF($L$4&lt;=$B$8,$B$7,IF($L$4&lt;=$B$10,$B$9,IF($L$4&lt;=$B$12,$B$11,IF($L$4&lt;=$B$13,$B$13)))))</f>
        <v>-30</v>
      </c>
      <c r="Y77" s="543"/>
      <c r="Z77" s="693">
        <v>-40</v>
      </c>
      <c r="AA77" s="671">
        <v>0</v>
      </c>
      <c r="AB77" s="671">
        <f t="shared" ref="AB77:AB85" si="210">G171</f>
        <v>0.12</v>
      </c>
      <c r="AC77" s="652">
        <f t="shared" ref="AC77:AC85" si="211">IF(OR(AA77=0,AB77=0),$G$180/3,((MAX(AA77:AB77)-(MIN(AA77:AB77)))))</f>
        <v>0.03</v>
      </c>
      <c r="AD77" s="654">
        <f ca="1">IF($L$4&lt;=$B$6,$B$5,IF($L$4&lt;=$B$8,$B$7,IF($L$4&lt;=$B$10,$B$9,IF($L$4&lt;=$B$12,$B$11,IF($L$4&lt;=$B$13,$B$13)))))</f>
        <v>-30</v>
      </c>
      <c r="AE77" s="543"/>
      <c r="AF77" s="693">
        <v>-40</v>
      </c>
      <c r="AG77" s="671">
        <v>0</v>
      </c>
      <c r="AH77" s="671">
        <f t="shared" ref="AH77:AH85" si="212">H171</f>
        <v>0.15</v>
      </c>
      <c r="AI77" s="652">
        <f t="shared" ref="AI77:AI85" si="213">IF(OR(AG77=0,AH77=0),$H$180/3,((MAX(AG77:AH77)-(MIN(AG77:AH77)))))</f>
        <v>3.6666666666666667E-2</v>
      </c>
      <c r="AJ77" s="654">
        <f ca="1">IF($L$4&lt;=$B$6,$B$5,IF($L$4&lt;=$B$8,$B$7,IF($L$4&lt;=$B$10,$B$9,IF($L$4&lt;=$B$12,$B$11,IF($L$4&lt;=$B$13,$B$13)))))</f>
        <v>-30</v>
      </c>
      <c r="AK77" s="543"/>
      <c r="AL77" s="693">
        <v>-40</v>
      </c>
      <c r="AM77" s="671"/>
      <c r="AN77" s="671">
        <f>AA171</f>
        <v>0.44</v>
      </c>
      <c r="AO77" s="652">
        <f t="shared" ref="AO77:AO85" si="214">IF(OR(AM77=0,AN77=0),$I$180/3,((MAX(AM77:AN77)-(MIN(AM77:AN77)))))</f>
        <v>3.3333333333333333E-2</v>
      </c>
      <c r="AP77" s="654">
        <f ca="1">IF($L$4&lt;=$B$6,$B$5,IF($L$4&lt;=$B$8,$B$7,IF($L$4&lt;=$B$10,$B$9,IF($L$4&lt;=$B$12,$B$11,IF($L$4&lt;=$B$13,$B$13)))))</f>
        <v>-30</v>
      </c>
      <c r="AQ77" s="543"/>
      <c r="AR77" s="693">
        <v>-40</v>
      </c>
      <c r="AS77" s="671"/>
      <c r="AT77" s="671">
        <f t="shared" ref="AT77:AT85" si="215">J171</f>
        <v>0.32</v>
      </c>
      <c r="AU77" s="652">
        <f t="shared" ref="AU77:AU85" si="216">IF(OR(AS77=0,AT77=0),$J$180/3,((MAX(AS77:AT77)-(MIN(AS77:AT77)))))</f>
        <v>0.03</v>
      </c>
      <c r="AV77" s="654">
        <f ca="1">IF($L$4&lt;=$B$6,$B$5,IF($L$4&lt;=$B$8,$B$7,IF($L$4&lt;=$B$10,$B$9,IF($L$4&lt;=$B$12,$B$11,IF($L$4&lt;=$B$13,$B$13)))))</f>
        <v>-30</v>
      </c>
      <c r="AW77" s="543"/>
      <c r="AX77" s="693">
        <v>-40</v>
      </c>
      <c r="AY77" s="671"/>
      <c r="AZ77" s="553">
        <f t="shared" ref="AZ77:AZ85" si="217">K171</f>
        <v>0</v>
      </c>
      <c r="BA77" s="541">
        <f t="shared" ref="BA77:BA85" si="218">IF(OR(AY77=0,AZ77=0),$K$180/3,((MAX(AY77:AZ77)-(MIN(AY77:AZ77)))))</f>
        <v>0.26333333333333336</v>
      </c>
      <c r="BB77" s="654">
        <f ca="1">IF($L$4&lt;=$B$6,$B$5,IF($L$4&lt;=$B$8,$B$7,IF($L$4&lt;=$B$10,$B$9,IF($L$4&lt;=$B$12,$B$11,IF($L$4&lt;=$B$13,$B$13)))))</f>
        <v>-30</v>
      </c>
      <c r="BC77" s="543"/>
      <c r="BD77" s="693">
        <v>-40</v>
      </c>
      <c r="BE77" s="671"/>
      <c r="BF77" s="553">
        <f t="shared" ref="BF77:BF85" si="219">L171</f>
        <v>-2.36</v>
      </c>
      <c r="BG77" s="541">
        <f t="shared" ref="BG77:BG85" si="220">IF(OR(BE77=0,BF77=0),$L$180/3,((MAX(BE77:BF77)-(MIN(BE77:BF77)))))</f>
        <v>3.3333333333333333E-2</v>
      </c>
      <c r="BH77" s="654">
        <f ca="1">IF($L$4&lt;=$B$6,$B$5,IF($L$4&lt;=$B$8,$B$7,IF($L$4&lt;=$B$10,$B$9,IF($L$4&lt;=$B$12,$B$11,IF($L$4&lt;=$B$13,$B$13)))))</f>
        <v>-30</v>
      </c>
      <c r="BI77" s="543"/>
      <c r="BJ77" s="693">
        <v>-40</v>
      </c>
      <c r="BK77" s="671"/>
      <c r="BL77" s="553">
        <f t="shared" ref="BL77:BL85" si="221">M171</f>
        <v>0</v>
      </c>
      <c r="BM77" s="541">
        <f t="shared" ref="BM77:BM85" si="222">IF(OR(BK77=0,BL77=0),$M$180/3,((MAX(BK77:BL77)-(MIN(BK77:BL77)))))</f>
        <v>0.26333333333333336</v>
      </c>
      <c r="BN77" s="654">
        <f ca="1">IF($L$4&lt;=$B$6,$B$5,IF($L$4&lt;=$B$8,$B$7,IF($L$4&lt;=$B$10,$B$9,IF($L$4&lt;=$B$12,$B$11,IF($L$4&lt;=$B$13,$B$13)))))</f>
        <v>-30</v>
      </c>
      <c r="BO77" s="543"/>
      <c r="BP77" s="693">
        <v>-40</v>
      </c>
      <c r="BQ77" s="671"/>
      <c r="BR77" s="671">
        <f t="shared" ref="BR77:BR85" si="223">N171</f>
        <v>-2.36</v>
      </c>
      <c r="BS77" s="541">
        <f t="shared" ref="BS77:BS85" si="224">IF(OR(BQ77=0,BR77=0),$N$180/3,((MAX(BQ77:BR77)-(MIN(BQ77:BR77)))))</f>
        <v>2.3333333333333334E-2</v>
      </c>
      <c r="BT77" s="654">
        <f ca="1">IF($L$4&lt;=$B$6,$B$5,IF($L$4&lt;=$B$8,$B$7,IF($L$4&lt;=$B$10,$B$9,IF($L$4&lt;=$B$12,$B$11,IF($L$4&lt;=$B$13,$B$13)))))</f>
        <v>-30</v>
      </c>
      <c r="BU77" s="543"/>
      <c r="BV77" s="693">
        <v>-40</v>
      </c>
      <c r="BW77" s="671"/>
      <c r="BX77" s="553">
        <f t="shared" ref="BX77:BX85" si="225">O171</f>
        <v>-2.54</v>
      </c>
      <c r="BY77" s="541">
        <f t="shared" ref="BY77:BY85" si="226">IF(OR(BW77=0,BX77=0),$O$180/3,((MAX(BW77:BX77)-(MIN(BW77:BX77)))))</f>
        <v>2.3333333333333334E-2</v>
      </c>
      <c r="BZ77" s="654">
        <f ca="1">IF($L$4&lt;=$B$6,$B$5,IF($L$4&lt;=$B$8,$B$7,IF($L$4&lt;=$B$10,$B$9,IF($L$4&lt;=$B$12,$B$11,IF($L$4&lt;=$B$13,$B$13)))))</f>
        <v>-30</v>
      </c>
      <c r="CA77" s="543"/>
      <c r="CB77" s="693">
        <v>-40</v>
      </c>
      <c r="CC77" s="671">
        <f>CC65</f>
        <v>-1.7</v>
      </c>
      <c r="CD77" s="671"/>
      <c r="CE77" s="541">
        <f t="shared" ref="CE77:CE85" si="227">CE65</f>
        <v>6.6666666666666666E-2</v>
      </c>
      <c r="CF77" s="654">
        <f ca="1">IF($L$4&lt;=$B$6,$B$5,IF($L$4&lt;=$B$8,$B$7,IF($L$4&lt;=$B$10,$B$9,IF($L$4&lt;=$B$12,$B$11,IF($L$4&lt;=$B$13,$B$13)))))</f>
        <v>-30</v>
      </c>
      <c r="CH77" s="693">
        <v>-40</v>
      </c>
      <c r="CI77" s="671">
        <f t="shared" si="200"/>
        <v>0</v>
      </c>
      <c r="CJ77" s="671"/>
      <c r="CK77" s="541">
        <f t="shared" ref="CK77:CK85" si="228">CK65</f>
        <v>7.3333333333333334E-2</v>
      </c>
      <c r="CL77" s="654">
        <f ca="1">IF($L$4&lt;=$B$6,$B$5,IF($L$4&lt;=$B$8,$B$7,IF($L$4&lt;=$B$10,$B$9,IF($L$4&lt;=$B$12,$B$11,IF($L$4&lt;=$B$13,$B$13)))))</f>
        <v>-30</v>
      </c>
      <c r="CN77" s="693">
        <v>-40</v>
      </c>
      <c r="CO77" s="671">
        <f t="shared" si="201"/>
        <v>0</v>
      </c>
      <c r="CP77" s="671">
        <f t="shared" ref="CP77:CP83" si="229">CP5</f>
        <v>0</v>
      </c>
      <c r="CQ77" s="541">
        <f t="shared" ref="CQ77:CQ83" si="230">CQ65</f>
        <v>0.25666666666666665</v>
      </c>
      <c r="CR77" s="654">
        <f ca="1">IF($L$4&lt;=$B$6,$B$5,IF($L$4&lt;=$B$8,$B$7,IF($L$4&lt;=$B$10,$B$9,IF($L$4&lt;=$B$12,$B$11,IF($L$4&lt;=$B$13,$B$13)))))</f>
        <v>-30</v>
      </c>
    </row>
    <row r="78" spans="2:96" ht="13">
      <c r="B78" s="693">
        <v>-35</v>
      </c>
      <c r="C78" s="671"/>
      <c r="D78" s="671">
        <f t="shared" si="202"/>
        <v>0</v>
      </c>
      <c r="E78" s="652">
        <f t="shared" si="203"/>
        <v>9.3333333333333338E-2</v>
      </c>
      <c r="F78" s="651"/>
      <c r="G78" s="554"/>
      <c r="H78" s="693">
        <v>-35</v>
      </c>
      <c r="I78" s="671"/>
      <c r="J78" s="671">
        <f t="shared" si="204"/>
        <v>0</v>
      </c>
      <c r="K78" s="652">
        <f t="shared" si="205"/>
        <v>0.18666666666666668</v>
      </c>
      <c r="L78" s="651"/>
      <c r="M78" s="554"/>
      <c r="N78" s="693">
        <v>-35</v>
      </c>
      <c r="O78" s="671">
        <v>0</v>
      </c>
      <c r="P78" s="671">
        <f t="shared" si="206"/>
        <v>0</v>
      </c>
      <c r="Q78" s="652">
        <f t="shared" si="207"/>
        <v>0.13</v>
      </c>
      <c r="R78" s="651"/>
      <c r="S78" s="543"/>
      <c r="T78" s="693">
        <v>-35</v>
      </c>
      <c r="U78" s="671"/>
      <c r="V78" s="671">
        <f t="shared" si="208"/>
        <v>0</v>
      </c>
      <c r="W78" s="652">
        <f t="shared" si="209"/>
        <v>4.3333333333333335E-2</v>
      </c>
      <c r="X78" s="651"/>
      <c r="Y78" s="543"/>
      <c r="Z78" s="693">
        <v>-35</v>
      </c>
      <c r="AA78" s="671">
        <v>0</v>
      </c>
      <c r="AB78" s="671">
        <f t="shared" si="210"/>
        <v>7.0000000000000007E-2</v>
      </c>
      <c r="AC78" s="652">
        <f t="shared" si="211"/>
        <v>0.03</v>
      </c>
      <c r="AD78" s="651"/>
      <c r="AE78" s="543"/>
      <c r="AF78" s="693">
        <v>-35</v>
      </c>
      <c r="AG78" s="671">
        <v>0</v>
      </c>
      <c r="AH78" s="671">
        <f t="shared" si="212"/>
        <v>0.12</v>
      </c>
      <c r="AI78" s="652">
        <f t="shared" si="213"/>
        <v>3.6666666666666667E-2</v>
      </c>
      <c r="AJ78" s="651"/>
      <c r="AK78" s="543"/>
      <c r="AL78" s="693">
        <v>-35</v>
      </c>
      <c r="AM78" s="671"/>
      <c r="AN78" s="671">
        <f t="shared" ref="AN78:AN84" si="231">AA172</f>
        <v>0.43</v>
      </c>
      <c r="AO78" s="652">
        <f t="shared" si="214"/>
        <v>3.3333333333333333E-2</v>
      </c>
      <c r="AP78" s="651"/>
      <c r="AQ78" s="543"/>
      <c r="AR78" s="693">
        <v>-35</v>
      </c>
      <c r="AS78" s="671"/>
      <c r="AT78" s="671">
        <f t="shared" si="215"/>
        <v>0.32</v>
      </c>
      <c r="AU78" s="652">
        <f t="shared" si="216"/>
        <v>0.03</v>
      </c>
      <c r="AV78" s="651"/>
      <c r="AW78" s="543"/>
      <c r="AX78" s="693">
        <v>-35</v>
      </c>
      <c r="AY78" s="671"/>
      <c r="AZ78" s="553">
        <f t="shared" si="217"/>
        <v>0</v>
      </c>
      <c r="BA78" s="541">
        <f t="shared" si="218"/>
        <v>0.26333333333333336</v>
      </c>
      <c r="BB78" s="651"/>
      <c r="BC78" s="543"/>
      <c r="BD78" s="693">
        <v>-35</v>
      </c>
      <c r="BE78" s="671"/>
      <c r="BF78" s="553">
        <f t="shared" si="219"/>
        <v>0</v>
      </c>
      <c r="BG78" s="541">
        <f t="shared" si="220"/>
        <v>3.3333333333333333E-2</v>
      </c>
      <c r="BH78" s="651"/>
      <c r="BI78" s="543"/>
      <c r="BJ78" s="693">
        <v>-35</v>
      </c>
      <c r="BK78" s="671"/>
      <c r="BL78" s="553">
        <f t="shared" si="221"/>
        <v>0</v>
      </c>
      <c r="BM78" s="541">
        <f t="shared" si="222"/>
        <v>0.26333333333333336</v>
      </c>
      <c r="BN78" s="651"/>
      <c r="BO78" s="543"/>
      <c r="BP78" s="693">
        <v>-35</v>
      </c>
      <c r="BQ78" s="671"/>
      <c r="BR78" s="671">
        <f t="shared" si="223"/>
        <v>0</v>
      </c>
      <c r="BS78" s="541">
        <f t="shared" si="224"/>
        <v>2.3333333333333334E-2</v>
      </c>
      <c r="BT78" s="651"/>
      <c r="BU78" s="543"/>
      <c r="BV78" s="693">
        <v>-35</v>
      </c>
      <c r="BW78" s="671"/>
      <c r="BX78" s="553">
        <f t="shared" si="225"/>
        <v>0</v>
      </c>
      <c r="BY78" s="541">
        <f t="shared" si="226"/>
        <v>2.3333333333333334E-2</v>
      </c>
      <c r="BZ78" s="651"/>
      <c r="CA78" s="543"/>
      <c r="CB78" s="693">
        <v>-35</v>
      </c>
      <c r="CC78" s="671">
        <f t="shared" ref="CC78:CC85" si="232">CC66</f>
        <v>-1.4</v>
      </c>
      <c r="CD78" s="671"/>
      <c r="CE78" s="541">
        <f t="shared" si="227"/>
        <v>6.6666666666666666E-2</v>
      </c>
      <c r="CF78" s="651"/>
      <c r="CH78" s="693">
        <v>-35</v>
      </c>
      <c r="CI78" s="671">
        <f t="shared" si="200"/>
        <v>0</v>
      </c>
      <c r="CJ78" s="671"/>
      <c r="CK78" s="541">
        <f t="shared" si="228"/>
        <v>7.3333333333333334E-2</v>
      </c>
      <c r="CL78" s="651"/>
      <c r="CN78" s="693">
        <v>-35</v>
      </c>
      <c r="CO78" s="671">
        <f t="shared" si="201"/>
        <v>0</v>
      </c>
      <c r="CP78" s="671">
        <f t="shared" si="229"/>
        <v>0</v>
      </c>
      <c r="CQ78" s="541">
        <f t="shared" si="230"/>
        <v>0.25666666666666665</v>
      </c>
      <c r="CR78" s="651"/>
    </row>
    <row r="79" spans="2:96" ht="13">
      <c r="B79" s="693">
        <v>-30</v>
      </c>
      <c r="C79" s="671"/>
      <c r="D79" s="671">
        <f t="shared" si="202"/>
        <v>0</v>
      </c>
      <c r="E79" s="652">
        <f t="shared" si="203"/>
        <v>9.3333333333333338E-2</v>
      </c>
      <c r="F79" s="654">
        <f ca="1">IF($L$4&lt;=$B$5,$B$5,IF($L$4&lt;=$B$6,$B$6,IF($L$4&lt;=$B$7,$B$7,IF($L$4&lt;=$B$8,$B$8,IF($L$4&lt;=$B$9,$B$9,IF($L$4&lt;=$B$10,$B$10,IF($L$4&lt;=$B$11,$B$11)))))))</f>
        <v>-25</v>
      </c>
      <c r="G79" s="554"/>
      <c r="H79" s="693">
        <v>-30</v>
      </c>
      <c r="I79" s="671"/>
      <c r="J79" s="671">
        <f t="shared" si="204"/>
        <v>0</v>
      </c>
      <c r="K79" s="652">
        <f t="shared" si="205"/>
        <v>0.18666666666666668</v>
      </c>
      <c r="L79" s="654">
        <f ca="1">IF($L$4&lt;=$B$5,$B$5,IF($L$4&lt;=$B$6,$B$6,IF($L$4&lt;=$B$7,$B$7,IF($L$4&lt;=$B$8,$B$8,IF($L$4&lt;=$B$9,$B$9,IF($L$4&lt;=$B$10,$B$10,IF($L$4&lt;=$B$11,$B$11)))))))</f>
        <v>-25</v>
      </c>
      <c r="M79" s="554"/>
      <c r="N79" s="693">
        <v>-30</v>
      </c>
      <c r="O79" s="671">
        <v>0</v>
      </c>
      <c r="P79" s="671">
        <f t="shared" si="206"/>
        <v>0</v>
      </c>
      <c r="Q79" s="652">
        <f t="shared" si="207"/>
        <v>0.13</v>
      </c>
      <c r="R79" s="654">
        <f ca="1">IF($L$4&lt;=$B$5,$B$5,IF($L$4&lt;=$B$6,$B$6,IF($L$4&lt;=$B$7,$B$7,IF($L$4&lt;=$B$8,$B$8,IF($L$4&lt;=$B$9,$B$9,IF($L$4&lt;=$B$10,$B$10,IF($L$4&lt;=$B$11,$B$11)))))))</f>
        <v>-25</v>
      </c>
      <c r="S79" s="543"/>
      <c r="T79" s="693">
        <v>-30</v>
      </c>
      <c r="U79" s="671"/>
      <c r="V79" s="671">
        <f t="shared" si="208"/>
        <v>0</v>
      </c>
      <c r="W79" s="652">
        <f t="shared" si="209"/>
        <v>4.3333333333333335E-2</v>
      </c>
      <c r="X79" s="654">
        <f ca="1">IF($L$4&lt;=$B$5,$B$5,IF($L$4&lt;=$B$6,$B$6,IF($L$4&lt;=$B$7,$B$7,IF($L$4&lt;=$B$8,$B$8,IF($L$4&lt;=$B$9,$B$9,IF($L$4&lt;=$B$10,$B$10,IF($L$4&lt;=$B$11,$B$11)))))))</f>
        <v>-25</v>
      </c>
      <c r="Y79" s="543"/>
      <c r="Z79" s="693">
        <v>-30</v>
      </c>
      <c r="AA79" s="671">
        <v>0</v>
      </c>
      <c r="AB79" s="671">
        <f t="shared" si="210"/>
        <v>0.06</v>
      </c>
      <c r="AC79" s="652">
        <f t="shared" si="211"/>
        <v>0.03</v>
      </c>
      <c r="AD79" s="654">
        <f ca="1">IF($L$4&lt;=$B$5,$B$5,IF($L$4&lt;=$B$6,$B$6,IF($L$4&lt;=$B$7,$B$7,IF($L$4&lt;=$B$8,$B$8,IF($L$4&lt;=$B$9,$B$9,IF($L$4&lt;=$B$10,$B$10,IF($L$4&lt;=$B$11,$B$11)))))))</f>
        <v>-25</v>
      </c>
      <c r="AE79" s="543"/>
      <c r="AF79" s="693">
        <v>-30</v>
      </c>
      <c r="AG79" s="671">
        <v>0</v>
      </c>
      <c r="AH79" s="671">
        <f t="shared" si="212"/>
        <v>0.12</v>
      </c>
      <c r="AI79" s="652">
        <f t="shared" si="213"/>
        <v>3.6666666666666667E-2</v>
      </c>
      <c r="AJ79" s="654">
        <f ca="1">IF($L$4&lt;=$B$5,$B$5,IF($L$4&lt;=$B$6,$B$6,IF($L$4&lt;=$B$7,$B$7,IF($L$4&lt;=$B$8,$B$8,IF($L$4&lt;=$B$9,$B$9,IF($L$4&lt;=$B$10,$B$10,IF($L$4&lt;=$B$11,$B$11)))))))</f>
        <v>-25</v>
      </c>
      <c r="AK79" s="543"/>
      <c r="AL79" s="693">
        <v>-30</v>
      </c>
      <c r="AM79" s="671"/>
      <c r="AN79" s="671">
        <f t="shared" si="231"/>
        <v>0.43</v>
      </c>
      <c r="AO79" s="652">
        <f t="shared" si="214"/>
        <v>3.3333333333333333E-2</v>
      </c>
      <c r="AP79" s="654">
        <f ca="1">IF($L$4&lt;=$B$5,$B$5,IF($L$4&lt;=$B$6,$B$6,IF($L$4&lt;=$B$7,$B$7,IF($L$4&lt;=$B$8,$B$8,IF($L$4&lt;=$B$9,$B$9,IF($L$4&lt;=$B$10,$B$10,IF($L$4&lt;=$B$11,$B$11)))))))</f>
        <v>-25</v>
      </c>
      <c r="AQ79" s="543"/>
      <c r="AR79" s="693">
        <v>-30</v>
      </c>
      <c r="AS79" s="671"/>
      <c r="AT79" s="671">
        <f t="shared" si="215"/>
        <v>0.33</v>
      </c>
      <c r="AU79" s="652">
        <f t="shared" si="216"/>
        <v>0.03</v>
      </c>
      <c r="AV79" s="654">
        <f ca="1">IF($L$4&lt;=$B$5,$B$5,IF($L$4&lt;=$B$6,$B$6,IF($L$4&lt;=$B$7,$B$7,IF($L$4&lt;=$B$8,$B$8,IF($L$4&lt;=$B$9,$B$9,IF($L$4&lt;=$B$10,$B$10,IF($L$4&lt;=$B$11,$B$11)))))))</f>
        <v>-25</v>
      </c>
      <c r="AW79" s="543"/>
      <c r="AX79" s="693">
        <v>-30</v>
      </c>
      <c r="AY79" s="671"/>
      <c r="AZ79" s="553">
        <f t="shared" si="217"/>
        <v>0</v>
      </c>
      <c r="BA79" s="541">
        <f t="shared" si="218"/>
        <v>0.26333333333333336</v>
      </c>
      <c r="BB79" s="654">
        <f ca="1">IF($L$4&lt;=$B$5,$B$5,IF($L$4&lt;=$B$6,$B$6,IF($L$4&lt;=$B$7,$B$7,IF($L$4&lt;=$B$8,$B$8,IF($L$4&lt;=$B$9,$B$9,IF($L$4&lt;=$B$10,$B$10,IF($L$4&lt;=$B$11,$B$11)))))))</f>
        <v>-25</v>
      </c>
      <c r="BC79" s="543"/>
      <c r="BD79" s="693">
        <v>-30</v>
      </c>
      <c r="BE79" s="671"/>
      <c r="BF79" s="553">
        <f t="shared" si="219"/>
        <v>0</v>
      </c>
      <c r="BG79" s="541">
        <f t="shared" si="220"/>
        <v>3.3333333333333333E-2</v>
      </c>
      <c r="BH79" s="654">
        <f ca="1">IF($L$4&lt;=$B$5,$B$5,IF($L$4&lt;=$B$6,$B$6,IF($L$4&lt;=$B$7,$B$7,IF($L$4&lt;=$B$8,$B$8,IF($L$4&lt;=$B$9,$B$9,IF($L$4&lt;=$B$10,$B$10,IF($L$4&lt;=$B$11,$B$11)))))))</f>
        <v>-25</v>
      </c>
      <c r="BI79" s="543"/>
      <c r="BJ79" s="693">
        <v>-30</v>
      </c>
      <c r="BK79" s="671"/>
      <c r="BL79" s="553">
        <f t="shared" si="221"/>
        <v>0</v>
      </c>
      <c r="BM79" s="541">
        <f t="shared" si="222"/>
        <v>0.26333333333333336</v>
      </c>
      <c r="BN79" s="654">
        <f ca="1">IF($L$4&lt;=$B$5,$B$5,IF($L$4&lt;=$B$6,$B$6,IF($L$4&lt;=$B$7,$B$7,IF($L$4&lt;=$B$8,$B$8,IF($L$4&lt;=$B$9,$B$9,IF($L$4&lt;=$B$10,$B$10,IF($L$4&lt;=$B$11,$B$11)))))))</f>
        <v>-25</v>
      </c>
      <c r="BO79" s="543"/>
      <c r="BP79" s="693">
        <v>-30</v>
      </c>
      <c r="BQ79" s="671"/>
      <c r="BR79" s="671">
        <f t="shared" si="223"/>
        <v>0</v>
      </c>
      <c r="BS79" s="541">
        <f t="shared" si="224"/>
        <v>2.3333333333333334E-2</v>
      </c>
      <c r="BT79" s="654">
        <f ca="1">IF($L$4&lt;=$B$5,$B$5,IF($L$4&lt;=$B$6,$B$6,IF($L$4&lt;=$B$7,$B$7,IF($L$4&lt;=$B$8,$B$8,IF($L$4&lt;=$B$9,$B$9,IF($L$4&lt;=$B$10,$B$10,IF($L$4&lt;=$B$11,$B$11)))))))</f>
        <v>-25</v>
      </c>
      <c r="BU79" s="543"/>
      <c r="BV79" s="693">
        <v>-30</v>
      </c>
      <c r="BW79" s="671"/>
      <c r="BX79" s="553">
        <f t="shared" si="225"/>
        <v>0</v>
      </c>
      <c r="BY79" s="541">
        <f t="shared" si="226"/>
        <v>2.3333333333333334E-2</v>
      </c>
      <c r="BZ79" s="654">
        <f ca="1">IF($L$4&lt;=$B$5,$B$5,IF($L$4&lt;=$B$6,$B$6,IF($L$4&lt;=$B$7,$B$7,IF($L$4&lt;=$B$8,$B$8,IF($L$4&lt;=$B$9,$B$9,IF($L$4&lt;=$B$10,$B$10,IF($L$4&lt;=$B$11,$B$11)))))))</f>
        <v>-25</v>
      </c>
      <c r="CA79" s="543"/>
      <c r="CB79" s="693">
        <v>-30</v>
      </c>
      <c r="CC79" s="671">
        <f t="shared" si="232"/>
        <v>-1.2</v>
      </c>
      <c r="CD79" s="671"/>
      <c r="CE79" s="541">
        <f t="shared" si="227"/>
        <v>6.6666666666666666E-2</v>
      </c>
      <c r="CF79" s="654">
        <f ca="1">IF($L$4&lt;=$B$5,$B$5,IF($L$4&lt;=$B$6,$B$6,IF($L$4&lt;=$B$7,$B$7,IF($L$4&lt;=$B$8,$B$8,IF($L$4&lt;=$B$9,$B$9,IF($L$4&lt;=$B$10,$B$10,IF($L$4&lt;=$B$11,$B$11)))))))</f>
        <v>-25</v>
      </c>
      <c r="CH79" s="693">
        <v>-30</v>
      </c>
      <c r="CI79" s="671">
        <f t="shared" si="200"/>
        <v>0</v>
      </c>
      <c r="CJ79" s="671"/>
      <c r="CK79" s="541">
        <f t="shared" si="228"/>
        <v>7.3333333333333334E-2</v>
      </c>
      <c r="CL79" s="654">
        <f ca="1">IF($L$4&lt;=$B$5,$B$5,IF($L$4&lt;=$B$6,$B$6,IF($L$4&lt;=$B$7,$B$7,IF($L$4&lt;=$B$8,$B$8,IF($L$4&lt;=$B$9,$B$9,IF($L$4&lt;=$B$10,$B$10,IF($L$4&lt;=$B$11,$B$11)))))))</f>
        <v>-25</v>
      </c>
      <c r="CN79" s="693">
        <v>-30</v>
      </c>
      <c r="CO79" s="671">
        <f t="shared" si="201"/>
        <v>0</v>
      </c>
      <c r="CP79" s="671">
        <f t="shared" si="229"/>
        <v>0</v>
      </c>
      <c r="CQ79" s="541">
        <f t="shared" si="230"/>
        <v>0.25666666666666665</v>
      </c>
      <c r="CR79" s="654">
        <f ca="1">IF($L$4&lt;=$B$5,$B$5,IF($L$4&lt;=$B$6,$B$6,IF($L$4&lt;=$B$7,$B$7,IF($L$4&lt;=$B$8,$B$8,IF($L$4&lt;=$B$9,$B$9,IF($L$4&lt;=$B$10,$B$10,IF($L$4&lt;=$B$11,$B$11)))))))</f>
        <v>-25</v>
      </c>
    </row>
    <row r="80" spans="2:96" ht="13">
      <c r="B80" s="693">
        <v>-25</v>
      </c>
      <c r="C80" s="671"/>
      <c r="D80" s="671">
        <f t="shared" si="202"/>
        <v>0</v>
      </c>
      <c r="E80" s="652">
        <f t="shared" si="203"/>
        <v>9.3333333333333338E-2</v>
      </c>
      <c r="F80" s="651"/>
      <c r="G80" s="554"/>
      <c r="H80" s="693">
        <v>-25</v>
      </c>
      <c r="I80" s="671"/>
      <c r="J80" s="671">
        <f t="shared" si="204"/>
        <v>0</v>
      </c>
      <c r="K80" s="652">
        <f t="shared" si="205"/>
        <v>0.18666666666666668</v>
      </c>
      <c r="L80" s="651"/>
      <c r="M80" s="554"/>
      <c r="N80" s="693">
        <v>-25</v>
      </c>
      <c r="O80" s="671">
        <v>-0.67</v>
      </c>
      <c r="P80" s="671">
        <f t="shared" si="206"/>
        <v>-0.67</v>
      </c>
      <c r="Q80" s="652">
        <f t="shared" si="207"/>
        <v>0</v>
      </c>
      <c r="R80" s="651"/>
      <c r="S80" s="543"/>
      <c r="T80" s="693">
        <v>-25</v>
      </c>
      <c r="U80" s="671"/>
      <c r="V80" s="671">
        <f t="shared" si="208"/>
        <v>-1.58</v>
      </c>
      <c r="W80" s="652">
        <f t="shared" si="209"/>
        <v>4.3333333333333335E-2</v>
      </c>
      <c r="X80" s="651"/>
      <c r="Y80" s="543"/>
      <c r="Z80" s="693">
        <v>-25</v>
      </c>
      <c r="AA80" s="671">
        <v>0</v>
      </c>
      <c r="AB80" s="671">
        <f t="shared" si="210"/>
        <v>0.09</v>
      </c>
      <c r="AC80" s="652">
        <f t="shared" si="211"/>
        <v>0.03</v>
      </c>
      <c r="AD80" s="651"/>
      <c r="AE80" s="543"/>
      <c r="AF80" s="693">
        <v>-25</v>
      </c>
      <c r="AG80" s="671">
        <v>0</v>
      </c>
      <c r="AH80" s="671">
        <f t="shared" si="212"/>
        <v>0.13</v>
      </c>
      <c r="AI80" s="652">
        <f t="shared" si="213"/>
        <v>3.6666666666666667E-2</v>
      </c>
      <c r="AJ80" s="651"/>
      <c r="AK80" s="543"/>
      <c r="AL80" s="693">
        <v>-25</v>
      </c>
      <c r="AM80" s="671"/>
      <c r="AN80" s="671">
        <f t="shared" si="231"/>
        <v>0.44</v>
      </c>
      <c r="AO80" s="652">
        <f t="shared" si="214"/>
        <v>3.3333333333333333E-2</v>
      </c>
      <c r="AP80" s="651"/>
      <c r="AQ80" s="543"/>
      <c r="AR80" s="693">
        <v>-25</v>
      </c>
      <c r="AS80" s="671"/>
      <c r="AT80" s="671">
        <f t="shared" si="215"/>
        <v>0.35</v>
      </c>
      <c r="AU80" s="652">
        <f t="shared" si="216"/>
        <v>0.03</v>
      </c>
      <c r="AV80" s="651"/>
      <c r="AW80" s="543"/>
      <c r="AX80" s="693">
        <v>-25</v>
      </c>
      <c r="AY80" s="671"/>
      <c r="AZ80" s="553">
        <f t="shared" si="217"/>
        <v>0</v>
      </c>
      <c r="BA80" s="541">
        <f t="shared" si="218"/>
        <v>0.26333333333333336</v>
      </c>
      <c r="BB80" s="651"/>
      <c r="BC80" s="543"/>
      <c r="BD80" s="693">
        <v>-25</v>
      </c>
      <c r="BE80" s="671"/>
      <c r="BF80" s="553">
        <f t="shared" si="219"/>
        <v>-1.2</v>
      </c>
      <c r="BG80" s="541">
        <f t="shared" si="220"/>
        <v>3.3333333333333333E-2</v>
      </c>
      <c r="BH80" s="651"/>
      <c r="BI80" s="543"/>
      <c r="BJ80" s="693">
        <v>-25</v>
      </c>
      <c r="BK80" s="671"/>
      <c r="BL80" s="553">
        <f t="shared" si="221"/>
        <v>0</v>
      </c>
      <c r="BM80" s="541">
        <f t="shared" si="222"/>
        <v>0.26333333333333336</v>
      </c>
      <c r="BN80" s="651"/>
      <c r="BO80" s="543"/>
      <c r="BP80" s="693">
        <v>-25</v>
      </c>
      <c r="BQ80" s="671"/>
      <c r="BR80" s="671">
        <f t="shared" si="223"/>
        <v>-1.57</v>
      </c>
      <c r="BS80" s="541">
        <f t="shared" si="224"/>
        <v>2.3333333333333334E-2</v>
      </c>
      <c r="BT80" s="651"/>
      <c r="BU80" s="543"/>
      <c r="BV80" s="693">
        <v>-25</v>
      </c>
      <c r="BW80" s="671"/>
      <c r="BX80" s="553">
        <f t="shared" si="225"/>
        <v>-1.64</v>
      </c>
      <c r="BY80" s="541">
        <f t="shared" si="226"/>
        <v>2.3333333333333334E-2</v>
      </c>
      <c r="BZ80" s="651"/>
      <c r="CA80" s="543"/>
      <c r="CB80" s="693">
        <v>-25</v>
      </c>
      <c r="CC80" s="671">
        <f t="shared" si="232"/>
        <v>-1.1000000000000001</v>
      </c>
      <c r="CD80" s="671"/>
      <c r="CE80" s="541">
        <f t="shared" si="227"/>
        <v>6.6666666666666666E-2</v>
      </c>
      <c r="CF80" s="651"/>
      <c r="CH80" s="693">
        <v>-25</v>
      </c>
      <c r="CI80" s="671">
        <f t="shared" si="200"/>
        <v>0</v>
      </c>
      <c r="CJ80" s="671"/>
      <c r="CK80" s="541">
        <f t="shared" si="228"/>
        <v>7.3333333333333334E-2</v>
      </c>
      <c r="CL80" s="651"/>
      <c r="CN80" s="693">
        <v>-25</v>
      </c>
      <c r="CO80" s="671">
        <f t="shared" si="201"/>
        <v>0</v>
      </c>
      <c r="CP80" s="671">
        <f t="shared" si="229"/>
        <v>0</v>
      </c>
      <c r="CQ80" s="541">
        <f t="shared" si="230"/>
        <v>0.25666666666666665</v>
      </c>
      <c r="CR80" s="651"/>
    </row>
    <row r="81" spans="2:96" ht="13">
      <c r="B81" s="693">
        <v>-20</v>
      </c>
      <c r="C81" s="671">
        <v>-0.41</v>
      </c>
      <c r="D81" s="671">
        <f t="shared" si="202"/>
        <v>-0.36</v>
      </c>
      <c r="E81" s="652">
        <f t="shared" si="203"/>
        <v>4.9999999999999989E-2</v>
      </c>
      <c r="F81" s="655">
        <f ca="1">VLOOKUP(F77,B77:E82,4)</f>
        <v>9.3333333333333338E-2</v>
      </c>
      <c r="G81" s="554"/>
      <c r="H81" s="693">
        <v>-20</v>
      </c>
      <c r="I81" s="671">
        <v>-0.75</v>
      </c>
      <c r="J81" s="671">
        <f t="shared" si="204"/>
        <v>-0.49</v>
      </c>
      <c r="K81" s="652">
        <f t="shared" si="205"/>
        <v>0.26</v>
      </c>
      <c r="L81" s="655">
        <f ca="1">VLOOKUP(L77,H77:K82,4)</f>
        <v>0.18666666666666668</v>
      </c>
      <c r="M81" s="554"/>
      <c r="N81" s="693">
        <v>-20</v>
      </c>
      <c r="O81" s="671">
        <v>0</v>
      </c>
      <c r="P81" s="671">
        <f t="shared" si="206"/>
        <v>0</v>
      </c>
      <c r="Q81" s="652">
        <f t="shared" si="207"/>
        <v>0.13</v>
      </c>
      <c r="R81" s="655">
        <f ca="1">VLOOKUP(R77,N77:Q82,4)</f>
        <v>0.13</v>
      </c>
      <c r="S81" s="543"/>
      <c r="T81" s="693">
        <v>-20</v>
      </c>
      <c r="U81" s="671"/>
      <c r="V81" s="671">
        <f t="shared" si="208"/>
        <v>-1.33</v>
      </c>
      <c r="W81" s="652">
        <f t="shared" si="209"/>
        <v>4.3333333333333335E-2</v>
      </c>
      <c r="X81" s="655">
        <f ca="1">VLOOKUP(X77,T77:W82,4)</f>
        <v>4.3333333333333335E-2</v>
      </c>
      <c r="Y81" s="543"/>
      <c r="Z81" s="693">
        <v>-20</v>
      </c>
      <c r="AA81" s="671">
        <v>-0.52</v>
      </c>
      <c r="AB81" s="671">
        <f t="shared" si="210"/>
        <v>0.13</v>
      </c>
      <c r="AC81" s="652">
        <f t="shared" si="211"/>
        <v>0.65</v>
      </c>
      <c r="AD81" s="655">
        <f ca="1">VLOOKUP(AD77,Z77:AC82,4)</f>
        <v>0.03</v>
      </c>
      <c r="AE81" s="543"/>
      <c r="AF81" s="693">
        <v>-20</v>
      </c>
      <c r="AG81" s="671">
        <v>-0.09</v>
      </c>
      <c r="AH81" s="671">
        <f t="shared" si="212"/>
        <v>0.16</v>
      </c>
      <c r="AI81" s="652">
        <f t="shared" si="213"/>
        <v>0.25</v>
      </c>
      <c r="AJ81" s="655">
        <f ca="1">VLOOKUP(AJ77,AF77:AI82,4)</f>
        <v>3.6666666666666667E-2</v>
      </c>
      <c r="AK81" s="543"/>
      <c r="AL81" s="693">
        <v>-20</v>
      </c>
      <c r="AM81" s="671"/>
      <c r="AN81" s="671">
        <f t="shared" si="231"/>
        <v>0.46</v>
      </c>
      <c r="AO81" s="652">
        <f t="shared" si="214"/>
        <v>3.3333333333333333E-2</v>
      </c>
      <c r="AP81" s="655">
        <f ca="1">VLOOKUP(AP77,AL77:AO82,4)</f>
        <v>3.3333333333333333E-2</v>
      </c>
      <c r="AQ81" s="543"/>
      <c r="AR81" s="693">
        <v>-20</v>
      </c>
      <c r="AS81" s="671"/>
      <c r="AT81" s="671">
        <f t="shared" si="215"/>
        <v>0.37</v>
      </c>
      <c r="AU81" s="652">
        <f t="shared" si="216"/>
        <v>0.03</v>
      </c>
      <c r="AV81" s="655">
        <f ca="1">VLOOKUP(AV77,AR77:AU82,4)</f>
        <v>0.03</v>
      </c>
      <c r="AW81" s="543"/>
      <c r="AX81" s="693">
        <v>-20</v>
      </c>
      <c r="AY81" s="671"/>
      <c r="AZ81" s="553">
        <f t="shared" si="217"/>
        <v>0.54</v>
      </c>
      <c r="BA81" s="541">
        <f t="shared" si="218"/>
        <v>0.26333333333333336</v>
      </c>
      <c r="BB81" s="655">
        <f ca="1">VLOOKUP(BB77,AX77:BA82,4)</f>
        <v>0.26333333333333336</v>
      </c>
      <c r="BC81" s="543"/>
      <c r="BD81" s="693">
        <v>-20</v>
      </c>
      <c r="BE81" s="671"/>
      <c r="BF81" s="553">
        <f t="shared" si="219"/>
        <v>-0.91</v>
      </c>
      <c r="BG81" s="541">
        <f t="shared" si="220"/>
        <v>3.3333333333333333E-2</v>
      </c>
      <c r="BH81" s="655">
        <f ca="1">VLOOKUP(BH77,BD77:BG82,4)</f>
        <v>3.3333333333333333E-2</v>
      </c>
      <c r="BI81" s="543"/>
      <c r="BJ81" s="693">
        <v>-20</v>
      </c>
      <c r="BK81" s="671"/>
      <c r="BL81" s="553">
        <f t="shared" si="221"/>
        <v>0.54</v>
      </c>
      <c r="BM81" s="541">
        <f t="shared" si="222"/>
        <v>0.26333333333333336</v>
      </c>
      <c r="BN81" s="655">
        <f ca="1">VLOOKUP(BN77,BJ77:BM82,4)</f>
        <v>0.26333333333333336</v>
      </c>
      <c r="BO81" s="543"/>
      <c r="BP81" s="693">
        <v>-20</v>
      </c>
      <c r="BQ81" s="671"/>
      <c r="BR81" s="671">
        <f t="shared" si="223"/>
        <v>-1.3</v>
      </c>
      <c r="BS81" s="541">
        <f t="shared" si="224"/>
        <v>2.3333333333333334E-2</v>
      </c>
      <c r="BT81" s="655">
        <f ca="1">VLOOKUP(BT77,BP77:BS82,4)</f>
        <v>2.3333333333333334E-2</v>
      </c>
      <c r="BU81" s="543"/>
      <c r="BV81" s="693">
        <v>-20</v>
      </c>
      <c r="BW81" s="671"/>
      <c r="BX81" s="553">
        <f t="shared" si="225"/>
        <v>-1.34</v>
      </c>
      <c r="BY81" s="541">
        <f t="shared" si="226"/>
        <v>2.3333333333333334E-2</v>
      </c>
      <c r="BZ81" s="655">
        <f ca="1">VLOOKUP(BZ77,BV77:BY82,4)</f>
        <v>2.3333333333333334E-2</v>
      </c>
      <c r="CA81" s="543"/>
      <c r="CB81" s="693">
        <v>-20</v>
      </c>
      <c r="CC81" s="671">
        <f t="shared" si="232"/>
        <v>-1.1000000000000001</v>
      </c>
      <c r="CD81" s="671">
        <v>-0.7</v>
      </c>
      <c r="CE81" s="541">
        <f t="shared" si="227"/>
        <v>0.40000000000000013</v>
      </c>
      <c r="CF81" s="655">
        <f ca="1">VLOOKUP(CF77,CB77:CE82,4)</f>
        <v>6.6666666666666666E-2</v>
      </c>
      <c r="CH81" s="693">
        <v>-20</v>
      </c>
      <c r="CI81" s="671">
        <f t="shared" si="200"/>
        <v>-0.15</v>
      </c>
      <c r="CJ81" s="671"/>
      <c r="CK81" s="541">
        <f t="shared" si="228"/>
        <v>7.3333333333333334E-2</v>
      </c>
      <c r="CL81" s="655">
        <f ca="1">VLOOKUP(CL77,CH77:CK82,4)</f>
        <v>7.3333333333333334E-2</v>
      </c>
      <c r="CN81" s="693">
        <v>-20</v>
      </c>
      <c r="CO81" s="671">
        <f t="shared" si="201"/>
        <v>-1.8</v>
      </c>
      <c r="CP81" s="671">
        <f t="shared" si="229"/>
        <v>-0.51</v>
      </c>
      <c r="CQ81" s="541">
        <f t="shared" si="230"/>
        <v>1.29</v>
      </c>
      <c r="CR81" s="655">
        <f ca="1">VLOOKUP(CR77,CN77:CQ82,4)</f>
        <v>0.25666666666666665</v>
      </c>
    </row>
    <row r="82" spans="2:96" ht="13">
      <c r="B82" s="693">
        <v>-15</v>
      </c>
      <c r="C82" s="671">
        <v>-0.36</v>
      </c>
      <c r="D82" s="671">
        <f t="shared" si="202"/>
        <v>-0.3</v>
      </c>
      <c r="E82" s="652">
        <f t="shared" si="203"/>
        <v>0.06</v>
      </c>
      <c r="F82" s="651"/>
      <c r="G82" s="554"/>
      <c r="H82" s="693">
        <v>-15</v>
      </c>
      <c r="I82" s="671">
        <v>-0.62</v>
      </c>
      <c r="J82" s="671">
        <f t="shared" si="204"/>
        <v>-0.42</v>
      </c>
      <c r="K82" s="652">
        <f t="shared" si="205"/>
        <v>0.2</v>
      </c>
      <c r="L82" s="651"/>
      <c r="M82" s="554"/>
      <c r="N82" s="693">
        <v>-15</v>
      </c>
      <c r="O82" s="671">
        <v>-0.53</v>
      </c>
      <c r="P82" s="671">
        <f t="shared" si="206"/>
        <v>-0.53</v>
      </c>
      <c r="Q82" s="652">
        <f t="shared" si="207"/>
        <v>0</v>
      </c>
      <c r="R82" s="651"/>
      <c r="S82" s="543"/>
      <c r="T82" s="693">
        <v>-15</v>
      </c>
      <c r="U82" s="671"/>
      <c r="V82" s="671">
        <f t="shared" si="208"/>
        <v>-1.1000000000000001</v>
      </c>
      <c r="W82" s="652">
        <f t="shared" si="209"/>
        <v>4.3333333333333335E-2</v>
      </c>
      <c r="X82" s="651"/>
      <c r="Y82" s="543"/>
      <c r="Z82" s="693">
        <v>-15</v>
      </c>
      <c r="AA82" s="671">
        <v>0</v>
      </c>
      <c r="AB82" s="671">
        <f t="shared" si="210"/>
        <v>0.18</v>
      </c>
      <c r="AC82" s="652">
        <f t="shared" si="211"/>
        <v>0.03</v>
      </c>
      <c r="AD82" s="651"/>
      <c r="AE82" s="543"/>
      <c r="AF82" s="693">
        <v>-15</v>
      </c>
      <c r="AG82" s="671">
        <v>0</v>
      </c>
      <c r="AH82" s="671">
        <f t="shared" si="212"/>
        <v>0.2</v>
      </c>
      <c r="AI82" s="652">
        <f t="shared" si="213"/>
        <v>3.6666666666666667E-2</v>
      </c>
      <c r="AJ82" s="651"/>
      <c r="AK82" s="543"/>
      <c r="AL82" s="693">
        <v>-15</v>
      </c>
      <c r="AM82" s="671"/>
      <c r="AN82" s="671">
        <f t="shared" si="231"/>
        <v>0.47</v>
      </c>
      <c r="AO82" s="652">
        <f t="shared" si="214"/>
        <v>3.3333333333333333E-2</v>
      </c>
      <c r="AP82" s="651"/>
      <c r="AQ82" s="543"/>
      <c r="AR82" s="693">
        <v>-15</v>
      </c>
      <c r="AS82" s="671"/>
      <c r="AT82" s="671">
        <f t="shared" si="215"/>
        <v>0.39</v>
      </c>
      <c r="AU82" s="652">
        <f t="shared" si="216"/>
        <v>0.03</v>
      </c>
      <c r="AV82" s="651"/>
      <c r="AW82" s="543"/>
      <c r="AX82" s="693">
        <v>-15</v>
      </c>
      <c r="AY82" s="671"/>
      <c r="AZ82" s="553">
        <f t="shared" si="217"/>
        <v>0</v>
      </c>
      <c r="BA82" s="541">
        <f t="shared" si="218"/>
        <v>0.26333333333333336</v>
      </c>
      <c r="BB82" s="651"/>
      <c r="BC82" s="543"/>
      <c r="BD82" s="693">
        <v>-15</v>
      </c>
      <c r="BE82" s="671"/>
      <c r="BF82" s="553">
        <f t="shared" si="219"/>
        <v>-0.66</v>
      </c>
      <c r="BG82" s="541">
        <f t="shared" si="220"/>
        <v>3.3333333333333333E-2</v>
      </c>
      <c r="BH82" s="651"/>
      <c r="BI82" s="543"/>
      <c r="BJ82" s="693">
        <v>-15</v>
      </c>
      <c r="BK82" s="671"/>
      <c r="BL82" s="553">
        <f t="shared" si="221"/>
        <v>0</v>
      </c>
      <c r="BM82" s="541">
        <f t="shared" si="222"/>
        <v>0.26333333333333336</v>
      </c>
      <c r="BN82" s="651"/>
      <c r="BO82" s="543"/>
      <c r="BP82" s="693">
        <v>-15</v>
      </c>
      <c r="BQ82" s="671"/>
      <c r="BR82" s="671">
        <f t="shared" si="223"/>
        <v>-1.05</v>
      </c>
      <c r="BS82" s="541">
        <f t="shared" si="224"/>
        <v>2.3333333333333334E-2</v>
      </c>
      <c r="BT82" s="651"/>
      <c r="BU82" s="543"/>
      <c r="BV82" s="693">
        <v>-15</v>
      </c>
      <c r="BW82" s="671"/>
      <c r="BX82" s="553">
        <f t="shared" si="225"/>
        <v>-1.05</v>
      </c>
      <c r="BY82" s="541">
        <f t="shared" si="226"/>
        <v>2.3333333333333334E-2</v>
      </c>
      <c r="BZ82" s="651"/>
      <c r="CA82" s="543"/>
      <c r="CB82" s="693">
        <v>-15</v>
      </c>
      <c r="CC82" s="671">
        <f t="shared" si="232"/>
        <v>-1.1000000000000001</v>
      </c>
      <c r="CD82" s="671">
        <v>-0.7</v>
      </c>
      <c r="CE82" s="541">
        <f t="shared" si="227"/>
        <v>0.40000000000000013</v>
      </c>
      <c r="CF82" s="651"/>
      <c r="CH82" s="693">
        <v>-15</v>
      </c>
      <c r="CI82" s="671">
        <f t="shared" si="200"/>
        <v>-0.1</v>
      </c>
      <c r="CJ82" s="671"/>
      <c r="CK82" s="541">
        <f t="shared" si="228"/>
        <v>9.0000000000000011E-2</v>
      </c>
      <c r="CL82" s="651"/>
      <c r="CN82" s="693">
        <v>-15</v>
      </c>
      <c r="CO82" s="671">
        <f t="shared" si="201"/>
        <v>-1.52</v>
      </c>
      <c r="CP82" s="671">
        <f t="shared" si="229"/>
        <v>-0.39</v>
      </c>
      <c r="CQ82" s="541">
        <f t="shared" si="230"/>
        <v>1.1299999999999999</v>
      </c>
      <c r="CR82" s="651"/>
    </row>
    <row r="83" spans="2:96" ht="13">
      <c r="B83" s="693">
        <v>-10</v>
      </c>
      <c r="C83" s="671">
        <v>-0.31</v>
      </c>
      <c r="D83" s="671">
        <f t="shared" si="202"/>
        <v>-0.25</v>
      </c>
      <c r="E83" s="652">
        <f t="shared" si="203"/>
        <v>0.06</v>
      </c>
      <c r="F83" s="655">
        <f ca="1">VLOOKUP(F79,B77:E82,4)</f>
        <v>9.3333333333333338E-2</v>
      </c>
      <c r="G83" s="554"/>
      <c r="H83" s="693">
        <v>-10</v>
      </c>
      <c r="I83" s="671"/>
      <c r="J83" s="671">
        <f t="shared" si="204"/>
        <v>-0.35</v>
      </c>
      <c r="K83" s="652">
        <f t="shared" si="205"/>
        <v>0.18666666666666668</v>
      </c>
      <c r="L83" s="655">
        <f ca="1">VLOOKUP(L79,H77:K82,4)</f>
        <v>0.18666666666666668</v>
      </c>
      <c r="M83" s="554"/>
      <c r="N83" s="693">
        <v>-10</v>
      </c>
      <c r="O83" s="671">
        <v>-0.44</v>
      </c>
      <c r="P83" s="671">
        <f t="shared" si="206"/>
        <v>-0.44</v>
      </c>
      <c r="Q83" s="652">
        <f t="shared" si="207"/>
        <v>0</v>
      </c>
      <c r="R83" s="655">
        <f ca="1">VLOOKUP(R79,N77:Q82,4)</f>
        <v>0</v>
      </c>
      <c r="S83" s="543"/>
      <c r="T83" s="693">
        <v>-10</v>
      </c>
      <c r="U83" s="671"/>
      <c r="V83" s="671">
        <f t="shared" si="208"/>
        <v>-0.85</v>
      </c>
      <c r="W83" s="652">
        <f t="shared" si="209"/>
        <v>4.3333333333333335E-2</v>
      </c>
      <c r="X83" s="655">
        <f ca="1">VLOOKUP(X79,T77:W82,4)</f>
        <v>4.3333333333333335E-2</v>
      </c>
      <c r="Y83" s="543"/>
      <c r="Z83" s="693">
        <v>-10</v>
      </c>
      <c r="AA83" s="671">
        <v>-0.23</v>
      </c>
      <c r="AB83" s="671">
        <f t="shared" si="210"/>
        <v>0.21</v>
      </c>
      <c r="AC83" s="652">
        <f t="shared" si="211"/>
        <v>0.44</v>
      </c>
      <c r="AD83" s="655">
        <f ca="1">VLOOKUP(AD79,Z77:AC82,4)</f>
        <v>0.03</v>
      </c>
      <c r="AE83" s="543"/>
      <c r="AF83" s="693">
        <v>-10</v>
      </c>
      <c r="AG83" s="671">
        <v>0.12</v>
      </c>
      <c r="AH83" s="671">
        <f t="shared" si="212"/>
        <v>0.22</v>
      </c>
      <c r="AI83" s="652">
        <f t="shared" si="213"/>
        <v>0.1</v>
      </c>
      <c r="AJ83" s="655">
        <f ca="1">VLOOKUP(AJ79,AF77:AI82,4)</f>
        <v>3.6666666666666667E-2</v>
      </c>
      <c r="AK83" s="543"/>
      <c r="AL83" s="693">
        <v>-10</v>
      </c>
      <c r="AM83" s="671"/>
      <c r="AN83" s="671">
        <f t="shared" si="231"/>
        <v>0.48</v>
      </c>
      <c r="AO83" s="652">
        <f t="shared" si="214"/>
        <v>3.3333333333333333E-2</v>
      </c>
      <c r="AP83" s="655">
        <f ca="1">VLOOKUP(AP79,AL77:AO82,4)</f>
        <v>3.3333333333333333E-2</v>
      </c>
      <c r="AQ83" s="543"/>
      <c r="AR83" s="693">
        <v>-10</v>
      </c>
      <c r="AS83" s="671"/>
      <c r="AT83" s="671">
        <f t="shared" si="215"/>
        <v>0.4</v>
      </c>
      <c r="AU83" s="652">
        <f t="shared" si="216"/>
        <v>0.03</v>
      </c>
      <c r="AV83" s="655">
        <f ca="1">VLOOKUP(AV79,AR77:AU82,4)</f>
        <v>0.03</v>
      </c>
      <c r="AW83" s="543"/>
      <c r="AX83" s="693">
        <v>-10</v>
      </c>
      <c r="AY83" s="671"/>
      <c r="AZ83" s="553">
        <f t="shared" si="217"/>
        <v>0.52</v>
      </c>
      <c r="BA83" s="541">
        <f t="shared" si="218"/>
        <v>0.26333333333333336</v>
      </c>
      <c r="BB83" s="655">
        <f ca="1">VLOOKUP(BB79,AX77:BA82,4)</f>
        <v>0.26333333333333336</v>
      </c>
      <c r="BC83" s="543"/>
      <c r="BD83" s="693">
        <v>-10</v>
      </c>
      <c r="BE83" s="671"/>
      <c r="BF83" s="553">
        <f t="shared" si="219"/>
        <v>-0.47</v>
      </c>
      <c r="BG83" s="541">
        <f t="shared" si="220"/>
        <v>3.3333333333333333E-2</v>
      </c>
      <c r="BH83" s="655">
        <f ca="1">VLOOKUP(BH79,BD77:BG82,4)</f>
        <v>3.3333333333333333E-2</v>
      </c>
      <c r="BI83" s="543"/>
      <c r="BJ83" s="693">
        <v>-10</v>
      </c>
      <c r="BK83" s="671"/>
      <c r="BL83" s="553">
        <f t="shared" si="221"/>
        <v>0.52</v>
      </c>
      <c r="BM83" s="541">
        <f t="shared" si="222"/>
        <v>0.26333333333333336</v>
      </c>
      <c r="BN83" s="655">
        <f ca="1">VLOOKUP(BN79,BJ77:BM82,4)</f>
        <v>0.26333333333333336</v>
      </c>
      <c r="BO83" s="543"/>
      <c r="BP83" s="693">
        <v>-10</v>
      </c>
      <c r="BQ83" s="671"/>
      <c r="BR83" s="671">
        <f t="shared" si="223"/>
        <v>-0.84</v>
      </c>
      <c r="BS83" s="541">
        <f t="shared" si="224"/>
        <v>2.3333333333333334E-2</v>
      </c>
      <c r="BT83" s="655">
        <f ca="1">VLOOKUP(BT79,BP77:BS82,4)</f>
        <v>2.3333333333333334E-2</v>
      </c>
      <c r="BU83" s="543"/>
      <c r="BV83" s="693">
        <v>-10</v>
      </c>
      <c r="BW83" s="671"/>
      <c r="BX83" s="553">
        <f t="shared" si="225"/>
        <v>-0.81</v>
      </c>
      <c r="BY83" s="541">
        <f t="shared" si="226"/>
        <v>2.3333333333333334E-2</v>
      </c>
      <c r="BZ83" s="655">
        <f ca="1">VLOOKUP(BZ79,BV77:BY82,4)</f>
        <v>2.3333333333333334E-2</v>
      </c>
      <c r="CA83" s="543"/>
      <c r="CB83" s="693">
        <v>-10</v>
      </c>
      <c r="CC83" s="671">
        <f t="shared" si="232"/>
        <v>-1.2</v>
      </c>
      <c r="CD83" s="671">
        <v>-0.7</v>
      </c>
      <c r="CE83" s="541">
        <f t="shared" si="227"/>
        <v>0.5</v>
      </c>
      <c r="CF83" s="655">
        <f ca="1">VLOOKUP(CF79,CB77:CE82,4)</f>
        <v>6.6666666666666666E-2</v>
      </c>
      <c r="CH83" s="693">
        <v>-10</v>
      </c>
      <c r="CI83" s="671">
        <f t="shared" si="200"/>
        <v>-0.05</v>
      </c>
      <c r="CJ83" s="671"/>
      <c r="CK83" s="541">
        <f t="shared" si="228"/>
        <v>6.2E-2</v>
      </c>
      <c r="CL83" s="655">
        <f ca="1">VLOOKUP(CL79,CH77:CK82,4)</f>
        <v>7.3333333333333334E-2</v>
      </c>
      <c r="CN83" s="693">
        <v>-10</v>
      </c>
      <c r="CO83" s="671">
        <f t="shared" si="201"/>
        <v>-1.26</v>
      </c>
      <c r="CP83" s="671">
        <f t="shared" si="229"/>
        <v>-0.28000000000000003</v>
      </c>
      <c r="CQ83" s="541">
        <f t="shared" si="230"/>
        <v>0.98</v>
      </c>
      <c r="CR83" s="655">
        <f ca="1">VLOOKUP(CR79,CN77:CQ82,4)</f>
        <v>0.25666666666666665</v>
      </c>
    </row>
    <row r="84" spans="2:96" ht="13">
      <c r="B84" s="693">
        <v>-5</v>
      </c>
      <c r="C84" s="671"/>
      <c r="D84" s="671"/>
      <c r="E84" s="652"/>
      <c r="F84" s="1340"/>
      <c r="G84" s="554"/>
      <c r="H84" s="693">
        <v>-5</v>
      </c>
      <c r="I84" s="671"/>
      <c r="J84" s="671"/>
      <c r="K84" s="652"/>
      <c r="L84" s="1340"/>
      <c r="M84" s="554"/>
      <c r="N84" s="693">
        <v>-5</v>
      </c>
      <c r="O84" s="671">
        <v>0</v>
      </c>
      <c r="P84" s="671">
        <f t="shared" si="206"/>
        <v>0</v>
      </c>
      <c r="Q84" s="652"/>
      <c r="R84" s="1340"/>
      <c r="S84" s="543"/>
      <c r="T84" s="693">
        <v>-5</v>
      </c>
      <c r="U84" s="671"/>
      <c r="V84" s="671"/>
      <c r="W84" s="652"/>
      <c r="X84" s="1340"/>
      <c r="Y84" s="543"/>
      <c r="Z84" s="693">
        <v>-5</v>
      </c>
      <c r="AA84" s="671">
        <v>0</v>
      </c>
      <c r="AB84" s="671">
        <f t="shared" si="210"/>
        <v>0.22</v>
      </c>
      <c r="AC84" s="652">
        <f t="shared" si="211"/>
        <v>0.03</v>
      </c>
      <c r="AD84" s="1340"/>
      <c r="AE84" s="543"/>
      <c r="AF84" s="693">
        <v>-5</v>
      </c>
      <c r="AG84" s="671">
        <v>0</v>
      </c>
      <c r="AH84" s="671">
        <f t="shared" si="212"/>
        <v>0.23</v>
      </c>
      <c r="AI84" s="652">
        <f t="shared" si="213"/>
        <v>3.6666666666666667E-2</v>
      </c>
      <c r="AJ84" s="1340"/>
      <c r="AK84" s="543"/>
      <c r="AL84" s="693">
        <v>-5</v>
      </c>
      <c r="AM84" s="671"/>
      <c r="AN84" s="671">
        <f t="shared" si="231"/>
        <v>0.48</v>
      </c>
      <c r="AO84" s="652">
        <f t="shared" si="214"/>
        <v>3.3333333333333333E-2</v>
      </c>
      <c r="AP84" s="1340"/>
      <c r="AQ84" s="543"/>
      <c r="AR84" s="693">
        <v>-5</v>
      </c>
      <c r="AS84" s="671"/>
      <c r="AT84" s="671">
        <f t="shared" si="215"/>
        <v>0.4</v>
      </c>
      <c r="AU84" s="652">
        <f t="shared" si="216"/>
        <v>0.03</v>
      </c>
      <c r="AV84" s="1340"/>
      <c r="AW84" s="543"/>
      <c r="AX84" s="693">
        <v>-5</v>
      </c>
      <c r="AY84" s="671"/>
      <c r="AZ84" s="553">
        <f t="shared" si="217"/>
        <v>0</v>
      </c>
      <c r="BA84" s="541">
        <f t="shared" si="218"/>
        <v>0.26333333333333336</v>
      </c>
      <c r="BB84" s="1340"/>
      <c r="BC84" s="543"/>
      <c r="BD84" s="693">
        <v>-5</v>
      </c>
      <c r="BE84" s="671"/>
      <c r="BF84" s="553">
        <f t="shared" si="219"/>
        <v>0</v>
      </c>
      <c r="BG84" s="541">
        <f t="shared" si="220"/>
        <v>3.3333333333333333E-2</v>
      </c>
      <c r="BH84" s="1340"/>
      <c r="BI84" s="543"/>
      <c r="BJ84" s="693">
        <v>-5</v>
      </c>
      <c r="BK84" s="671"/>
      <c r="BL84" s="553">
        <f t="shared" si="221"/>
        <v>0</v>
      </c>
      <c r="BM84" s="541">
        <f t="shared" si="222"/>
        <v>0.26333333333333336</v>
      </c>
      <c r="BN84" s="1340"/>
      <c r="BO84" s="543"/>
      <c r="BP84" s="693">
        <v>-5</v>
      </c>
      <c r="BQ84" s="671"/>
      <c r="BR84" s="671">
        <f t="shared" si="223"/>
        <v>0</v>
      </c>
      <c r="BS84" s="541">
        <f t="shared" si="224"/>
        <v>2.3333333333333334E-2</v>
      </c>
      <c r="BT84" s="1340"/>
      <c r="BU84" s="543"/>
      <c r="BV84" s="693">
        <v>-5</v>
      </c>
      <c r="BW84" s="671"/>
      <c r="BX84" s="553">
        <f t="shared" si="225"/>
        <v>0</v>
      </c>
      <c r="BY84" s="541">
        <f t="shared" si="226"/>
        <v>2.3333333333333334E-2</v>
      </c>
      <c r="BZ84" s="1340"/>
      <c r="CA84" s="543"/>
      <c r="CB84" s="693">
        <v>-5</v>
      </c>
      <c r="CC84" s="671">
        <f t="shared" si="232"/>
        <v>0</v>
      </c>
      <c r="CD84" s="671"/>
      <c r="CE84" s="541">
        <f t="shared" si="227"/>
        <v>6.6666666666666666E-2</v>
      </c>
      <c r="CF84" s="1340"/>
      <c r="CH84" s="693">
        <v>-5</v>
      </c>
      <c r="CI84" s="671">
        <f t="shared" si="200"/>
        <v>0</v>
      </c>
      <c r="CJ84" s="671"/>
      <c r="CK84" s="541">
        <f t="shared" si="228"/>
        <v>7.3333333333333334E-2</v>
      </c>
      <c r="CL84" s="1340"/>
      <c r="CN84" s="693">
        <v>-5</v>
      </c>
      <c r="CO84" s="671">
        <f t="shared" si="201"/>
        <v>0</v>
      </c>
      <c r="CP84" s="671"/>
      <c r="CQ84" s="541"/>
      <c r="CR84" s="1340"/>
    </row>
    <row r="85" spans="2:96" ht="13">
      <c r="B85" s="693">
        <v>0</v>
      </c>
      <c r="C85" s="671">
        <v>-0.22</v>
      </c>
      <c r="D85" s="671">
        <f>C179</f>
        <v>-0.16</v>
      </c>
      <c r="E85" s="652">
        <f>IF(OR(C85=0,D85=0),$C$180/3,((MAX(C85:D85)-(MIN(C85:D85)))))</f>
        <v>0.06</v>
      </c>
      <c r="F85" s="1339">
        <f ca="1">(((F83-F81)/(F79-F77))*(F76-F77))+F81</f>
        <v>9.3333333333333338E-2</v>
      </c>
      <c r="G85" s="554"/>
      <c r="H85" s="693">
        <v>0</v>
      </c>
      <c r="I85" s="671">
        <v>-0.28000000000000003</v>
      </c>
      <c r="J85" s="671">
        <f>D179</f>
        <v>-0.22</v>
      </c>
      <c r="K85" s="652">
        <f>IF(OR(I85=0,J85=0),$D$180/3,((MAX(I85:J85)-(MIN(I85:J85)))))</f>
        <v>6.0000000000000026E-2</v>
      </c>
      <c r="L85" s="1339">
        <f ca="1">(((L83-L81)/(L79-L77))*(L76-L77))+L81</f>
        <v>0.18666666666666668</v>
      </c>
      <c r="M85" s="554"/>
      <c r="N85" s="693">
        <v>0</v>
      </c>
      <c r="O85" s="671">
        <v>-0.36</v>
      </c>
      <c r="P85" s="671">
        <f t="shared" si="206"/>
        <v>-0.36</v>
      </c>
      <c r="Q85" s="652">
        <f>IF(OR(O85=0,P85=0),$E$180/3,((MAX(O85:P85)-(MIN(O85:P85)))))</f>
        <v>0</v>
      </c>
      <c r="R85" s="1339">
        <f ca="1">(((R83-R81)/(R79-R77))*(R76-R77))+R81</f>
        <v>4.4018000000000126E-2</v>
      </c>
      <c r="S85" s="543"/>
      <c r="T85" s="693">
        <v>0</v>
      </c>
      <c r="U85" s="671"/>
      <c r="V85" s="671">
        <f>F179</f>
        <v>-0.28000000000000003</v>
      </c>
      <c r="W85" s="652">
        <f>IF(OR(U85=0,V85=0),$F$180/3,((MAX(U85:V85)-(MIN(U85:V85)))))</f>
        <v>4.3333333333333335E-2</v>
      </c>
      <c r="X85" s="1339">
        <f ca="1">(((X83-X81)/(X79-X77))*(X76-X77))+X81</f>
        <v>4.3333333333333335E-2</v>
      </c>
      <c r="Y85" s="543"/>
      <c r="Z85" s="693">
        <v>0</v>
      </c>
      <c r="AA85" s="671">
        <v>0.01</v>
      </c>
      <c r="AB85" s="671">
        <f t="shared" si="210"/>
        <v>0.18</v>
      </c>
      <c r="AC85" s="652">
        <f t="shared" si="211"/>
        <v>0.16999999999999998</v>
      </c>
      <c r="AD85" s="1339">
        <f ca="1">(((AD83-AD81)/(AD79-AD77))*(AD76-AD77))+AD81</f>
        <v>0.03</v>
      </c>
      <c r="AE85" s="543"/>
      <c r="AF85" s="693">
        <v>0</v>
      </c>
      <c r="AG85" s="671">
        <v>0.28999999999999998</v>
      </c>
      <c r="AH85" s="671">
        <f t="shared" si="212"/>
        <v>0.21</v>
      </c>
      <c r="AI85" s="652">
        <f t="shared" si="213"/>
        <v>7.9999999999999988E-2</v>
      </c>
      <c r="AJ85" s="1339">
        <f ca="1">(((AJ83-AJ81)/(AJ79-AJ77))*(AJ76-AJ77))+AJ81</f>
        <v>3.6666666666666667E-2</v>
      </c>
      <c r="AK85" s="543"/>
      <c r="AL85" s="693">
        <v>0</v>
      </c>
      <c r="AM85" s="671"/>
      <c r="AN85" s="671">
        <f>AA179</f>
        <v>0.46</v>
      </c>
      <c r="AO85" s="652">
        <f t="shared" si="214"/>
        <v>3.3333333333333333E-2</v>
      </c>
      <c r="AP85" s="1339">
        <f ca="1">(((AP83-AP81)/(AP79-AP77))*(AP76-AP77))+AP81</f>
        <v>3.3333333333333333E-2</v>
      </c>
      <c r="AQ85" s="543"/>
      <c r="AR85" s="693">
        <v>0</v>
      </c>
      <c r="AS85" s="671"/>
      <c r="AT85" s="671">
        <f t="shared" si="215"/>
        <v>0.39</v>
      </c>
      <c r="AU85" s="652">
        <f t="shared" si="216"/>
        <v>0.03</v>
      </c>
      <c r="AV85" s="1339">
        <f ca="1">(((AV83-AV81)/(AV79-AV77))*(AV76-AV77))+AV81</f>
        <v>0.03</v>
      </c>
      <c r="AW85" s="543"/>
      <c r="AX85" s="693">
        <v>0</v>
      </c>
      <c r="AY85" s="671"/>
      <c r="AZ85" s="553">
        <f t="shared" si="217"/>
        <v>0.5</v>
      </c>
      <c r="BA85" s="541">
        <f t="shared" si="218"/>
        <v>0.26333333333333336</v>
      </c>
      <c r="BB85" s="1339">
        <f ca="1">(((BB83-BB81)/(BB79-BB77))*(BB76-BB77))+BB81</f>
        <v>0.26333333333333336</v>
      </c>
      <c r="BC85" s="543"/>
      <c r="BD85" s="693">
        <v>0</v>
      </c>
      <c r="BE85" s="671"/>
      <c r="BF85" s="553">
        <f t="shared" si="219"/>
        <v>-0.25</v>
      </c>
      <c r="BG85" s="541">
        <f t="shared" si="220"/>
        <v>3.3333333333333333E-2</v>
      </c>
      <c r="BH85" s="1339">
        <f ca="1">(((BH83-BH81)/(BH79-BH77))*(BH76-BH77))+BH81</f>
        <v>3.3333333333333333E-2</v>
      </c>
      <c r="BI85" s="543"/>
      <c r="BJ85" s="693">
        <v>0</v>
      </c>
      <c r="BK85" s="671"/>
      <c r="BL85" s="553">
        <f t="shared" si="221"/>
        <v>0.5</v>
      </c>
      <c r="BM85" s="541">
        <f t="shared" si="222"/>
        <v>0.26333333333333336</v>
      </c>
      <c r="BN85" s="1339">
        <f ca="1">(((BN83-BN81)/(BN79-BN77))*(BN76-BN77))+BN81</f>
        <v>0.26333333333333336</v>
      </c>
      <c r="BO85" s="543"/>
      <c r="BP85" s="693">
        <v>0</v>
      </c>
      <c r="BQ85" s="671"/>
      <c r="BR85" s="671">
        <f t="shared" si="223"/>
        <v>-0.57999999999999996</v>
      </c>
      <c r="BS85" s="541">
        <f t="shared" si="224"/>
        <v>2.3333333333333334E-2</v>
      </c>
      <c r="BT85" s="1339">
        <f ca="1">(((BT83-BT81)/(BT79-BT77))*(BT76-BT77))+BT81</f>
        <v>2.3333333333333334E-2</v>
      </c>
      <c r="BU85" s="543"/>
      <c r="BV85" s="693">
        <v>0</v>
      </c>
      <c r="BW85" s="671"/>
      <c r="BX85" s="553">
        <f t="shared" si="225"/>
        <v>-0.46</v>
      </c>
      <c r="BY85" s="541">
        <f t="shared" si="226"/>
        <v>2.3333333333333334E-2</v>
      </c>
      <c r="BZ85" s="1339">
        <f ca="1">(((BZ83-BZ81)/(BZ79-BZ77))*(BZ76-BZ77))+BZ81</f>
        <v>2.3333333333333334E-2</v>
      </c>
      <c r="CA85" s="543"/>
      <c r="CB85" s="693">
        <v>0</v>
      </c>
      <c r="CC85" s="671">
        <f t="shared" si="232"/>
        <v>-1.4</v>
      </c>
      <c r="CD85" s="671">
        <v>-0.7</v>
      </c>
      <c r="CE85" s="541">
        <f t="shared" si="227"/>
        <v>0.7</v>
      </c>
      <c r="CF85" s="1339">
        <f ca="1">(((CF83-CF81)/(CF79-CF77))*(CF76-CF77))+CF81</f>
        <v>6.6666666666666666E-2</v>
      </c>
      <c r="CH85" s="693">
        <v>0</v>
      </c>
      <c r="CI85" s="671">
        <f t="shared" si="200"/>
        <v>0.03</v>
      </c>
      <c r="CJ85" s="671"/>
      <c r="CK85" s="541">
        <f t="shared" si="228"/>
        <v>2.5999999999999999E-2</v>
      </c>
      <c r="CL85" s="1339">
        <f ca="1">(((CL83-CL81)/(CL79-CL77))*(CL76-CL77))+CL81</f>
        <v>7.3333333333333334E-2</v>
      </c>
      <c r="CN85" s="693">
        <v>0</v>
      </c>
      <c r="CO85" s="671">
        <f t="shared" si="201"/>
        <v>-0.79</v>
      </c>
      <c r="CP85" s="671">
        <f>CP13</f>
        <v>-0.08</v>
      </c>
      <c r="CQ85" s="541">
        <f>CQ73</f>
        <v>0.71000000000000008</v>
      </c>
      <c r="CR85" s="1339">
        <f ca="1">(((CR83-CR81)/(CR79-CR77))*(CR76-CR77))+CR81</f>
        <v>0.25666666666666665</v>
      </c>
    </row>
    <row r="86" spans="2:96" s="543" customFormat="1" ht="13">
      <c r="B86" s="678"/>
      <c r="C86" s="679"/>
      <c r="D86" s="679"/>
      <c r="E86" s="683"/>
      <c r="F86" s="554"/>
      <c r="G86" s="554"/>
      <c r="H86" s="678"/>
      <c r="I86" s="679"/>
      <c r="J86" s="679"/>
      <c r="K86" s="683"/>
      <c r="L86" s="554"/>
      <c r="M86" s="554"/>
      <c r="N86" s="678"/>
      <c r="O86" s="679"/>
      <c r="P86" s="679"/>
      <c r="Q86" s="683"/>
      <c r="R86" s="554"/>
      <c r="T86" s="678"/>
      <c r="U86" s="679"/>
      <c r="V86" s="679"/>
      <c r="W86" s="683"/>
      <c r="X86" s="554"/>
      <c r="Z86" s="678"/>
      <c r="AA86" s="679"/>
      <c r="AB86" s="679"/>
      <c r="AC86" s="683"/>
      <c r="AD86" s="554"/>
      <c r="AF86" s="678"/>
      <c r="AG86" s="679"/>
      <c r="AH86" s="679"/>
      <c r="AI86" s="683"/>
      <c r="AJ86" s="554"/>
      <c r="AL86" s="558"/>
      <c r="AM86" s="679"/>
      <c r="AN86" s="679"/>
      <c r="AO86" s="683"/>
      <c r="AP86" s="554"/>
      <c r="AR86" s="558"/>
      <c r="AS86" s="679"/>
      <c r="AT86" s="679"/>
      <c r="AU86" s="683"/>
      <c r="AV86" s="554"/>
      <c r="AX86" s="678"/>
      <c r="AY86" s="544"/>
      <c r="AZ86" s="544"/>
      <c r="BA86" s="556"/>
      <c r="BB86" s="554"/>
      <c r="BD86" s="678"/>
      <c r="BE86" s="544"/>
      <c r="BF86" s="544"/>
      <c r="BG86" s="556"/>
      <c r="BH86" s="554"/>
      <c r="BJ86" s="678"/>
      <c r="BK86" s="544"/>
      <c r="BL86" s="544"/>
      <c r="BM86" s="556"/>
      <c r="BN86" s="554"/>
      <c r="BP86" s="678"/>
      <c r="BQ86" s="544"/>
      <c r="BR86" s="544"/>
      <c r="BS86" s="556"/>
      <c r="BT86" s="554"/>
      <c r="BV86" s="678"/>
      <c r="BW86" s="544"/>
      <c r="BX86" s="544"/>
      <c r="BY86" s="556"/>
      <c r="BZ86" s="554"/>
      <c r="CB86" s="678"/>
      <c r="CC86" s="544"/>
      <c r="CD86" s="544"/>
      <c r="CE86" s="556"/>
      <c r="CF86" s="554"/>
      <c r="CH86" s="678"/>
      <c r="CI86" s="544"/>
      <c r="CJ86" s="544"/>
      <c r="CK86" s="556"/>
      <c r="CL86" s="554"/>
      <c r="CN86" s="678"/>
      <c r="CO86" s="544"/>
      <c r="CP86" s="544"/>
      <c r="CQ86" s="556"/>
      <c r="CR86" s="554"/>
    </row>
    <row r="87" spans="2:96" ht="24.75" customHeight="1">
      <c r="B87" s="1195" t="s">
        <v>364</v>
      </c>
      <c r="C87" s="1197" t="str">
        <f>C75</f>
        <v>Thermocouple Data Logger, Merek : MADGETECH, Model : OctTemp 2000, SN : P40270</v>
      </c>
      <c r="D87" s="1197"/>
      <c r="E87" s="1197"/>
      <c r="F87" s="546" t="str">
        <f>F75</f>
        <v>Interpolasi</v>
      </c>
      <c r="G87" s="547"/>
      <c r="H87" s="1195" t="s">
        <v>364</v>
      </c>
      <c r="I87" s="1197" t="str">
        <f>I75</f>
        <v>Thermocouple Data Logger, Merek : MADGETECH, Model : OctTemp 2000, SN : P41878</v>
      </c>
      <c r="J87" s="1197"/>
      <c r="K87" s="1197"/>
      <c r="L87" s="546" t="str">
        <f>L75</f>
        <v>Interpolasi</v>
      </c>
      <c r="M87" s="547"/>
      <c r="N87" s="1195" t="s">
        <v>364</v>
      </c>
      <c r="O87" s="1197" t="str">
        <f>O75</f>
        <v>Mobile Corder, Merek : Yokogawa, Model : GP 10, SN : S5T810599</v>
      </c>
      <c r="P87" s="1198"/>
      <c r="Q87" s="1197"/>
      <c r="R87" s="546" t="str">
        <f>R75</f>
        <v>Interpolasi</v>
      </c>
      <c r="S87" s="543"/>
      <c r="T87" s="1195" t="s">
        <v>364</v>
      </c>
      <c r="U87" s="1197" t="str">
        <f>U75</f>
        <v>Wireless Temperature Recorder, Merek : HIOKI, Model : LR 8510, SN : 200936000</v>
      </c>
      <c r="V87" s="1198"/>
      <c r="W87" s="1197"/>
      <c r="X87" s="546" t="str">
        <f>X75</f>
        <v>Interpolasi</v>
      </c>
      <c r="Y87" s="543"/>
      <c r="Z87" s="1195" t="s">
        <v>364</v>
      </c>
      <c r="AA87" s="1197" t="str">
        <f>AA75</f>
        <v>Wireless Temperature Recorder, Merek : HIOKI, Model : LR 8510, SN : 200936001</v>
      </c>
      <c r="AB87" s="1198"/>
      <c r="AC87" s="1197"/>
      <c r="AD87" s="546" t="str">
        <f>AD75</f>
        <v>Interpolasi</v>
      </c>
      <c r="AE87" s="543"/>
      <c r="AF87" s="1195" t="s">
        <v>364</v>
      </c>
      <c r="AG87" s="1197" t="str">
        <f>AG75</f>
        <v>Wireless Temperature Recorder, Merek : HIOKI, Model : LR 8510, SN : 200821397</v>
      </c>
      <c r="AH87" s="1198"/>
      <c r="AI87" s="1197"/>
      <c r="AJ87" s="546" t="str">
        <f>AJ75</f>
        <v>Interpolasi</v>
      </c>
      <c r="AK87" s="543"/>
      <c r="AL87" s="1199" t="s">
        <v>364</v>
      </c>
      <c r="AM87" s="1197" t="str">
        <f>AM75</f>
        <v>Wireless Temperature Recorder, Merek : HIOKI, Model : LR 8510, SN : 210411983</v>
      </c>
      <c r="AN87" s="1198"/>
      <c r="AO87" s="1197"/>
      <c r="AP87" s="546" t="str">
        <f>AP75</f>
        <v>Interpolasi</v>
      </c>
      <c r="AQ87" s="543"/>
      <c r="AR87" s="1199" t="s">
        <v>364</v>
      </c>
      <c r="AS87" s="1197" t="str">
        <f>AS75</f>
        <v>Wireless Temperature Recorder, Merek : HIOKI, Model : LR 8510, SN : 210411984</v>
      </c>
      <c r="AT87" s="1198"/>
      <c r="AU87" s="1197"/>
      <c r="AV87" s="546" t="str">
        <f>AV75</f>
        <v>Interpolasi</v>
      </c>
      <c r="AW87" s="543"/>
      <c r="AX87" s="1195" t="s">
        <v>364</v>
      </c>
      <c r="AY87" s="1193" t="str">
        <f>AY75</f>
        <v>Wireless Temperature Recorder, Merek : HIOKI, Model : LR 8510, SN : 210411985</v>
      </c>
      <c r="AZ87" s="1194"/>
      <c r="BA87" s="1193"/>
      <c r="BB87" s="546" t="str">
        <f>BB75</f>
        <v>Interpolasi</v>
      </c>
      <c r="BC87" s="543"/>
      <c r="BD87" s="1195" t="s">
        <v>364</v>
      </c>
      <c r="BE87" s="1193" t="str">
        <f>BE75</f>
        <v>Wireless Temperature Recorder, Merek : HIOKI, Model : LR 8510, SN : 210746054</v>
      </c>
      <c r="BF87" s="1194"/>
      <c r="BG87" s="1193"/>
      <c r="BH87" s="546" t="str">
        <f>BH75</f>
        <v>Interpolasi</v>
      </c>
      <c r="BI87" s="543"/>
      <c r="BJ87" s="1195" t="s">
        <v>364</v>
      </c>
      <c r="BK87" s="1193" t="str">
        <f>BK75</f>
        <v>Wireless Temperature Recorder, Merek : HIOKI, Model : LR 8510, SN : 210746055</v>
      </c>
      <c r="BL87" s="1194"/>
      <c r="BM87" s="1193"/>
      <c r="BN87" s="546" t="str">
        <f>BN75</f>
        <v>Interpolasi</v>
      </c>
      <c r="BO87" s="543"/>
      <c r="BP87" s="1195" t="s">
        <v>364</v>
      </c>
      <c r="BQ87" s="1193" t="str">
        <f>BQ75</f>
        <v>Wireless Temperature Recorder, Merek : HIOKI, Model : LR 8510, SN : 210746056</v>
      </c>
      <c r="BR87" s="1194"/>
      <c r="BS87" s="1193"/>
      <c r="BT87" s="546" t="str">
        <f>BT75</f>
        <v>Interpolasi</v>
      </c>
      <c r="BU87" s="543"/>
      <c r="BV87" s="1195" t="s">
        <v>364</v>
      </c>
      <c r="BW87" s="1193" t="str">
        <f>BW75</f>
        <v>Wireless Temperature Recorder, Merek : HIOKI, Model : LR 8510, SN : 200821396</v>
      </c>
      <c r="BX87" s="1194"/>
      <c r="BY87" s="1193"/>
      <c r="BZ87" s="546" t="str">
        <f>BZ75</f>
        <v>Interpolasi</v>
      </c>
      <c r="CA87" s="543"/>
      <c r="CB87" s="1195" t="s">
        <v>364</v>
      </c>
      <c r="CC87" s="1193" t="str">
        <f>CC75</f>
        <v>Reference Thermometer, Merek : APPA, Model : APPA51, SN : 03002948</v>
      </c>
      <c r="CD87" s="1194"/>
      <c r="CE87" s="1193"/>
      <c r="CF87" s="546" t="str">
        <f>CF75</f>
        <v>Interpolasi</v>
      </c>
      <c r="CH87" s="1195" t="s">
        <v>364</v>
      </c>
      <c r="CI87" s="1193" t="str">
        <f t="shared" ref="CI87:CI97" si="233">CI75</f>
        <v>Reference Thermometer, Merek : FLUKE, Model : 1524, SN : 1803038</v>
      </c>
      <c r="CJ87" s="1194"/>
      <c r="CK87" s="1193"/>
      <c r="CL87" s="546" t="str">
        <f>CL75</f>
        <v>Interpolasi</v>
      </c>
      <c r="CN87" s="1195" t="s">
        <v>364</v>
      </c>
      <c r="CO87" s="1193" t="str">
        <f t="shared" ref="CO87:CO97" si="234">CO75</f>
        <v>Reference Thermometer, Merek : FLUKE, Model : 1524, SN : 1803037</v>
      </c>
      <c r="CP87" s="1194"/>
      <c r="CQ87" s="1193"/>
      <c r="CR87" s="546" t="str">
        <f>CR75</f>
        <v>Interpolasi</v>
      </c>
    </row>
    <row r="88" spans="2:96" ht="13">
      <c r="B88" s="1196"/>
      <c r="C88" s="681">
        <f>C76</f>
        <v>2021</v>
      </c>
      <c r="D88" s="681">
        <f>D76</f>
        <v>2022</v>
      </c>
      <c r="E88" s="682" t="s">
        <v>357</v>
      </c>
      <c r="F88" s="656">
        <f ca="1">$B$243</f>
        <v>-26.693000000000005</v>
      </c>
      <c r="G88" s="551"/>
      <c r="H88" s="1196"/>
      <c r="I88" s="677">
        <f>I76</f>
        <v>2021</v>
      </c>
      <c r="J88" s="681">
        <f>J76</f>
        <v>2022</v>
      </c>
      <c r="K88" s="682" t="s">
        <v>357</v>
      </c>
      <c r="L88" s="656">
        <f ca="1">$B$243</f>
        <v>-26.693000000000005</v>
      </c>
      <c r="M88" s="551"/>
      <c r="N88" s="1196"/>
      <c r="O88" s="677">
        <f>O4</f>
        <v>2021</v>
      </c>
      <c r="P88" s="681">
        <f>P4</f>
        <v>2023</v>
      </c>
      <c r="Q88" s="682" t="s">
        <v>357</v>
      </c>
      <c r="R88" s="656">
        <f ca="1">$B$243</f>
        <v>-26.693000000000005</v>
      </c>
      <c r="S88" s="543"/>
      <c r="T88" s="1196"/>
      <c r="U88" s="668">
        <f>U76</f>
        <v>0</v>
      </c>
      <c r="V88" s="681">
        <f>V76</f>
        <v>2022</v>
      </c>
      <c r="W88" s="682" t="s">
        <v>357</v>
      </c>
      <c r="X88" s="656">
        <f ca="1">$B$243</f>
        <v>-26.693000000000005</v>
      </c>
      <c r="Y88" s="543"/>
      <c r="Z88" s="1196"/>
      <c r="AA88" s="668">
        <f>AA76</f>
        <v>2021</v>
      </c>
      <c r="AB88" s="681">
        <f>AB76</f>
        <v>2023</v>
      </c>
      <c r="AC88" s="682" t="s">
        <v>357</v>
      </c>
      <c r="AD88" s="656">
        <f ca="1">$B$243</f>
        <v>-26.693000000000005</v>
      </c>
      <c r="AE88" s="543"/>
      <c r="AF88" s="1196"/>
      <c r="AG88" s="668">
        <f>AG76</f>
        <v>2021</v>
      </c>
      <c r="AH88" s="677">
        <f>AH76</f>
        <v>2023</v>
      </c>
      <c r="AI88" s="682" t="s">
        <v>357</v>
      </c>
      <c r="AJ88" s="656">
        <f ca="1">$B$243</f>
        <v>-26.693000000000005</v>
      </c>
      <c r="AK88" s="543"/>
      <c r="AL88" s="1200"/>
      <c r="AM88" s="677">
        <f>AM76</f>
        <v>0</v>
      </c>
      <c r="AN88" s="681">
        <f>AN76</f>
        <v>2023</v>
      </c>
      <c r="AO88" s="682" t="s">
        <v>357</v>
      </c>
      <c r="AP88" s="656">
        <f ca="1">$B$243</f>
        <v>-26.693000000000005</v>
      </c>
      <c r="AQ88" s="543"/>
      <c r="AR88" s="1200"/>
      <c r="AS88" s="677">
        <f>AS76</f>
        <v>2021</v>
      </c>
      <c r="AT88" s="681">
        <f>AT76</f>
        <v>2023</v>
      </c>
      <c r="AU88" s="682" t="s">
        <v>357</v>
      </c>
      <c r="AV88" s="656">
        <f ca="1">$B$243</f>
        <v>-26.693000000000005</v>
      </c>
      <c r="AW88" s="543"/>
      <c r="AX88" s="1196"/>
      <c r="AY88" s="668">
        <f>AY76</f>
        <v>0</v>
      </c>
      <c r="AZ88" s="549">
        <f>AZ76</f>
        <v>2021</v>
      </c>
      <c r="BA88" s="550" t="s">
        <v>357</v>
      </c>
      <c r="BB88" s="656">
        <f ca="1">$B$243</f>
        <v>-26.693000000000005</v>
      </c>
      <c r="BC88" s="543"/>
      <c r="BD88" s="1196"/>
      <c r="BE88" s="668">
        <f>BE76</f>
        <v>0</v>
      </c>
      <c r="BF88" s="549"/>
      <c r="BG88" s="550" t="s">
        <v>357</v>
      </c>
      <c r="BH88" s="656">
        <f ca="1">$B$243</f>
        <v>-26.693000000000005</v>
      </c>
      <c r="BI88" s="543"/>
      <c r="BJ88" s="1196"/>
      <c r="BK88" s="668">
        <f>BK76</f>
        <v>2021</v>
      </c>
      <c r="BL88" s="549">
        <f>BL76</f>
        <v>2021</v>
      </c>
      <c r="BM88" s="550" t="s">
        <v>357</v>
      </c>
      <c r="BN88" s="656">
        <f ca="1">$B$243</f>
        <v>-26.693000000000005</v>
      </c>
      <c r="BO88" s="543"/>
      <c r="BP88" s="1196"/>
      <c r="BQ88" s="668">
        <f>BQ76</f>
        <v>2021</v>
      </c>
      <c r="BR88" s="549">
        <f>BR76</f>
        <v>2022</v>
      </c>
      <c r="BS88" s="550" t="s">
        <v>357</v>
      </c>
      <c r="BT88" s="656">
        <f ca="1">$B$243</f>
        <v>-26.693000000000005</v>
      </c>
      <c r="BU88" s="543"/>
      <c r="BV88" s="1196"/>
      <c r="BW88" s="552">
        <f>BW76</f>
        <v>0</v>
      </c>
      <c r="BX88" s="549">
        <f>BX76</f>
        <v>2022</v>
      </c>
      <c r="BY88" s="550" t="s">
        <v>357</v>
      </c>
      <c r="BZ88" s="656">
        <f ca="1">$B$243</f>
        <v>-26.693000000000005</v>
      </c>
      <c r="CA88" s="543"/>
      <c r="CB88" s="1196"/>
      <c r="CC88" s="668">
        <f>CC76</f>
        <v>2022</v>
      </c>
      <c r="CD88" s="669">
        <f>CD76</f>
        <v>2020</v>
      </c>
      <c r="CE88" s="550" t="s">
        <v>357</v>
      </c>
      <c r="CF88" s="656">
        <f ca="1">$B$243</f>
        <v>-26.693000000000005</v>
      </c>
      <c r="CG88" s="563"/>
      <c r="CH88" s="1196"/>
      <c r="CI88" s="668">
        <f t="shared" si="233"/>
        <v>2021</v>
      </c>
      <c r="CJ88" s="669">
        <f>CJ76</f>
        <v>2019</v>
      </c>
      <c r="CK88" s="550" t="s">
        <v>357</v>
      </c>
      <c r="CL88" s="656">
        <f ca="1">$B$243</f>
        <v>-26.693000000000005</v>
      </c>
      <c r="CN88" s="1196"/>
      <c r="CO88" s="668">
        <f t="shared" si="234"/>
        <v>2021</v>
      </c>
      <c r="CP88" s="669">
        <f>CP76</f>
        <v>2020</v>
      </c>
      <c r="CQ88" s="550" t="s">
        <v>357</v>
      </c>
      <c r="CR88" s="656">
        <f ca="1">$B$243</f>
        <v>-26.693000000000005</v>
      </c>
    </row>
    <row r="89" spans="2:96" ht="13">
      <c r="B89" s="693">
        <v>-40</v>
      </c>
      <c r="C89" s="670"/>
      <c r="D89" s="670">
        <f>U171</f>
        <v>0</v>
      </c>
      <c r="E89" s="652">
        <f t="shared" ref="E89:E95" si="235">IF(OR(C89=0,D89=0),$U$180/3,((MAX(C89:D89)-(MIN(C89:D89)))))</f>
        <v>0.11333333333333334</v>
      </c>
      <c r="F89" s="654">
        <f ca="1">IF($L$4&lt;=$B$6,$B$5,IF($L$4&lt;=$B$8,$B$7,IF($L$4&lt;=$B$10,$B$9,IF($L$4&lt;=$B$12,$B$11,IF($L$4&lt;=$B$13,$B$13)))))</f>
        <v>-30</v>
      </c>
      <c r="G89" s="554"/>
      <c r="H89" s="693">
        <v>-40</v>
      </c>
      <c r="I89" s="670"/>
      <c r="J89" s="671">
        <f t="shared" ref="J89:J95" si="236">V171</f>
        <v>0</v>
      </c>
      <c r="K89" s="652">
        <f t="shared" ref="K89:K95" si="237">IF(OR(I89=0,J89=0),$V$180/3,((MAX(I89:J89)-(MIN(I89:J89)))))</f>
        <v>0.18666666666666668</v>
      </c>
      <c r="L89" s="654">
        <f ca="1">IF($L$4&lt;=$B$6,$B$5,IF($L$4&lt;=$B$8,$B$7,IF($L$4&lt;=$B$10,$B$9,IF($L$4&lt;=$B$12,$B$11,IF($L$4&lt;=$B$13,$B$13)))))</f>
        <v>-30</v>
      </c>
      <c r="M89" s="554"/>
      <c r="N89" s="693">
        <v>-40</v>
      </c>
      <c r="O89" s="671">
        <v>0</v>
      </c>
      <c r="P89" s="671">
        <f>W171</f>
        <v>0</v>
      </c>
      <c r="Q89" s="652">
        <f t="shared" ref="Q89:Q95" si="238">IF(OR(O89=0,P89=0),$W$180/3,((MAX(O89:P89)-(MIN(O89:P89)))))</f>
        <v>9.3333333333333338E-2</v>
      </c>
      <c r="R89" s="654">
        <f ca="1">IF($L$4&lt;=$B$6,$B$5,IF($L$4&lt;=$B$8,$B$7,IF($L$4&lt;=$B$10,$B$9,IF($L$4&lt;=$B$12,$B$11,IF($L$4&lt;=$B$13,$B$13)))))</f>
        <v>-30</v>
      </c>
      <c r="S89" s="543"/>
      <c r="T89" s="693">
        <v>-40</v>
      </c>
      <c r="U89" s="670"/>
      <c r="V89" s="671">
        <f>X171</f>
        <v>-2.54</v>
      </c>
      <c r="W89" s="652">
        <f t="shared" ref="W89:W95" si="239">IF(OR(U89=0,V89=0),$X$180/3,((MAX(U89:V89)-(MIN(U89:V89)))))</f>
        <v>4.3333333333333335E-2</v>
      </c>
      <c r="X89" s="654">
        <f ca="1">IF($L$4&lt;=$B$6,$B$5,IF($L$4&lt;=$B$8,$B$7,IF($L$4&lt;=$B$10,$B$9,IF($L$4&lt;=$B$12,$B$11,IF($L$4&lt;=$B$13,$B$13)))))</f>
        <v>-30</v>
      </c>
      <c r="Y89" s="543"/>
      <c r="Z89" s="693">
        <v>-40</v>
      </c>
      <c r="AA89" s="670">
        <v>0</v>
      </c>
      <c r="AB89" s="671">
        <f>Y171</f>
        <v>0.19</v>
      </c>
      <c r="AC89" s="652">
        <f t="shared" ref="AC89:AC97" si="240">IF(OR(AA89=0,AB89=0),$Y$180/3,((MAX(AA89:AB89)-(MIN(AA89:AB89)))))</f>
        <v>3.3333333333333333E-2</v>
      </c>
      <c r="AD89" s="654">
        <f ca="1">IF($L$4&lt;=$B$6,$B$5,IF($L$4&lt;=$B$8,$B$7,IF($L$4&lt;=$B$10,$B$9,IF($L$4&lt;=$B$12,$B$11,IF($L$4&lt;=$B$13,$B$13)))))</f>
        <v>-30</v>
      </c>
      <c r="AE89" s="543"/>
      <c r="AF89" s="693">
        <v>-40</v>
      </c>
      <c r="AG89" s="670">
        <v>0</v>
      </c>
      <c r="AH89" s="671">
        <f>Z171</f>
        <v>0.19</v>
      </c>
      <c r="AI89" s="652">
        <f t="shared" ref="AI89:AI97" si="241">IF(OR(AG89=0,AH89=0),$Z$180/3,((MAX(AG89:AH89)-(MIN(AG89:AH89)))))</f>
        <v>4.3333333333333335E-2</v>
      </c>
      <c r="AJ89" s="654">
        <f ca="1">IF($L$4&lt;=$B$6,$B$5,IF($L$4&lt;=$B$8,$B$7,IF($L$4&lt;=$B$10,$B$9,IF($L$4&lt;=$B$12,$B$11,IF($L$4&lt;=$B$13,$B$13)))))</f>
        <v>-30</v>
      </c>
      <c r="AK89" s="543"/>
      <c r="AL89" s="693">
        <v>-40</v>
      </c>
      <c r="AM89" s="670"/>
      <c r="AN89" s="671">
        <f>AA171</f>
        <v>0.44</v>
      </c>
      <c r="AO89" s="652">
        <f t="shared" ref="AO89:AO97" si="242">IF(OR(AM89=0,AN89=0),$AA$180/3,((MAX(AM89:AN89)-(MIN(AM89:AN89)))))</f>
        <v>3.3333333333333333E-2</v>
      </c>
      <c r="AP89" s="654">
        <f ca="1">IF($L$4&lt;=$B$6,$B$5,IF($L$4&lt;=$B$8,$B$7,IF($L$4&lt;=$B$10,$B$9,IF($L$4&lt;=$B$12,$B$11,IF($L$4&lt;=$B$13,$B$13)))))</f>
        <v>-30</v>
      </c>
      <c r="AQ89" s="543"/>
      <c r="AR89" s="693">
        <v>-40</v>
      </c>
      <c r="AS89" s="670"/>
      <c r="AT89" s="671">
        <f>AB171</f>
        <v>0.32</v>
      </c>
      <c r="AU89" s="652">
        <f t="shared" ref="AU89:AU97" si="243">IF(OR(AS89=0,AT89=0),$AB$180/3,((MAX(AS89:AT89)-(MIN(AS89:AT89)))))</f>
        <v>3.6666666666666667E-2</v>
      </c>
      <c r="AV89" s="654">
        <f ca="1">IF($L$4&lt;=$B$6,$B$5,IF($L$4&lt;=$B$8,$B$7,IF($L$4&lt;=$B$10,$B$9,IF($L$4&lt;=$B$12,$B$11,IF($L$4&lt;=$B$13,$B$13)))))</f>
        <v>-30</v>
      </c>
      <c r="AW89" s="543"/>
      <c r="AX89" s="693">
        <v>-40</v>
      </c>
      <c r="AY89" s="670"/>
      <c r="AZ89" s="553">
        <f>AC171</f>
        <v>0</v>
      </c>
      <c r="BA89" s="541">
        <f t="shared" ref="BA89:BA97" si="244">IF(OR(AY89=0,AZ89=0),$AC$180/3,((MAX(AY89:AZ89)-(MIN(AY89:AZ89)))))</f>
        <v>0.26333333333333336</v>
      </c>
      <c r="BB89" s="654">
        <f ca="1">IF($L$4&lt;=$B$6,$B$5,IF($L$4&lt;=$B$8,$B$7,IF($L$4&lt;=$B$10,$B$9,IF($L$4&lt;=$B$12,$B$11,IF($L$4&lt;=$B$13,$B$13)))))</f>
        <v>-30</v>
      </c>
      <c r="BC89" s="543"/>
      <c r="BD89" s="693">
        <v>-40</v>
      </c>
      <c r="BE89" s="670"/>
      <c r="BF89" s="553">
        <f>AD171</f>
        <v>-2.39</v>
      </c>
      <c r="BG89" s="541">
        <f t="shared" ref="BG89:BG97" si="245">IF(OR(BE89=0,BF89=0),$AD$180/3,((MAX(BE89:BF89)-(MIN(BE89:BF89)))))</f>
        <v>3.3333333333333333E-2</v>
      </c>
      <c r="BH89" s="654">
        <f ca="1">IF($L$4&lt;=$B$6,$B$5,IF($L$4&lt;=$B$8,$B$7,IF($L$4&lt;=$B$10,$B$9,IF($L$4&lt;=$B$12,$B$11,IF($L$4&lt;=$B$13,$B$13)))))</f>
        <v>-30</v>
      </c>
      <c r="BI89" s="543"/>
      <c r="BJ89" s="693">
        <v>-40</v>
      </c>
      <c r="BK89" s="670"/>
      <c r="BL89" s="553">
        <f t="shared" ref="BL89:BL97" si="246">M157</f>
        <v>0</v>
      </c>
      <c r="BM89" s="541">
        <f t="shared" ref="BM89:BM97" si="247">IF(OR(BK89=0,BL89=0),$AE$180/3,((MAX(BK89:BL89)-(MIN(BK89:BL89)))))</f>
        <v>0.26333333333333336</v>
      </c>
      <c r="BN89" s="654">
        <f ca="1">IF($L$4&lt;=$B$6,$B$5,IF($L$4&lt;=$B$8,$B$7,IF($L$4&lt;=$B$10,$B$9,IF($L$4&lt;=$B$12,$B$11,IF($L$4&lt;=$B$13,$B$13)))))</f>
        <v>-30</v>
      </c>
      <c r="BO89" s="543"/>
      <c r="BP89" s="693">
        <v>-40</v>
      </c>
      <c r="BQ89" s="670"/>
      <c r="BR89" s="671">
        <f>AF171</f>
        <v>-2.2799999999999998</v>
      </c>
      <c r="BS89" s="541">
        <f t="shared" ref="BS89:BS97" si="248">IF(OR(BQ89=0,BR89=0),$AF$180/3,((MAX(BQ89:BR89)-(MIN(BQ89:BR89)))))</f>
        <v>0.02</v>
      </c>
      <c r="BT89" s="654">
        <f ca="1">IF($L$4&lt;=$B$6,$B$5,IF($L$4&lt;=$B$8,$B$7,IF($L$4&lt;=$B$10,$B$9,IF($L$4&lt;=$B$12,$B$11,IF($L$4&lt;=$B$13,$B$13)))))</f>
        <v>-30</v>
      </c>
      <c r="BU89" s="543"/>
      <c r="BV89" s="693">
        <v>-40</v>
      </c>
      <c r="BW89" s="670"/>
      <c r="BX89" s="553">
        <f>AG171</f>
        <v>-2.75</v>
      </c>
      <c r="BY89" s="541">
        <f t="shared" ref="BY89:BY97" si="249">IF(OR(BW89=0,BX89=0),$AG$180/3,((MAX(BW89:BX89)-(MIN(BW89:BX89)))))</f>
        <v>0.03</v>
      </c>
      <c r="BZ89" s="654">
        <f ca="1">IF($L$4&lt;=$B$6,$B$5,IF($L$4&lt;=$B$8,$B$7,IF($L$4&lt;=$B$10,$B$9,IF($L$4&lt;=$B$12,$B$11,IF($L$4&lt;=$B$13,$B$13)))))</f>
        <v>-30</v>
      </c>
      <c r="CA89" s="543"/>
      <c r="CB89" s="693">
        <v>-40</v>
      </c>
      <c r="CC89" s="670">
        <f>CC77</f>
        <v>-1.7</v>
      </c>
      <c r="CD89" s="671"/>
      <c r="CE89" s="541">
        <f t="shared" ref="CE89:CE97" si="250">CE77</f>
        <v>6.6666666666666666E-2</v>
      </c>
      <c r="CF89" s="654">
        <f ca="1">IF($L$4&lt;=$B$6,$B$5,IF($L$4&lt;=$B$8,$B$7,IF($L$4&lt;=$B$10,$B$9,IF($L$4&lt;=$B$12,$B$11,IF($L$4&lt;=$B$13,$B$13)))))</f>
        <v>-30</v>
      </c>
      <c r="CG89" s="563"/>
      <c r="CH89" s="693">
        <v>-40</v>
      </c>
      <c r="CI89" s="670">
        <f t="shared" si="233"/>
        <v>0</v>
      </c>
      <c r="CJ89" s="671"/>
      <c r="CK89" s="541">
        <f t="shared" ref="CK89:CK97" si="251">CK77</f>
        <v>7.3333333333333334E-2</v>
      </c>
      <c r="CL89" s="654">
        <f ca="1">IF($L$4&lt;=$B$6,$B$5,IF($L$4&lt;=$B$8,$B$7,IF($L$4&lt;=$B$10,$B$9,IF($L$4&lt;=$B$12,$B$11,IF($L$4&lt;=$B$13,$B$13)))))</f>
        <v>-30</v>
      </c>
      <c r="CN89" s="693">
        <v>-40</v>
      </c>
      <c r="CO89" s="670">
        <f t="shared" si="234"/>
        <v>0</v>
      </c>
      <c r="CP89" s="671">
        <f t="shared" ref="CP89:CP95" si="252">CP5</f>
        <v>0</v>
      </c>
      <c r="CQ89" s="541">
        <f t="shared" ref="CQ89:CQ95" si="253">CQ77</f>
        <v>0.25666666666666665</v>
      </c>
      <c r="CR89" s="654">
        <f ca="1">IF($L$4&lt;=$B$6,$B$5,IF($L$4&lt;=$B$8,$B$7,IF($L$4&lt;=$B$10,$B$9,IF($L$4&lt;=$B$12,$B$11,IF($L$4&lt;=$B$13,$B$13)))))</f>
        <v>-30</v>
      </c>
    </row>
    <row r="90" spans="2:96" ht="13">
      <c r="B90" s="693">
        <v>-35</v>
      </c>
      <c r="C90" s="670"/>
      <c r="D90" s="670">
        <f t="shared" ref="D90:D95" si="254">U172</f>
        <v>0</v>
      </c>
      <c r="E90" s="652">
        <f t="shared" si="235"/>
        <v>0.11333333333333334</v>
      </c>
      <c r="F90" s="651"/>
      <c r="G90" s="554"/>
      <c r="H90" s="693">
        <v>-35</v>
      </c>
      <c r="I90" s="670"/>
      <c r="J90" s="671">
        <f t="shared" si="236"/>
        <v>0</v>
      </c>
      <c r="K90" s="652">
        <f t="shared" si="237"/>
        <v>0.18666666666666668</v>
      </c>
      <c r="L90" s="651"/>
      <c r="M90" s="554"/>
      <c r="N90" s="693">
        <v>-35</v>
      </c>
      <c r="O90" s="671">
        <v>0</v>
      </c>
      <c r="P90" s="671">
        <f t="shared" ref="P90:P97" si="255">W172</f>
        <v>0</v>
      </c>
      <c r="Q90" s="652">
        <f t="shared" si="238"/>
        <v>9.3333333333333338E-2</v>
      </c>
      <c r="R90" s="651"/>
      <c r="S90" s="543"/>
      <c r="T90" s="693">
        <v>-35</v>
      </c>
      <c r="U90" s="670"/>
      <c r="V90" s="671">
        <f t="shared" ref="V90:V95" si="256">X172</f>
        <v>0</v>
      </c>
      <c r="W90" s="652">
        <f t="shared" si="239"/>
        <v>4.3333333333333335E-2</v>
      </c>
      <c r="X90" s="651"/>
      <c r="Y90" s="543"/>
      <c r="Z90" s="693">
        <v>-35</v>
      </c>
      <c r="AA90" s="670">
        <v>0</v>
      </c>
      <c r="AB90" s="671">
        <f t="shared" ref="AB90:AB96" si="257">Y172</f>
        <v>0.14000000000000001</v>
      </c>
      <c r="AC90" s="652">
        <f t="shared" si="240"/>
        <v>3.3333333333333333E-2</v>
      </c>
      <c r="AD90" s="651"/>
      <c r="AE90" s="543"/>
      <c r="AF90" s="693">
        <v>-35</v>
      </c>
      <c r="AG90" s="670">
        <v>0</v>
      </c>
      <c r="AH90" s="671">
        <f t="shared" ref="AH90:AH96" si="258">Z172</f>
        <v>0.16</v>
      </c>
      <c r="AI90" s="652">
        <f t="shared" si="241"/>
        <v>4.3333333333333335E-2</v>
      </c>
      <c r="AJ90" s="651"/>
      <c r="AK90" s="543"/>
      <c r="AL90" s="693">
        <v>-35</v>
      </c>
      <c r="AM90" s="670"/>
      <c r="AN90" s="671">
        <f t="shared" ref="AN90:AN96" si="259">AA172</f>
        <v>0.43</v>
      </c>
      <c r="AO90" s="652">
        <f t="shared" si="242"/>
        <v>3.3333333333333333E-2</v>
      </c>
      <c r="AP90" s="651"/>
      <c r="AQ90" s="543"/>
      <c r="AR90" s="693">
        <v>-35</v>
      </c>
      <c r="AS90" s="670"/>
      <c r="AT90" s="671">
        <f t="shared" ref="AT90:AT96" si="260">AB172</f>
        <v>0.32</v>
      </c>
      <c r="AU90" s="652">
        <f t="shared" si="243"/>
        <v>3.6666666666666667E-2</v>
      </c>
      <c r="AV90" s="651"/>
      <c r="AW90" s="543"/>
      <c r="AX90" s="693">
        <v>-35</v>
      </c>
      <c r="AY90" s="670"/>
      <c r="AZ90" s="553">
        <f t="shared" ref="AZ90:AZ96" si="261">AC172</f>
        <v>0</v>
      </c>
      <c r="BA90" s="541">
        <f t="shared" si="244"/>
        <v>0.26333333333333336</v>
      </c>
      <c r="BB90" s="651"/>
      <c r="BC90" s="543"/>
      <c r="BD90" s="693">
        <v>-35</v>
      </c>
      <c r="BE90" s="670"/>
      <c r="BF90" s="553">
        <f t="shared" ref="BF90:BF96" si="262">AD172</f>
        <v>0</v>
      </c>
      <c r="BG90" s="541">
        <f t="shared" si="245"/>
        <v>3.3333333333333333E-2</v>
      </c>
      <c r="BH90" s="651"/>
      <c r="BI90" s="543"/>
      <c r="BJ90" s="693">
        <v>-35</v>
      </c>
      <c r="BK90" s="670"/>
      <c r="BL90" s="553">
        <f t="shared" si="246"/>
        <v>0</v>
      </c>
      <c r="BM90" s="541">
        <f t="shared" si="247"/>
        <v>0.26333333333333336</v>
      </c>
      <c r="BN90" s="651"/>
      <c r="BO90" s="543"/>
      <c r="BP90" s="693">
        <v>-35</v>
      </c>
      <c r="BQ90" s="670"/>
      <c r="BR90" s="671">
        <f t="shared" ref="BR90:BR96" si="263">AF172</f>
        <v>0</v>
      </c>
      <c r="BS90" s="541">
        <f t="shared" si="248"/>
        <v>0.02</v>
      </c>
      <c r="BT90" s="651"/>
      <c r="BU90" s="543"/>
      <c r="BV90" s="693">
        <v>-35</v>
      </c>
      <c r="BW90" s="670"/>
      <c r="BX90" s="553">
        <f t="shared" ref="BX90:BX96" si="264">AG172</f>
        <v>0</v>
      </c>
      <c r="BY90" s="541">
        <f t="shared" si="249"/>
        <v>0.03</v>
      </c>
      <c r="BZ90" s="651"/>
      <c r="CA90" s="543"/>
      <c r="CB90" s="693">
        <v>-35</v>
      </c>
      <c r="CC90" s="670">
        <f t="shared" ref="CC90:CC97" si="265">CC78</f>
        <v>-1.4</v>
      </c>
      <c r="CD90" s="671"/>
      <c r="CE90" s="541">
        <f t="shared" si="250"/>
        <v>6.6666666666666666E-2</v>
      </c>
      <c r="CF90" s="651"/>
      <c r="CG90" s="564"/>
      <c r="CH90" s="693">
        <v>-35</v>
      </c>
      <c r="CI90" s="670">
        <f t="shared" si="233"/>
        <v>0</v>
      </c>
      <c r="CJ90" s="671"/>
      <c r="CK90" s="541">
        <f t="shared" si="251"/>
        <v>7.3333333333333334E-2</v>
      </c>
      <c r="CL90" s="651"/>
      <c r="CN90" s="693">
        <v>-35</v>
      </c>
      <c r="CO90" s="670">
        <f t="shared" si="234"/>
        <v>0</v>
      </c>
      <c r="CP90" s="671">
        <f t="shared" si="252"/>
        <v>0</v>
      </c>
      <c r="CQ90" s="541">
        <f t="shared" si="253"/>
        <v>0.25666666666666665</v>
      </c>
      <c r="CR90" s="651"/>
    </row>
    <row r="91" spans="2:96" ht="13">
      <c r="B91" s="693">
        <v>-30</v>
      </c>
      <c r="C91" s="670"/>
      <c r="D91" s="670">
        <f t="shared" si="254"/>
        <v>0</v>
      </c>
      <c r="E91" s="652">
        <f t="shared" si="235"/>
        <v>0.11333333333333334</v>
      </c>
      <c r="F91" s="654">
        <f ca="1">IF($L$4&lt;=$B$5,$B$5,IF($L$4&lt;=$B$6,$B$6,IF($L$4&lt;=$B$7,$B$7,IF($L$4&lt;=$B$8,$B$8,IF($L$4&lt;=$B$9,$B$9,IF($L$4&lt;=$B$10,$B$10,IF($L$4&lt;=$B$11,$B$11)))))))</f>
        <v>-25</v>
      </c>
      <c r="G91" s="554"/>
      <c r="H91" s="693">
        <v>-30</v>
      </c>
      <c r="I91" s="670"/>
      <c r="J91" s="671">
        <f t="shared" si="236"/>
        <v>0</v>
      </c>
      <c r="K91" s="652">
        <f t="shared" si="237"/>
        <v>0.18666666666666668</v>
      </c>
      <c r="L91" s="654">
        <f ca="1">IF($L$4&lt;=$B$5,$B$5,IF($L$4&lt;=$B$6,$B$6,IF($L$4&lt;=$B$7,$B$7,IF($L$4&lt;=$B$8,$B$8,IF($L$4&lt;=$B$9,$B$9,IF($L$4&lt;=$B$10,$B$10,IF($L$4&lt;=$B$11,$B$11)))))))</f>
        <v>-25</v>
      </c>
      <c r="M91" s="554"/>
      <c r="N91" s="693">
        <v>-30</v>
      </c>
      <c r="O91" s="671">
        <v>0</v>
      </c>
      <c r="P91" s="671">
        <f t="shared" si="255"/>
        <v>0</v>
      </c>
      <c r="Q91" s="652">
        <f t="shared" si="238"/>
        <v>9.3333333333333338E-2</v>
      </c>
      <c r="R91" s="654">
        <f ca="1">IF($L$4&lt;=$B$5,$B$5,IF($L$4&lt;=$B$6,$B$6,IF($L$4&lt;=$B$7,$B$7,IF($L$4&lt;=$B$8,$B$8,IF($L$4&lt;=$B$9,$B$9,IF($L$4&lt;=$B$10,$B$10,IF($L$4&lt;=$B$11,$B$11)))))))</f>
        <v>-25</v>
      </c>
      <c r="S91" s="543"/>
      <c r="T91" s="693">
        <v>-30</v>
      </c>
      <c r="U91" s="670"/>
      <c r="V91" s="671">
        <f t="shared" si="256"/>
        <v>0</v>
      </c>
      <c r="W91" s="652">
        <f t="shared" si="239"/>
        <v>4.3333333333333335E-2</v>
      </c>
      <c r="X91" s="654">
        <f ca="1">IF($L$4&lt;=$B$5,$B$5,IF($L$4&lt;=$B$6,$B$6,IF($L$4&lt;=$B$7,$B$7,IF($L$4&lt;=$B$8,$B$8,IF($L$4&lt;=$B$9,$B$9,IF($L$4&lt;=$B$10,$B$10,IF($L$4&lt;=$B$11,$B$11)))))))</f>
        <v>-25</v>
      </c>
      <c r="Y91" s="543"/>
      <c r="Z91" s="693">
        <v>-30</v>
      </c>
      <c r="AA91" s="670">
        <v>0</v>
      </c>
      <c r="AB91" s="671">
        <f t="shared" si="257"/>
        <v>0.14000000000000001</v>
      </c>
      <c r="AC91" s="652">
        <f t="shared" si="240"/>
        <v>3.3333333333333333E-2</v>
      </c>
      <c r="AD91" s="654">
        <f ca="1">IF($L$4&lt;=$B$5,$B$5,IF($L$4&lt;=$B$6,$B$6,IF($L$4&lt;=$B$7,$B$7,IF($L$4&lt;=$B$8,$B$8,IF($L$4&lt;=$B$9,$B$9,IF($L$4&lt;=$B$10,$B$10,IF($L$4&lt;=$B$11,$B$11)))))))</f>
        <v>-25</v>
      </c>
      <c r="AE91" s="543"/>
      <c r="AF91" s="693">
        <v>-30</v>
      </c>
      <c r="AG91" s="670">
        <v>0</v>
      </c>
      <c r="AH91" s="671">
        <f t="shared" si="258"/>
        <v>0.15</v>
      </c>
      <c r="AI91" s="652">
        <f t="shared" si="241"/>
        <v>4.3333333333333335E-2</v>
      </c>
      <c r="AJ91" s="654">
        <f ca="1">IF($L$4&lt;=$B$5,$B$5,IF($L$4&lt;=$B$6,$B$6,IF($L$4&lt;=$B$7,$B$7,IF($L$4&lt;=$B$8,$B$8,IF($L$4&lt;=$B$9,$B$9,IF($L$4&lt;=$B$10,$B$10,IF($L$4&lt;=$B$11,$B$11)))))))</f>
        <v>-25</v>
      </c>
      <c r="AK91" s="543"/>
      <c r="AL91" s="693">
        <v>-30</v>
      </c>
      <c r="AM91" s="670"/>
      <c r="AN91" s="671">
        <f t="shared" si="259"/>
        <v>0.43</v>
      </c>
      <c r="AO91" s="652">
        <f t="shared" si="242"/>
        <v>3.3333333333333333E-2</v>
      </c>
      <c r="AP91" s="654">
        <f ca="1">IF($L$4&lt;=$B$5,$B$5,IF($L$4&lt;=$B$6,$B$6,IF($L$4&lt;=$B$7,$B$7,IF($L$4&lt;=$B$8,$B$8,IF($L$4&lt;=$B$9,$B$9,IF($L$4&lt;=$B$10,$B$10,IF($L$4&lt;=$B$11,$B$11)))))))</f>
        <v>-25</v>
      </c>
      <c r="AQ91" s="543"/>
      <c r="AR91" s="693">
        <v>-30</v>
      </c>
      <c r="AS91" s="670"/>
      <c r="AT91" s="671">
        <f t="shared" si="260"/>
        <v>0.33</v>
      </c>
      <c r="AU91" s="652">
        <f t="shared" si="243"/>
        <v>3.6666666666666667E-2</v>
      </c>
      <c r="AV91" s="654">
        <f ca="1">IF($L$4&lt;=$B$5,$B$5,IF($L$4&lt;=$B$6,$B$6,IF($L$4&lt;=$B$7,$B$7,IF($L$4&lt;=$B$8,$B$8,IF($L$4&lt;=$B$9,$B$9,IF($L$4&lt;=$B$10,$B$10,IF($L$4&lt;=$B$11,$B$11)))))))</f>
        <v>-25</v>
      </c>
      <c r="AW91" s="543"/>
      <c r="AX91" s="693">
        <v>-30</v>
      </c>
      <c r="AY91" s="670"/>
      <c r="AZ91" s="553">
        <f t="shared" si="261"/>
        <v>0</v>
      </c>
      <c r="BA91" s="541">
        <f t="shared" si="244"/>
        <v>0.26333333333333336</v>
      </c>
      <c r="BB91" s="654">
        <f ca="1">IF($L$4&lt;=$B$5,$B$5,IF($L$4&lt;=$B$6,$B$6,IF($L$4&lt;=$B$7,$B$7,IF($L$4&lt;=$B$8,$B$8,IF($L$4&lt;=$B$9,$B$9,IF($L$4&lt;=$B$10,$B$10,IF($L$4&lt;=$B$11,$B$11)))))))</f>
        <v>-25</v>
      </c>
      <c r="BC91" s="543"/>
      <c r="BD91" s="693">
        <v>-30</v>
      </c>
      <c r="BE91" s="670"/>
      <c r="BF91" s="553">
        <f t="shared" si="262"/>
        <v>0</v>
      </c>
      <c r="BG91" s="541">
        <f t="shared" si="245"/>
        <v>3.3333333333333333E-2</v>
      </c>
      <c r="BH91" s="654">
        <f ca="1">IF($L$4&lt;=$B$5,$B$5,IF($L$4&lt;=$B$6,$B$6,IF($L$4&lt;=$B$7,$B$7,IF($L$4&lt;=$B$8,$B$8,IF($L$4&lt;=$B$9,$B$9,IF($L$4&lt;=$B$10,$B$10,IF($L$4&lt;=$B$11,$B$11)))))))</f>
        <v>-25</v>
      </c>
      <c r="BI91" s="543"/>
      <c r="BJ91" s="693">
        <v>-30</v>
      </c>
      <c r="BK91" s="670"/>
      <c r="BL91" s="553">
        <f t="shared" si="246"/>
        <v>0</v>
      </c>
      <c r="BM91" s="541">
        <f t="shared" si="247"/>
        <v>0.26333333333333336</v>
      </c>
      <c r="BN91" s="654">
        <f ca="1">IF($L$4&lt;=$B$5,$B$5,IF($L$4&lt;=$B$6,$B$6,IF($L$4&lt;=$B$7,$B$7,IF($L$4&lt;=$B$8,$B$8,IF($L$4&lt;=$B$9,$B$9,IF($L$4&lt;=$B$10,$B$10,IF($L$4&lt;=$B$11,$B$11)))))))</f>
        <v>-25</v>
      </c>
      <c r="BO91" s="543"/>
      <c r="BP91" s="693">
        <v>-30</v>
      </c>
      <c r="BQ91" s="670"/>
      <c r="BR91" s="671">
        <f t="shared" si="263"/>
        <v>0</v>
      </c>
      <c r="BS91" s="541">
        <f t="shared" si="248"/>
        <v>0.02</v>
      </c>
      <c r="BT91" s="654">
        <f ca="1">IF($L$4&lt;=$B$5,$B$5,IF($L$4&lt;=$B$6,$B$6,IF($L$4&lt;=$B$7,$B$7,IF($L$4&lt;=$B$8,$B$8,IF($L$4&lt;=$B$9,$B$9,IF($L$4&lt;=$B$10,$B$10,IF($L$4&lt;=$B$11,$B$11)))))))</f>
        <v>-25</v>
      </c>
      <c r="BU91" s="543"/>
      <c r="BV91" s="693">
        <v>-30</v>
      </c>
      <c r="BW91" s="670"/>
      <c r="BX91" s="553">
        <f t="shared" si="264"/>
        <v>0</v>
      </c>
      <c r="BY91" s="541">
        <f t="shared" si="249"/>
        <v>0.03</v>
      </c>
      <c r="BZ91" s="654">
        <f ca="1">IF($L$4&lt;=$B$5,$B$5,IF($L$4&lt;=$B$6,$B$6,IF($L$4&lt;=$B$7,$B$7,IF($L$4&lt;=$B$8,$B$8,IF($L$4&lt;=$B$9,$B$9,IF($L$4&lt;=$B$10,$B$10,IF($L$4&lt;=$B$11,$B$11)))))))</f>
        <v>-25</v>
      </c>
      <c r="CA91" s="543"/>
      <c r="CB91" s="693">
        <v>-30</v>
      </c>
      <c r="CC91" s="670">
        <f t="shared" si="265"/>
        <v>-1.2</v>
      </c>
      <c r="CD91" s="671"/>
      <c r="CE91" s="541">
        <f t="shared" si="250"/>
        <v>6.6666666666666666E-2</v>
      </c>
      <c r="CF91" s="654">
        <f ca="1">IF($L$4&lt;=$B$5,$B$5,IF($L$4&lt;=$B$6,$B$6,IF($L$4&lt;=$B$7,$B$7,IF($L$4&lt;=$B$8,$B$8,IF($L$4&lt;=$B$9,$B$9,IF($L$4&lt;=$B$10,$B$10,IF($L$4&lt;=$B$11,$B$11)))))))</f>
        <v>-25</v>
      </c>
      <c r="CG91" s="565"/>
      <c r="CH91" s="693">
        <v>-30</v>
      </c>
      <c r="CI91" s="670">
        <f t="shared" si="233"/>
        <v>0</v>
      </c>
      <c r="CJ91" s="671"/>
      <c r="CK91" s="541">
        <f t="shared" si="251"/>
        <v>7.3333333333333334E-2</v>
      </c>
      <c r="CL91" s="654">
        <f ca="1">IF($L$4&lt;=$B$5,$B$5,IF($L$4&lt;=$B$6,$B$6,IF($L$4&lt;=$B$7,$B$7,IF($L$4&lt;=$B$8,$B$8,IF($L$4&lt;=$B$9,$B$9,IF($L$4&lt;=$B$10,$B$10,IF($L$4&lt;=$B$11,$B$11)))))))</f>
        <v>-25</v>
      </c>
      <c r="CN91" s="693">
        <v>-30</v>
      </c>
      <c r="CO91" s="670">
        <f t="shared" si="234"/>
        <v>0</v>
      </c>
      <c r="CP91" s="671">
        <f t="shared" si="252"/>
        <v>0</v>
      </c>
      <c r="CQ91" s="541">
        <f t="shared" si="253"/>
        <v>0.25666666666666665</v>
      </c>
      <c r="CR91" s="654">
        <f ca="1">IF($L$4&lt;=$B$5,$B$5,IF($L$4&lt;=$B$6,$B$6,IF($L$4&lt;=$B$7,$B$7,IF($L$4&lt;=$B$8,$B$8,IF($L$4&lt;=$B$9,$B$9,IF($L$4&lt;=$B$10,$B$10,IF($L$4&lt;=$B$11,$B$11)))))))</f>
        <v>-25</v>
      </c>
    </row>
    <row r="92" spans="2:96" ht="13">
      <c r="B92" s="693">
        <v>-25</v>
      </c>
      <c r="C92" s="670"/>
      <c r="D92" s="670">
        <f t="shared" si="254"/>
        <v>0</v>
      </c>
      <c r="E92" s="652">
        <f t="shared" si="235"/>
        <v>0.11333333333333334</v>
      </c>
      <c r="F92" s="651"/>
      <c r="G92" s="554"/>
      <c r="H92" s="693">
        <v>-25</v>
      </c>
      <c r="I92" s="670"/>
      <c r="J92" s="671">
        <f t="shared" si="236"/>
        <v>0</v>
      </c>
      <c r="K92" s="652">
        <f t="shared" si="237"/>
        <v>0.18666666666666668</v>
      </c>
      <c r="L92" s="651"/>
      <c r="M92" s="554"/>
      <c r="N92" s="693">
        <v>-25</v>
      </c>
      <c r="O92" s="671">
        <v>-0.6</v>
      </c>
      <c r="P92" s="671">
        <f t="shared" si="255"/>
        <v>0</v>
      </c>
      <c r="Q92" s="652">
        <f t="shared" si="238"/>
        <v>9.3333333333333338E-2</v>
      </c>
      <c r="R92" s="651"/>
      <c r="S92" s="543"/>
      <c r="T92" s="693">
        <v>-25</v>
      </c>
      <c r="U92" s="670"/>
      <c r="V92" s="671">
        <f t="shared" si="256"/>
        <v>-1.57</v>
      </c>
      <c r="W92" s="652">
        <f t="shared" si="239"/>
        <v>4.3333333333333335E-2</v>
      </c>
      <c r="X92" s="651"/>
      <c r="Y92" s="543"/>
      <c r="Z92" s="693">
        <v>-25</v>
      </c>
      <c r="AA92" s="670">
        <v>0</v>
      </c>
      <c r="AB92" s="671">
        <f t="shared" si="257"/>
        <v>0.16</v>
      </c>
      <c r="AC92" s="652">
        <f t="shared" si="240"/>
        <v>3.3333333333333333E-2</v>
      </c>
      <c r="AD92" s="651"/>
      <c r="AE92" s="543"/>
      <c r="AF92" s="693">
        <v>-25</v>
      </c>
      <c r="AG92" s="670">
        <v>0</v>
      </c>
      <c r="AH92" s="671">
        <f t="shared" si="258"/>
        <v>0.17</v>
      </c>
      <c r="AI92" s="652">
        <f t="shared" si="241"/>
        <v>4.3333333333333335E-2</v>
      </c>
      <c r="AJ92" s="651"/>
      <c r="AK92" s="543"/>
      <c r="AL92" s="693">
        <v>-25</v>
      </c>
      <c r="AM92" s="670"/>
      <c r="AN92" s="671">
        <f t="shared" si="259"/>
        <v>0.44</v>
      </c>
      <c r="AO92" s="652">
        <f t="shared" si="242"/>
        <v>3.3333333333333333E-2</v>
      </c>
      <c r="AP92" s="651"/>
      <c r="AQ92" s="543"/>
      <c r="AR92" s="693">
        <v>-25</v>
      </c>
      <c r="AS92" s="670"/>
      <c r="AT92" s="671">
        <f t="shared" si="260"/>
        <v>0.34</v>
      </c>
      <c r="AU92" s="652">
        <f t="shared" si="243"/>
        <v>3.6666666666666667E-2</v>
      </c>
      <c r="AV92" s="651"/>
      <c r="AW92" s="543"/>
      <c r="AX92" s="693">
        <v>-25</v>
      </c>
      <c r="AY92" s="670"/>
      <c r="AZ92" s="553">
        <f t="shared" si="261"/>
        <v>0</v>
      </c>
      <c r="BA92" s="541">
        <f t="shared" si="244"/>
        <v>0.26333333333333336</v>
      </c>
      <c r="BB92" s="651"/>
      <c r="BC92" s="543"/>
      <c r="BD92" s="693">
        <v>-25</v>
      </c>
      <c r="BE92" s="670"/>
      <c r="BF92" s="553">
        <f t="shared" si="262"/>
        <v>-1.25</v>
      </c>
      <c r="BG92" s="541">
        <f t="shared" si="245"/>
        <v>3.3333333333333333E-2</v>
      </c>
      <c r="BH92" s="651"/>
      <c r="BI92" s="543"/>
      <c r="BJ92" s="693">
        <v>-25</v>
      </c>
      <c r="BK92" s="670"/>
      <c r="BL92" s="553">
        <f t="shared" si="246"/>
        <v>0</v>
      </c>
      <c r="BM92" s="541">
        <f t="shared" si="247"/>
        <v>0.26333333333333336</v>
      </c>
      <c r="BN92" s="651"/>
      <c r="BO92" s="543"/>
      <c r="BP92" s="693">
        <v>-25</v>
      </c>
      <c r="BQ92" s="670"/>
      <c r="BR92" s="671">
        <f t="shared" si="263"/>
        <v>-1.49</v>
      </c>
      <c r="BS92" s="541">
        <f t="shared" si="248"/>
        <v>0.02</v>
      </c>
      <c r="BT92" s="651"/>
      <c r="BU92" s="543"/>
      <c r="BV92" s="693">
        <v>-25</v>
      </c>
      <c r="BW92" s="670"/>
      <c r="BX92" s="553">
        <f t="shared" si="264"/>
        <v>-1.67</v>
      </c>
      <c r="BY92" s="541">
        <f t="shared" si="249"/>
        <v>0.03</v>
      </c>
      <c r="BZ92" s="651"/>
      <c r="CA92" s="543"/>
      <c r="CB92" s="693">
        <v>-25</v>
      </c>
      <c r="CC92" s="670">
        <f t="shared" si="265"/>
        <v>-1.1000000000000001</v>
      </c>
      <c r="CD92" s="671"/>
      <c r="CE92" s="541">
        <f t="shared" si="250"/>
        <v>6.6666666666666666E-2</v>
      </c>
      <c r="CF92" s="651"/>
      <c r="CG92" s="566"/>
      <c r="CH92" s="693">
        <v>-25</v>
      </c>
      <c r="CI92" s="670">
        <f t="shared" si="233"/>
        <v>0</v>
      </c>
      <c r="CJ92" s="671"/>
      <c r="CK92" s="541">
        <f t="shared" si="251"/>
        <v>7.3333333333333334E-2</v>
      </c>
      <c r="CL92" s="651"/>
      <c r="CN92" s="693">
        <v>-25</v>
      </c>
      <c r="CO92" s="670">
        <f t="shared" si="234"/>
        <v>0</v>
      </c>
      <c r="CP92" s="671">
        <f t="shared" si="252"/>
        <v>0</v>
      </c>
      <c r="CQ92" s="541">
        <f t="shared" si="253"/>
        <v>0.25666666666666665</v>
      </c>
      <c r="CR92" s="651"/>
    </row>
    <row r="93" spans="2:96" ht="13">
      <c r="B93" s="693">
        <v>-20</v>
      </c>
      <c r="C93" s="670">
        <v>-0.48</v>
      </c>
      <c r="D93" s="670">
        <f t="shared" si="254"/>
        <v>-0.65</v>
      </c>
      <c r="E93" s="652">
        <f t="shared" si="235"/>
        <v>0.17000000000000004</v>
      </c>
      <c r="F93" s="655">
        <f ca="1">VLOOKUP(F89,B89:E94,4)</f>
        <v>0.11333333333333334</v>
      </c>
      <c r="G93" s="554"/>
      <c r="H93" s="693">
        <v>-20</v>
      </c>
      <c r="I93" s="670">
        <v>-0.74</v>
      </c>
      <c r="J93" s="671">
        <f t="shared" si="236"/>
        <v>-0.47</v>
      </c>
      <c r="K93" s="652">
        <f t="shared" si="237"/>
        <v>0.27</v>
      </c>
      <c r="L93" s="655">
        <f ca="1">VLOOKUP(L89,H89:K94,4)</f>
        <v>0.18666666666666668</v>
      </c>
      <c r="M93" s="554"/>
      <c r="N93" s="693">
        <v>-20</v>
      </c>
      <c r="O93" s="671">
        <v>0</v>
      </c>
      <c r="P93" s="671">
        <f t="shared" si="255"/>
        <v>-0.43</v>
      </c>
      <c r="Q93" s="652">
        <f t="shared" si="238"/>
        <v>9.3333333333333338E-2</v>
      </c>
      <c r="R93" s="655">
        <f ca="1">VLOOKUP(R89,N89:Q94,4)</f>
        <v>9.3333333333333338E-2</v>
      </c>
      <c r="S93" s="543"/>
      <c r="T93" s="693">
        <v>-20</v>
      </c>
      <c r="U93" s="670"/>
      <c r="V93" s="671">
        <f t="shared" si="256"/>
        <v>-1.31</v>
      </c>
      <c r="W93" s="652">
        <f t="shared" si="239"/>
        <v>4.3333333333333335E-2</v>
      </c>
      <c r="X93" s="655">
        <f ca="1">VLOOKUP(X89,T89:W94,4)</f>
        <v>4.3333333333333335E-2</v>
      </c>
      <c r="Y93" s="543"/>
      <c r="Z93" s="693">
        <v>-20</v>
      </c>
      <c r="AA93" s="670">
        <v>-0.63</v>
      </c>
      <c r="AB93" s="671">
        <f t="shared" si="257"/>
        <v>0.19</v>
      </c>
      <c r="AC93" s="652">
        <f t="shared" si="240"/>
        <v>0.82000000000000006</v>
      </c>
      <c r="AD93" s="655">
        <f ca="1">VLOOKUP(AD89,Z89:AC94,4)</f>
        <v>3.3333333333333333E-2</v>
      </c>
      <c r="AE93" s="543"/>
      <c r="AF93" s="693">
        <v>-20</v>
      </c>
      <c r="AG93" s="670">
        <v>-0.1</v>
      </c>
      <c r="AH93" s="671">
        <f t="shared" si="258"/>
        <v>0.2</v>
      </c>
      <c r="AI93" s="652">
        <f t="shared" si="241"/>
        <v>0.30000000000000004</v>
      </c>
      <c r="AJ93" s="655">
        <f ca="1">VLOOKUP(AJ89,AF89:AI94,4)</f>
        <v>4.3333333333333335E-2</v>
      </c>
      <c r="AK93" s="543"/>
      <c r="AL93" s="693">
        <v>-20</v>
      </c>
      <c r="AM93" s="670"/>
      <c r="AN93" s="671">
        <f t="shared" si="259"/>
        <v>0.46</v>
      </c>
      <c r="AO93" s="652">
        <f t="shared" si="242"/>
        <v>3.3333333333333333E-2</v>
      </c>
      <c r="AP93" s="655">
        <f ca="1">VLOOKUP(AP89,AL89:AO94,4)</f>
        <v>3.3333333333333333E-2</v>
      </c>
      <c r="AQ93" s="543"/>
      <c r="AR93" s="693">
        <v>-20</v>
      </c>
      <c r="AS93" s="670"/>
      <c r="AT93" s="671">
        <f t="shared" si="260"/>
        <v>0.36</v>
      </c>
      <c r="AU93" s="652">
        <f t="shared" si="243"/>
        <v>3.6666666666666667E-2</v>
      </c>
      <c r="AV93" s="655">
        <f ca="1">VLOOKUP(AV89,AR89:AU94,4)</f>
        <v>3.6666666666666667E-2</v>
      </c>
      <c r="AW93" s="543"/>
      <c r="AX93" s="693">
        <v>-20</v>
      </c>
      <c r="AY93" s="670"/>
      <c r="AZ93" s="553">
        <f t="shared" si="261"/>
        <v>0.52</v>
      </c>
      <c r="BA93" s="541">
        <f t="shared" si="244"/>
        <v>0.26333333333333336</v>
      </c>
      <c r="BB93" s="655">
        <f ca="1">VLOOKUP(BB89,AX89:BA94,4)</f>
        <v>0.26333333333333336</v>
      </c>
      <c r="BC93" s="543"/>
      <c r="BD93" s="693">
        <v>-20</v>
      </c>
      <c r="BE93" s="670"/>
      <c r="BF93" s="553">
        <f t="shared" si="262"/>
        <v>-0.95</v>
      </c>
      <c r="BG93" s="541">
        <f t="shared" si="245"/>
        <v>3.3333333333333333E-2</v>
      </c>
      <c r="BH93" s="655">
        <f ca="1">VLOOKUP(BH89,BD89:BG94,4)</f>
        <v>3.3333333333333333E-2</v>
      </c>
      <c r="BI93" s="543"/>
      <c r="BJ93" s="693">
        <v>-20</v>
      </c>
      <c r="BK93" s="670"/>
      <c r="BL93" s="553">
        <f t="shared" si="246"/>
        <v>0.54</v>
      </c>
      <c r="BM93" s="541">
        <f t="shared" si="247"/>
        <v>0.26333333333333336</v>
      </c>
      <c r="BN93" s="655">
        <f ca="1">VLOOKUP(BN89,BJ89:BM94,4)</f>
        <v>0.26333333333333336</v>
      </c>
      <c r="BO93" s="543"/>
      <c r="BP93" s="693">
        <v>-20</v>
      </c>
      <c r="BQ93" s="670"/>
      <c r="BR93" s="671">
        <f t="shared" si="263"/>
        <v>-1.22</v>
      </c>
      <c r="BS93" s="541">
        <f t="shared" si="248"/>
        <v>0.02</v>
      </c>
      <c r="BT93" s="655">
        <f ca="1">VLOOKUP(BT89,BP89:BS94,4)</f>
        <v>0.02</v>
      </c>
      <c r="BU93" s="543"/>
      <c r="BV93" s="693">
        <v>-20</v>
      </c>
      <c r="BW93" s="670"/>
      <c r="BX93" s="553">
        <f t="shared" si="264"/>
        <v>-1.36</v>
      </c>
      <c r="BY93" s="541">
        <f t="shared" si="249"/>
        <v>0.03</v>
      </c>
      <c r="BZ93" s="655">
        <f ca="1">VLOOKUP(BZ89,BV89:BY94,4)</f>
        <v>0.03</v>
      </c>
      <c r="CA93" s="543"/>
      <c r="CB93" s="693">
        <v>-20</v>
      </c>
      <c r="CC93" s="670">
        <f t="shared" si="265"/>
        <v>-1.1000000000000001</v>
      </c>
      <c r="CD93" s="671">
        <v>-0.7</v>
      </c>
      <c r="CE93" s="541">
        <f t="shared" si="250"/>
        <v>0.40000000000000013</v>
      </c>
      <c r="CF93" s="655">
        <f ca="1">VLOOKUP(CF89,CB89:CE94,4)</f>
        <v>6.6666666666666666E-2</v>
      </c>
      <c r="CG93" s="567"/>
      <c r="CH93" s="693">
        <v>-20</v>
      </c>
      <c r="CI93" s="670">
        <f t="shared" si="233"/>
        <v>-0.15</v>
      </c>
      <c r="CJ93" s="671"/>
      <c r="CK93" s="541">
        <f t="shared" si="251"/>
        <v>7.3333333333333334E-2</v>
      </c>
      <c r="CL93" s="655">
        <f ca="1">VLOOKUP(CL89,CH89:CK94,4)</f>
        <v>7.3333333333333334E-2</v>
      </c>
      <c r="CN93" s="693">
        <v>-20</v>
      </c>
      <c r="CO93" s="670">
        <f t="shared" si="234"/>
        <v>-1.8</v>
      </c>
      <c r="CP93" s="671">
        <f t="shared" si="252"/>
        <v>-0.51</v>
      </c>
      <c r="CQ93" s="541">
        <f t="shared" si="253"/>
        <v>1.29</v>
      </c>
      <c r="CR93" s="655">
        <f ca="1">VLOOKUP(CR89,CN89:CQ94,4)</f>
        <v>0.25666666666666665</v>
      </c>
    </row>
    <row r="94" spans="2:96" ht="13">
      <c r="B94" s="693">
        <v>-15</v>
      </c>
      <c r="C94" s="670">
        <v>-0.4</v>
      </c>
      <c r="D94" s="670">
        <f t="shared" si="254"/>
        <v>-0.56999999999999995</v>
      </c>
      <c r="E94" s="652">
        <f t="shared" si="235"/>
        <v>0.16999999999999993</v>
      </c>
      <c r="F94" s="651"/>
      <c r="G94" s="554"/>
      <c r="H94" s="693">
        <v>-15</v>
      </c>
      <c r="I94" s="670">
        <v>-0.61</v>
      </c>
      <c r="J94" s="671">
        <f t="shared" si="236"/>
        <v>-0.4</v>
      </c>
      <c r="K94" s="652">
        <f t="shared" si="237"/>
        <v>0.20999999999999996</v>
      </c>
      <c r="L94" s="651"/>
      <c r="M94" s="554"/>
      <c r="N94" s="693">
        <v>-15</v>
      </c>
      <c r="O94" s="671">
        <v>-0.47</v>
      </c>
      <c r="P94" s="671">
        <f t="shared" si="255"/>
        <v>-0.37</v>
      </c>
      <c r="Q94" s="652">
        <f t="shared" si="238"/>
        <v>9.9999999999999978E-2</v>
      </c>
      <c r="R94" s="651"/>
      <c r="S94" s="543"/>
      <c r="T94" s="693">
        <v>-15</v>
      </c>
      <c r="U94" s="670"/>
      <c r="V94" s="671">
        <f t="shared" si="256"/>
        <v>-1.07</v>
      </c>
      <c r="W94" s="652">
        <f t="shared" si="239"/>
        <v>4.3333333333333335E-2</v>
      </c>
      <c r="X94" s="651"/>
      <c r="Y94" s="543"/>
      <c r="Z94" s="693">
        <v>-15</v>
      </c>
      <c r="AA94" s="670">
        <v>0</v>
      </c>
      <c r="AB94" s="671">
        <f t="shared" si="257"/>
        <v>0.23</v>
      </c>
      <c r="AC94" s="652">
        <f t="shared" si="240"/>
        <v>3.3333333333333333E-2</v>
      </c>
      <c r="AD94" s="651"/>
      <c r="AE94" s="543"/>
      <c r="AF94" s="693">
        <v>-15</v>
      </c>
      <c r="AG94" s="670">
        <v>0</v>
      </c>
      <c r="AH94" s="671">
        <f t="shared" si="258"/>
        <v>0.23</v>
      </c>
      <c r="AI94" s="652">
        <f t="shared" si="241"/>
        <v>4.3333333333333335E-2</v>
      </c>
      <c r="AJ94" s="651"/>
      <c r="AK94" s="543"/>
      <c r="AL94" s="693">
        <v>-15</v>
      </c>
      <c r="AM94" s="670"/>
      <c r="AN94" s="671">
        <f t="shared" si="259"/>
        <v>0.47</v>
      </c>
      <c r="AO94" s="652">
        <f t="shared" si="242"/>
        <v>3.3333333333333333E-2</v>
      </c>
      <c r="AP94" s="651"/>
      <c r="AQ94" s="543"/>
      <c r="AR94" s="693">
        <v>-15</v>
      </c>
      <c r="AS94" s="670"/>
      <c r="AT94" s="671">
        <f t="shared" si="260"/>
        <v>0.38</v>
      </c>
      <c r="AU94" s="652">
        <f t="shared" si="243"/>
        <v>3.6666666666666667E-2</v>
      </c>
      <c r="AV94" s="651"/>
      <c r="AW94" s="543"/>
      <c r="AX94" s="693">
        <v>-15</v>
      </c>
      <c r="AY94" s="670"/>
      <c r="AZ94" s="553">
        <f t="shared" si="261"/>
        <v>0</v>
      </c>
      <c r="BA94" s="541">
        <f t="shared" si="244"/>
        <v>0.26333333333333336</v>
      </c>
      <c r="BB94" s="651"/>
      <c r="BC94" s="543"/>
      <c r="BD94" s="693">
        <v>-15</v>
      </c>
      <c r="BE94" s="670"/>
      <c r="BF94" s="553">
        <f t="shared" si="262"/>
        <v>-0.69</v>
      </c>
      <c r="BG94" s="541">
        <f t="shared" si="245"/>
        <v>3.3333333333333333E-2</v>
      </c>
      <c r="BH94" s="651"/>
      <c r="BI94" s="543"/>
      <c r="BJ94" s="693">
        <v>-15</v>
      </c>
      <c r="BK94" s="670"/>
      <c r="BL94" s="553">
        <f t="shared" si="246"/>
        <v>0</v>
      </c>
      <c r="BM94" s="541">
        <f t="shared" si="247"/>
        <v>0.26333333333333336</v>
      </c>
      <c r="BN94" s="651"/>
      <c r="BO94" s="543"/>
      <c r="BP94" s="693">
        <v>-15</v>
      </c>
      <c r="BQ94" s="670"/>
      <c r="BR94" s="671">
        <f t="shared" si="263"/>
        <v>-0.97</v>
      </c>
      <c r="BS94" s="541">
        <f t="shared" si="248"/>
        <v>0.02</v>
      </c>
      <c r="BT94" s="651"/>
      <c r="BU94" s="543"/>
      <c r="BV94" s="693">
        <v>-15</v>
      </c>
      <c r="BW94" s="670"/>
      <c r="BX94" s="553">
        <f t="shared" si="264"/>
        <v>-1.0900000000000001</v>
      </c>
      <c r="BY94" s="541">
        <f t="shared" si="249"/>
        <v>0.03</v>
      </c>
      <c r="BZ94" s="651"/>
      <c r="CA94" s="543"/>
      <c r="CB94" s="693">
        <v>-15</v>
      </c>
      <c r="CC94" s="670">
        <f t="shared" si="265"/>
        <v>-1.1000000000000001</v>
      </c>
      <c r="CD94" s="671">
        <v>-0.7</v>
      </c>
      <c r="CE94" s="541">
        <f t="shared" si="250"/>
        <v>0.40000000000000013</v>
      </c>
      <c r="CF94" s="651"/>
      <c r="CG94" s="567"/>
      <c r="CH94" s="693">
        <v>-15</v>
      </c>
      <c r="CI94" s="670">
        <f t="shared" si="233"/>
        <v>-0.1</v>
      </c>
      <c r="CJ94" s="671"/>
      <c r="CK94" s="541">
        <f t="shared" si="251"/>
        <v>9.0000000000000011E-2</v>
      </c>
      <c r="CL94" s="651"/>
      <c r="CN94" s="693">
        <v>-15</v>
      </c>
      <c r="CO94" s="670">
        <f t="shared" si="234"/>
        <v>-1.52</v>
      </c>
      <c r="CP94" s="671">
        <f t="shared" si="252"/>
        <v>-0.39</v>
      </c>
      <c r="CQ94" s="541">
        <f t="shared" si="253"/>
        <v>1.1299999999999999</v>
      </c>
      <c r="CR94" s="651"/>
    </row>
    <row r="95" spans="2:96" ht="13">
      <c r="B95" s="693">
        <v>-10</v>
      </c>
      <c r="C95" s="670">
        <v>-0.33</v>
      </c>
      <c r="D95" s="670">
        <f t="shared" si="254"/>
        <v>-0.5</v>
      </c>
      <c r="E95" s="652">
        <f t="shared" si="235"/>
        <v>0.16999999999999998</v>
      </c>
      <c r="F95" s="655">
        <f ca="1">VLOOKUP(F91,B89:E94,4)</f>
        <v>0.11333333333333334</v>
      </c>
      <c r="G95" s="554"/>
      <c r="H95" s="693">
        <v>-10</v>
      </c>
      <c r="I95" s="670"/>
      <c r="J95" s="671">
        <f t="shared" si="236"/>
        <v>-0.34</v>
      </c>
      <c r="K95" s="652">
        <f t="shared" si="237"/>
        <v>0.18666666666666668</v>
      </c>
      <c r="L95" s="655">
        <f ca="1">VLOOKUP(L91,H89:K94,4)</f>
        <v>0.18666666666666668</v>
      </c>
      <c r="M95" s="554"/>
      <c r="N95" s="693">
        <v>-10</v>
      </c>
      <c r="O95" s="671">
        <v>-0.39</v>
      </c>
      <c r="P95" s="671">
        <f t="shared" si="255"/>
        <v>-0.31</v>
      </c>
      <c r="Q95" s="652">
        <f t="shared" si="238"/>
        <v>8.0000000000000016E-2</v>
      </c>
      <c r="R95" s="655">
        <f ca="1">VLOOKUP(R91,N89:Q94,4)</f>
        <v>9.3333333333333338E-2</v>
      </c>
      <c r="S95" s="543"/>
      <c r="T95" s="693">
        <v>-10</v>
      </c>
      <c r="U95" s="670"/>
      <c r="V95" s="671">
        <f t="shared" si="256"/>
        <v>-0.82</v>
      </c>
      <c r="W95" s="652">
        <f t="shared" si="239"/>
        <v>4.3333333333333335E-2</v>
      </c>
      <c r="X95" s="655">
        <f ca="1">VLOOKUP(X91,T89:W94,4)</f>
        <v>4.3333333333333335E-2</v>
      </c>
      <c r="Y95" s="543"/>
      <c r="Z95" s="693">
        <v>-10</v>
      </c>
      <c r="AA95" s="670">
        <v>-0.31</v>
      </c>
      <c r="AB95" s="671">
        <f t="shared" si="257"/>
        <v>0.26</v>
      </c>
      <c r="AC95" s="652">
        <f t="shared" si="240"/>
        <v>0.57000000000000006</v>
      </c>
      <c r="AD95" s="655">
        <f ca="1">VLOOKUP(AD91,Z89:AC94,4)</f>
        <v>3.3333333333333333E-2</v>
      </c>
      <c r="AE95" s="543"/>
      <c r="AF95" s="693">
        <v>-10</v>
      </c>
      <c r="AG95" s="670">
        <v>0.13</v>
      </c>
      <c r="AH95" s="671">
        <f t="shared" si="258"/>
        <v>0.25</v>
      </c>
      <c r="AI95" s="652">
        <f t="shared" si="241"/>
        <v>0.12</v>
      </c>
      <c r="AJ95" s="655">
        <f ca="1">VLOOKUP(AJ91,AF89:AI94,4)</f>
        <v>4.3333333333333335E-2</v>
      </c>
      <c r="AK95" s="543"/>
      <c r="AL95" s="693">
        <v>-10</v>
      </c>
      <c r="AM95" s="670"/>
      <c r="AN95" s="671">
        <f t="shared" si="259"/>
        <v>0.48</v>
      </c>
      <c r="AO95" s="652">
        <f t="shared" si="242"/>
        <v>3.3333333333333333E-2</v>
      </c>
      <c r="AP95" s="655">
        <f ca="1">VLOOKUP(AP91,AL89:AO94,4)</f>
        <v>3.3333333333333333E-2</v>
      </c>
      <c r="AQ95" s="543"/>
      <c r="AR95" s="693">
        <v>-10</v>
      </c>
      <c r="AS95" s="670"/>
      <c r="AT95" s="671">
        <f t="shared" si="260"/>
        <v>0.4</v>
      </c>
      <c r="AU95" s="652">
        <f t="shared" si="243"/>
        <v>3.6666666666666667E-2</v>
      </c>
      <c r="AV95" s="655">
        <f ca="1">VLOOKUP(AV91,AR89:AU94,4)</f>
        <v>3.6666666666666667E-2</v>
      </c>
      <c r="AW95" s="543"/>
      <c r="AX95" s="693">
        <v>-10</v>
      </c>
      <c r="AY95" s="670"/>
      <c r="AZ95" s="553">
        <f t="shared" si="261"/>
        <v>0.5</v>
      </c>
      <c r="BA95" s="541">
        <f t="shared" si="244"/>
        <v>0.26333333333333336</v>
      </c>
      <c r="BB95" s="655">
        <f ca="1">VLOOKUP(BB91,AX89:BA94,4)</f>
        <v>0.26333333333333336</v>
      </c>
      <c r="BC95" s="543"/>
      <c r="BD95" s="693">
        <v>-10</v>
      </c>
      <c r="BE95" s="670"/>
      <c r="BF95" s="553">
        <f t="shared" si="262"/>
        <v>-0.49</v>
      </c>
      <c r="BG95" s="541">
        <f t="shared" si="245"/>
        <v>3.3333333333333333E-2</v>
      </c>
      <c r="BH95" s="655">
        <f ca="1">VLOOKUP(BH91,BD89:BG94,4)</f>
        <v>3.3333333333333333E-2</v>
      </c>
      <c r="BI95" s="543"/>
      <c r="BJ95" s="693">
        <v>-10</v>
      </c>
      <c r="BK95" s="670"/>
      <c r="BL95" s="553">
        <f t="shared" si="246"/>
        <v>0.53</v>
      </c>
      <c r="BM95" s="541">
        <f t="shared" si="247"/>
        <v>0.26333333333333336</v>
      </c>
      <c r="BN95" s="655">
        <f ca="1">VLOOKUP(BN91,BJ89:BM94,4)</f>
        <v>0.26333333333333336</v>
      </c>
      <c r="BO95" s="543"/>
      <c r="BP95" s="693">
        <v>-10</v>
      </c>
      <c r="BQ95" s="670"/>
      <c r="BR95" s="671">
        <f t="shared" si="263"/>
        <v>-0.77</v>
      </c>
      <c r="BS95" s="541">
        <f t="shared" si="248"/>
        <v>0.02</v>
      </c>
      <c r="BT95" s="655">
        <f ca="1">VLOOKUP(BT91,BP89:BS94,4)</f>
        <v>0.02</v>
      </c>
      <c r="BU95" s="543"/>
      <c r="BV95" s="693">
        <v>-10</v>
      </c>
      <c r="BW95" s="670"/>
      <c r="BX95" s="553">
        <f t="shared" si="264"/>
        <v>-0.85</v>
      </c>
      <c r="BY95" s="541">
        <f t="shared" si="249"/>
        <v>0.03</v>
      </c>
      <c r="BZ95" s="655">
        <f ca="1">VLOOKUP(BZ91,BV89:BY94,4)</f>
        <v>0.03</v>
      </c>
      <c r="CA95" s="543"/>
      <c r="CB95" s="693">
        <v>-10</v>
      </c>
      <c r="CC95" s="670">
        <f t="shared" si="265"/>
        <v>-1.2</v>
      </c>
      <c r="CD95" s="671">
        <v>-0.7</v>
      </c>
      <c r="CE95" s="541">
        <f t="shared" si="250"/>
        <v>0.5</v>
      </c>
      <c r="CF95" s="655">
        <f ca="1">VLOOKUP(CF91,CB89:CE94,4)</f>
        <v>6.6666666666666666E-2</v>
      </c>
      <c r="CG95" s="567"/>
      <c r="CH95" s="693">
        <v>-10</v>
      </c>
      <c r="CI95" s="670">
        <f t="shared" si="233"/>
        <v>-0.05</v>
      </c>
      <c r="CJ95" s="671"/>
      <c r="CK95" s="541">
        <f t="shared" si="251"/>
        <v>6.2E-2</v>
      </c>
      <c r="CL95" s="655">
        <f ca="1">VLOOKUP(CL91,CH89:CK94,4)</f>
        <v>7.3333333333333334E-2</v>
      </c>
      <c r="CN95" s="693">
        <v>-10</v>
      </c>
      <c r="CO95" s="670">
        <f t="shared" si="234"/>
        <v>-1.26</v>
      </c>
      <c r="CP95" s="671">
        <f t="shared" si="252"/>
        <v>-0.28000000000000003</v>
      </c>
      <c r="CQ95" s="541">
        <f t="shared" si="253"/>
        <v>0.98</v>
      </c>
      <c r="CR95" s="655">
        <f ca="1">VLOOKUP(CR91,CN89:CQ94,4)</f>
        <v>0.25666666666666665</v>
      </c>
    </row>
    <row r="96" spans="2:96" ht="13">
      <c r="B96" s="693">
        <v>-5</v>
      </c>
      <c r="C96" s="670"/>
      <c r="D96" s="670"/>
      <c r="E96" s="652"/>
      <c r="F96" s="1340"/>
      <c r="G96" s="554"/>
      <c r="H96" s="693">
        <v>-5</v>
      </c>
      <c r="I96" s="670"/>
      <c r="J96" s="671"/>
      <c r="K96" s="652"/>
      <c r="L96" s="1340"/>
      <c r="M96" s="554"/>
      <c r="N96" s="693">
        <v>-5</v>
      </c>
      <c r="O96" s="671">
        <v>0</v>
      </c>
      <c r="P96" s="671">
        <f t="shared" si="255"/>
        <v>0</v>
      </c>
      <c r="Q96" s="652"/>
      <c r="R96" s="1340"/>
      <c r="S96" s="543"/>
      <c r="T96" s="693">
        <v>-5</v>
      </c>
      <c r="U96" s="670"/>
      <c r="V96" s="671"/>
      <c r="W96" s="652"/>
      <c r="X96" s="1340"/>
      <c r="Y96" s="543"/>
      <c r="Z96" s="693">
        <v>-5</v>
      </c>
      <c r="AA96" s="670">
        <v>0</v>
      </c>
      <c r="AB96" s="671">
        <f t="shared" si="257"/>
        <v>0.26</v>
      </c>
      <c r="AC96" s="652">
        <f t="shared" si="240"/>
        <v>3.3333333333333333E-2</v>
      </c>
      <c r="AD96" s="1340"/>
      <c r="AE96" s="543"/>
      <c r="AF96" s="693">
        <v>-5</v>
      </c>
      <c r="AG96" s="670">
        <v>0</v>
      </c>
      <c r="AH96" s="671">
        <f t="shared" si="258"/>
        <v>0.25</v>
      </c>
      <c r="AI96" s="652">
        <f t="shared" si="241"/>
        <v>4.3333333333333335E-2</v>
      </c>
      <c r="AJ96" s="1340"/>
      <c r="AK96" s="543"/>
      <c r="AL96" s="693">
        <v>-5</v>
      </c>
      <c r="AM96" s="670"/>
      <c r="AN96" s="671">
        <f t="shared" si="259"/>
        <v>0.48</v>
      </c>
      <c r="AO96" s="652">
        <f t="shared" si="242"/>
        <v>3.3333333333333333E-2</v>
      </c>
      <c r="AP96" s="1340"/>
      <c r="AQ96" s="543"/>
      <c r="AR96" s="693">
        <v>-5</v>
      </c>
      <c r="AS96" s="670"/>
      <c r="AT96" s="671">
        <f t="shared" si="260"/>
        <v>0.4</v>
      </c>
      <c r="AU96" s="652">
        <f t="shared" si="243"/>
        <v>3.6666666666666667E-2</v>
      </c>
      <c r="AV96" s="1340"/>
      <c r="AW96" s="543"/>
      <c r="AX96" s="693">
        <v>-5</v>
      </c>
      <c r="AY96" s="670"/>
      <c r="AZ96" s="553">
        <f t="shared" si="261"/>
        <v>0</v>
      </c>
      <c r="BA96" s="541">
        <f t="shared" si="244"/>
        <v>0.26333333333333336</v>
      </c>
      <c r="BB96" s="1340"/>
      <c r="BC96" s="543"/>
      <c r="BD96" s="693">
        <v>-5</v>
      </c>
      <c r="BE96" s="670"/>
      <c r="BF96" s="553">
        <f t="shared" si="262"/>
        <v>0</v>
      </c>
      <c r="BG96" s="541">
        <f t="shared" si="245"/>
        <v>3.3333333333333333E-2</v>
      </c>
      <c r="BH96" s="1340"/>
      <c r="BI96" s="543"/>
      <c r="BJ96" s="693">
        <v>-5</v>
      </c>
      <c r="BK96" s="670"/>
      <c r="BL96" s="553">
        <f t="shared" si="246"/>
        <v>0</v>
      </c>
      <c r="BM96" s="541">
        <f t="shared" si="247"/>
        <v>0.26333333333333336</v>
      </c>
      <c r="BN96" s="1340"/>
      <c r="BO96" s="543"/>
      <c r="BP96" s="693">
        <v>-5</v>
      </c>
      <c r="BQ96" s="670"/>
      <c r="BR96" s="671">
        <f t="shared" si="263"/>
        <v>0</v>
      </c>
      <c r="BS96" s="541">
        <f t="shared" si="248"/>
        <v>0.02</v>
      </c>
      <c r="BT96" s="1340"/>
      <c r="BU96" s="543"/>
      <c r="BV96" s="693">
        <v>-5</v>
      </c>
      <c r="BW96" s="670"/>
      <c r="BX96" s="553">
        <f t="shared" si="264"/>
        <v>0</v>
      </c>
      <c r="BY96" s="541">
        <f t="shared" si="249"/>
        <v>0.03</v>
      </c>
      <c r="BZ96" s="1340"/>
      <c r="CA96" s="543"/>
      <c r="CB96" s="693">
        <v>-5</v>
      </c>
      <c r="CC96" s="670">
        <f t="shared" si="265"/>
        <v>0</v>
      </c>
      <c r="CD96" s="671"/>
      <c r="CE96" s="541">
        <f t="shared" si="250"/>
        <v>6.6666666666666666E-2</v>
      </c>
      <c r="CF96" s="1340"/>
      <c r="CG96" s="567"/>
      <c r="CH96" s="693">
        <v>-5</v>
      </c>
      <c r="CI96" s="670">
        <f t="shared" si="233"/>
        <v>0</v>
      </c>
      <c r="CJ96" s="671"/>
      <c r="CK96" s="541">
        <f t="shared" si="251"/>
        <v>7.3333333333333334E-2</v>
      </c>
      <c r="CL96" s="1340"/>
      <c r="CN96" s="693">
        <v>-5</v>
      </c>
      <c r="CO96" s="670">
        <f t="shared" si="234"/>
        <v>0</v>
      </c>
      <c r="CP96" s="671"/>
      <c r="CQ96" s="541"/>
      <c r="CR96" s="1340"/>
    </row>
    <row r="97" spans="2:96" ht="13">
      <c r="B97" s="693">
        <v>0</v>
      </c>
      <c r="C97" s="670">
        <v>-0.2</v>
      </c>
      <c r="D97" s="670">
        <f>U179</f>
        <v>-0.36</v>
      </c>
      <c r="E97" s="652">
        <f>IF(OR(C97=0,D97=0),$U$180/3,((MAX(C97:D97)-(MIN(C97:D97)))))</f>
        <v>0.15999999999999998</v>
      </c>
      <c r="F97" s="1339">
        <f ca="1">(((F95-F93)/(F91-F89))*(F88-F89))+F93</f>
        <v>0.11333333333333334</v>
      </c>
      <c r="G97" s="554"/>
      <c r="H97" s="693">
        <v>0</v>
      </c>
      <c r="I97" s="670">
        <v>-0.28999999999999998</v>
      </c>
      <c r="J97" s="671">
        <f>V179</f>
        <v>-0.21</v>
      </c>
      <c r="K97" s="652">
        <f>IF(OR(I97=0,J97=0),$V$180/3,((MAX(I97:J97)-(MIN(I97:J97)))))</f>
        <v>7.9999999999999988E-2</v>
      </c>
      <c r="L97" s="1339">
        <f ca="1">(((L95-L93)/(L91-L89))*(L88-L89))+L93</f>
        <v>0.18666666666666668</v>
      </c>
      <c r="M97" s="554"/>
      <c r="N97" s="693">
        <v>0</v>
      </c>
      <c r="O97" s="671">
        <v>-0.33</v>
      </c>
      <c r="P97" s="671">
        <f t="shared" si="255"/>
        <v>-0.21</v>
      </c>
      <c r="Q97" s="652">
        <f>IF(OR(O97=0,P97=0),$W$180/3,((MAX(O97:P97)-(MIN(O97:P97)))))</f>
        <v>0.12000000000000002</v>
      </c>
      <c r="R97" s="1339">
        <f ca="1">(((R95-R93)/(R91-R89))*(R88-R89))+R93</f>
        <v>9.3333333333333338E-2</v>
      </c>
      <c r="S97" s="543"/>
      <c r="T97" s="693">
        <v>0</v>
      </c>
      <c r="U97" s="670"/>
      <c r="V97" s="671">
        <f>X179</f>
        <v>-0.28999999999999998</v>
      </c>
      <c r="W97" s="652">
        <f>IF(OR(U97=0,V97=0),$X$180/3,((MAX(U97:V97)-(MIN(U97:V97)))))</f>
        <v>4.3333333333333335E-2</v>
      </c>
      <c r="X97" s="1339">
        <f ca="1">(((X95-X93)/(X91-X89))*(X88-X89))+X93</f>
        <v>4.3333333333333335E-2</v>
      </c>
      <c r="Y97" s="543"/>
      <c r="Z97" s="693">
        <v>0</v>
      </c>
      <c r="AA97" s="670">
        <v>-0.05</v>
      </c>
      <c r="AB97" s="671">
        <f>Y179</f>
        <v>0.22</v>
      </c>
      <c r="AC97" s="652">
        <f t="shared" si="240"/>
        <v>0.27</v>
      </c>
      <c r="AD97" s="1339">
        <f ca="1">(((AD95-AD93)/(AD91-AD89))*(AD88-AD89))+AD93</f>
        <v>3.3333333333333333E-2</v>
      </c>
      <c r="AE97" s="543"/>
      <c r="AF97" s="693">
        <v>0</v>
      </c>
      <c r="AG97" s="670">
        <v>0.32</v>
      </c>
      <c r="AH97" s="671">
        <f>Z179</f>
        <v>0.21</v>
      </c>
      <c r="AI97" s="652">
        <f t="shared" si="241"/>
        <v>0.11000000000000001</v>
      </c>
      <c r="AJ97" s="1339">
        <f ca="1">(((AJ95-AJ93)/(AJ91-AJ89))*(AJ88-AJ89))+AJ93</f>
        <v>4.3333333333333335E-2</v>
      </c>
      <c r="AK97" s="543"/>
      <c r="AL97" s="693">
        <v>0</v>
      </c>
      <c r="AM97" s="670"/>
      <c r="AN97" s="671">
        <f>AA179</f>
        <v>0.46</v>
      </c>
      <c r="AO97" s="652">
        <f t="shared" si="242"/>
        <v>3.3333333333333333E-2</v>
      </c>
      <c r="AP97" s="1339">
        <f ca="1">(((AP95-AP93)/(AP91-AP89))*(AP88-AP89))+AP93</f>
        <v>3.3333333333333333E-2</v>
      </c>
      <c r="AQ97" s="543"/>
      <c r="AR97" s="693">
        <v>0</v>
      </c>
      <c r="AS97" s="670"/>
      <c r="AT97" s="671">
        <f>AB179</f>
        <v>0.39</v>
      </c>
      <c r="AU97" s="652">
        <f t="shared" si="243"/>
        <v>3.6666666666666667E-2</v>
      </c>
      <c r="AV97" s="1339">
        <f ca="1">(((AV95-AV93)/(AV91-AV89))*(AV88-AV89))+AV93</f>
        <v>3.6666666666666667E-2</v>
      </c>
      <c r="AW97" s="543"/>
      <c r="AX97" s="693">
        <v>0</v>
      </c>
      <c r="AY97" s="670"/>
      <c r="AZ97" s="553">
        <f>AC179</f>
        <v>0.48</v>
      </c>
      <c r="BA97" s="541">
        <f t="shared" si="244"/>
        <v>0.26333333333333336</v>
      </c>
      <c r="BB97" s="1339">
        <f ca="1">(((BB95-BB93)/(BB91-BB89))*(BB88-BB89))+BB93</f>
        <v>0.26333333333333336</v>
      </c>
      <c r="BC97" s="543"/>
      <c r="BD97" s="693">
        <v>0</v>
      </c>
      <c r="BE97" s="670"/>
      <c r="BF97" s="553">
        <f>AD179</f>
        <v>-0.27</v>
      </c>
      <c r="BG97" s="541">
        <f t="shared" si="245"/>
        <v>3.3333333333333333E-2</v>
      </c>
      <c r="BH97" s="1339">
        <f ca="1">(((BH95-BH93)/(BH91-BH89))*(BH88-BH89))+BH93</f>
        <v>3.3333333333333333E-2</v>
      </c>
      <c r="BI97" s="543"/>
      <c r="BJ97" s="693">
        <v>0</v>
      </c>
      <c r="BK97" s="670"/>
      <c r="BL97" s="553">
        <f t="shared" si="246"/>
        <v>0.51</v>
      </c>
      <c r="BM97" s="541">
        <f t="shared" si="247"/>
        <v>0.26333333333333336</v>
      </c>
      <c r="BN97" s="1339">
        <f ca="1">(((BN95-BN93)/(BN91-BN89))*(BN88-BN89))+BN93</f>
        <v>0.26333333333333336</v>
      </c>
      <c r="BO97" s="543"/>
      <c r="BP97" s="693">
        <v>0</v>
      </c>
      <c r="BQ97" s="670"/>
      <c r="BR97" s="671">
        <f>AF179</f>
        <v>-0.56000000000000005</v>
      </c>
      <c r="BS97" s="541">
        <f t="shared" si="248"/>
        <v>0.02</v>
      </c>
      <c r="BT97" s="1339">
        <f ca="1">(((BT95-BT93)/(BT91-BT89))*(BT88-BT89))+BT93</f>
        <v>0.02</v>
      </c>
      <c r="BU97" s="543"/>
      <c r="BV97" s="693">
        <v>0</v>
      </c>
      <c r="BW97" s="670"/>
      <c r="BX97" s="553">
        <f>AG179</f>
        <v>-0.46</v>
      </c>
      <c r="BY97" s="541">
        <f t="shared" si="249"/>
        <v>0.03</v>
      </c>
      <c r="BZ97" s="1339">
        <f ca="1">(((BZ95-BZ93)/(BZ91-BZ89))*(BZ88-BZ89))+BZ93</f>
        <v>0.03</v>
      </c>
      <c r="CA97" s="543"/>
      <c r="CB97" s="693">
        <v>0</v>
      </c>
      <c r="CC97" s="670">
        <f t="shared" si="265"/>
        <v>-1.4</v>
      </c>
      <c r="CD97" s="671">
        <v>-0.7</v>
      </c>
      <c r="CE97" s="541">
        <f t="shared" si="250"/>
        <v>0.7</v>
      </c>
      <c r="CF97" s="1339">
        <f ca="1">(((CF95-CF93)/(CF91-CF89))*(CF88-CF89))+CF93</f>
        <v>6.6666666666666666E-2</v>
      </c>
      <c r="CG97" s="568"/>
      <c r="CH97" s="693">
        <v>0</v>
      </c>
      <c r="CI97" s="670">
        <f t="shared" si="233"/>
        <v>0.03</v>
      </c>
      <c r="CJ97" s="671"/>
      <c r="CK97" s="541">
        <f t="shared" si="251"/>
        <v>2.5999999999999999E-2</v>
      </c>
      <c r="CL97" s="1339">
        <f ca="1">(((CL95-CL93)/(CL91-CL89))*(CL88-CL89))+CL93</f>
        <v>7.3333333333333334E-2</v>
      </c>
      <c r="CN97" s="693">
        <v>0</v>
      </c>
      <c r="CO97" s="670">
        <f t="shared" si="234"/>
        <v>-0.79</v>
      </c>
      <c r="CP97" s="671">
        <f>CP13</f>
        <v>-0.08</v>
      </c>
      <c r="CQ97" s="541">
        <f>CQ85</f>
        <v>0.71000000000000008</v>
      </c>
      <c r="CR97" s="1339">
        <f ca="1">(((CR95-CR93)/(CR91-CR89))*(CR88-CR89))+CR93</f>
        <v>0.25666666666666665</v>
      </c>
    </row>
    <row r="98" spans="2:96" s="543" customFormat="1" ht="13">
      <c r="B98" s="678"/>
      <c r="C98" s="679"/>
      <c r="D98" s="679"/>
      <c r="E98" s="683"/>
      <c r="F98" s="556"/>
      <c r="G98" s="556"/>
      <c r="H98" s="678"/>
      <c r="I98" s="683"/>
      <c r="J98" s="683"/>
      <c r="K98" s="683"/>
      <c r="L98" s="556"/>
      <c r="M98" s="556"/>
      <c r="N98" s="683"/>
      <c r="O98" s="680"/>
      <c r="P98" s="680"/>
      <c r="Q98" s="680"/>
      <c r="R98" s="556"/>
      <c r="T98" s="678"/>
      <c r="U98" s="679"/>
      <c r="V98" s="679"/>
      <c r="W98" s="679"/>
      <c r="X98" s="556"/>
      <c r="Y98" s="544"/>
      <c r="Z98" s="679"/>
      <c r="AA98" s="679"/>
      <c r="AB98" s="679"/>
      <c r="AC98" s="680"/>
      <c r="AD98" s="556"/>
      <c r="AF98" s="680"/>
      <c r="AG98" s="680"/>
      <c r="AH98" s="679"/>
      <c r="AI98" s="680"/>
      <c r="AJ98" s="556"/>
      <c r="AM98" s="680"/>
      <c r="AN98" s="679"/>
      <c r="AO98" s="680"/>
      <c r="AP98" s="556"/>
      <c r="AS98" s="680"/>
      <c r="AT98" s="679"/>
      <c r="AU98" s="680"/>
      <c r="AV98" s="556"/>
      <c r="AX98" s="678"/>
      <c r="AZ98" s="544"/>
      <c r="BB98" s="556"/>
      <c r="BD98" s="678"/>
      <c r="BF98" s="544"/>
      <c r="BH98" s="556"/>
      <c r="BJ98" s="678"/>
      <c r="BL98" s="544"/>
      <c r="BN98" s="556"/>
      <c r="BP98" s="678"/>
      <c r="BR98" s="544"/>
      <c r="BT98" s="556"/>
      <c r="BV98" s="678"/>
      <c r="BX98" s="544"/>
      <c r="BZ98" s="556"/>
      <c r="CB98" s="678"/>
      <c r="CD98" s="544"/>
      <c r="CF98" s="556"/>
      <c r="CH98" s="678"/>
      <c r="CJ98" s="544"/>
      <c r="CL98" s="556"/>
      <c r="CN98" s="678"/>
      <c r="CP98" s="544"/>
      <c r="CR98" s="556"/>
    </row>
    <row r="99" spans="2:96" ht="24.75" customHeight="1">
      <c r="B99" s="1195" t="s">
        <v>365</v>
      </c>
      <c r="C99" s="1197" t="str">
        <f>C87</f>
        <v>Thermocouple Data Logger, Merek : MADGETECH, Model : OctTemp 2000, SN : P40270</v>
      </c>
      <c r="D99" s="1197"/>
      <c r="E99" s="1197"/>
      <c r="F99" s="546" t="str">
        <f>F87</f>
        <v>Interpolasi</v>
      </c>
      <c r="G99" s="547"/>
      <c r="H99" s="1195" t="s">
        <v>365</v>
      </c>
      <c r="I99" s="1197" t="str">
        <f>I87</f>
        <v>Thermocouple Data Logger, Merek : MADGETECH, Model : OctTemp 2000, SN : P41878</v>
      </c>
      <c r="J99" s="1197"/>
      <c r="K99" s="1197"/>
      <c r="L99" s="546" t="str">
        <f>L87</f>
        <v>Interpolasi</v>
      </c>
      <c r="M99" s="547"/>
      <c r="N99" s="1195" t="str">
        <f>H99</f>
        <v>CH 9</v>
      </c>
      <c r="O99" s="1197" t="str">
        <f>O87</f>
        <v>Mobile Corder, Merek : Yokogawa, Model : GP 10, SN : S5T810599</v>
      </c>
      <c r="P99" s="1198"/>
      <c r="Q99" s="1197"/>
      <c r="R99" s="546" t="str">
        <f>R87</f>
        <v>Interpolasi</v>
      </c>
      <c r="S99" s="543"/>
      <c r="T99" s="1195" t="s">
        <v>365</v>
      </c>
      <c r="U99" s="1197" t="str">
        <f>U87</f>
        <v>Wireless Temperature Recorder, Merek : HIOKI, Model : LR 8510, SN : 200936000</v>
      </c>
      <c r="V99" s="1198"/>
      <c r="W99" s="1197"/>
      <c r="X99" s="546" t="str">
        <f>X87</f>
        <v>Interpolasi</v>
      </c>
      <c r="Y99" s="543"/>
      <c r="Z99" s="1195" t="str">
        <f>T99</f>
        <v>CH 9</v>
      </c>
      <c r="AA99" s="1197" t="str">
        <f>AA87</f>
        <v>Wireless Temperature Recorder, Merek : HIOKI, Model : LR 8510, SN : 200936001</v>
      </c>
      <c r="AB99" s="1198"/>
      <c r="AC99" s="1197"/>
      <c r="AD99" s="546" t="str">
        <f>AD87</f>
        <v>Interpolasi</v>
      </c>
      <c r="AE99" s="543"/>
      <c r="AF99" s="1195" t="str">
        <f>Z99</f>
        <v>CH 9</v>
      </c>
      <c r="AG99" s="1197" t="str">
        <f>AG87</f>
        <v>Wireless Temperature Recorder, Merek : HIOKI, Model : LR 8510, SN : 200821397</v>
      </c>
      <c r="AH99" s="1198"/>
      <c r="AI99" s="1197"/>
      <c r="AJ99" s="546" t="str">
        <f>AJ87</f>
        <v>Interpolasi</v>
      </c>
      <c r="AK99" s="543"/>
      <c r="AL99" s="1199" t="str">
        <f>AF99</f>
        <v>CH 9</v>
      </c>
      <c r="AM99" s="1197" t="str">
        <f>AM87</f>
        <v>Wireless Temperature Recorder, Merek : HIOKI, Model : LR 8510, SN : 210411983</v>
      </c>
      <c r="AN99" s="1198"/>
      <c r="AO99" s="1197"/>
      <c r="AP99" s="546" t="str">
        <f>AP87</f>
        <v>Interpolasi</v>
      </c>
      <c r="AQ99" s="569"/>
      <c r="AR99" s="1199" t="str">
        <f>AL99</f>
        <v>CH 9</v>
      </c>
      <c r="AS99" s="1197" t="str">
        <f>AS87</f>
        <v>Wireless Temperature Recorder, Merek : HIOKI, Model : LR 8510, SN : 210411984</v>
      </c>
      <c r="AT99" s="1198"/>
      <c r="AU99" s="1197"/>
      <c r="AV99" s="546" t="str">
        <f>AV87</f>
        <v>Interpolasi</v>
      </c>
      <c r="AW99" s="543"/>
      <c r="AX99" s="1195" t="s">
        <v>365</v>
      </c>
      <c r="AY99" s="1193" t="str">
        <f>AY87</f>
        <v>Wireless Temperature Recorder, Merek : HIOKI, Model : LR 8510, SN : 210411985</v>
      </c>
      <c r="AZ99" s="1194"/>
      <c r="BA99" s="1193"/>
      <c r="BB99" s="546" t="str">
        <f>BB87</f>
        <v>Interpolasi</v>
      </c>
      <c r="BC99" s="543"/>
      <c r="BD99" s="1195" t="s">
        <v>365</v>
      </c>
      <c r="BE99" s="1193" t="str">
        <f>BE87</f>
        <v>Wireless Temperature Recorder, Merek : HIOKI, Model : LR 8510, SN : 210746054</v>
      </c>
      <c r="BF99" s="1194"/>
      <c r="BG99" s="1193"/>
      <c r="BH99" s="546" t="str">
        <f>BH87</f>
        <v>Interpolasi</v>
      </c>
      <c r="BI99" s="543"/>
      <c r="BJ99" s="1195" t="s">
        <v>365</v>
      </c>
      <c r="BK99" s="1193" t="str">
        <f>BK87</f>
        <v>Wireless Temperature Recorder, Merek : HIOKI, Model : LR 8510, SN : 210746055</v>
      </c>
      <c r="BL99" s="1194"/>
      <c r="BM99" s="1193"/>
      <c r="BN99" s="546" t="str">
        <f>BN87</f>
        <v>Interpolasi</v>
      </c>
      <c r="BO99" s="543"/>
      <c r="BP99" s="1195" t="s">
        <v>365</v>
      </c>
      <c r="BQ99" s="1193" t="str">
        <f>BQ87</f>
        <v>Wireless Temperature Recorder, Merek : HIOKI, Model : LR 8510, SN : 210746056</v>
      </c>
      <c r="BR99" s="1194"/>
      <c r="BS99" s="1193"/>
      <c r="BT99" s="546" t="str">
        <f>BT87</f>
        <v>Interpolasi</v>
      </c>
      <c r="BU99" s="543"/>
      <c r="BV99" s="1195" t="s">
        <v>365</v>
      </c>
      <c r="BW99" s="1193" t="str">
        <f>BW87</f>
        <v>Wireless Temperature Recorder, Merek : HIOKI, Model : LR 8510, SN : 200821396</v>
      </c>
      <c r="BX99" s="1194"/>
      <c r="BY99" s="1193"/>
      <c r="BZ99" s="546" t="str">
        <f>BZ87</f>
        <v>Interpolasi</v>
      </c>
      <c r="CA99" s="543"/>
      <c r="CB99" s="1195" t="s">
        <v>365</v>
      </c>
      <c r="CC99" s="1193" t="str">
        <f>CC87</f>
        <v>Reference Thermometer, Merek : APPA, Model : APPA51, SN : 03002948</v>
      </c>
      <c r="CD99" s="1194"/>
      <c r="CE99" s="1193"/>
      <c r="CF99" s="546" t="str">
        <f>CF87</f>
        <v>Interpolasi</v>
      </c>
      <c r="CH99" s="1195" t="s">
        <v>365</v>
      </c>
      <c r="CI99" s="1193" t="str">
        <f t="shared" ref="CI99:CI109" si="266">CI87</f>
        <v>Reference Thermometer, Merek : FLUKE, Model : 1524, SN : 1803038</v>
      </c>
      <c r="CJ99" s="1194"/>
      <c r="CK99" s="1193"/>
      <c r="CL99" s="546" t="str">
        <f>CL87</f>
        <v>Interpolasi</v>
      </c>
      <c r="CN99" s="1195" t="s">
        <v>365</v>
      </c>
      <c r="CO99" s="1193" t="str">
        <f t="shared" ref="CO99:CO109" si="267">CO87</f>
        <v>Reference Thermometer, Merek : FLUKE, Model : 1524, SN : 1803037</v>
      </c>
      <c r="CP99" s="1194"/>
      <c r="CQ99" s="1193"/>
      <c r="CR99" s="546" t="str">
        <f>CR87</f>
        <v>Interpolasi</v>
      </c>
    </row>
    <row r="100" spans="2:96" ht="13">
      <c r="B100" s="1196"/>
      <c r="C100" s="681">
        <f>C88</f>
        <v>2021</v>
      </c>
      <c r="D100" s="681">
        <f>D88</f>
        <v>2022</v>
      </c>
      <c r="E100" s="682" t="s">
        <v>357</v>
      </c>
      <c r="F100" s="656">
        <f ca="1">$B$243</f>
        <v>-26.693000000000005</v>
      </c>
      <c r="G100" s="551"/>
      <c r="H100" s="1196"/>
      <c r="I100" s="677">
        <f>I88</f>
        <v>2021</v>
      </c>
      <c r="J100" s="677">
        <f>J88</f>
        <v>2022</v>
      </c>
      <c r="K100" s="682" t="s">
        <v>357</v>
      </c>
      <c r="L100" s="656">
        <f ca="1">$B$243</f>
        <v>-26.693000000000005</v>
      </c>
      <c r="M100" s="551"/>
      <c r="N100" s="1196"/>
      <c r="O100" s="677">
        <f>O16</f>
        <v>2021</v>
      </c>
      <c r="P100" s="681">
        <f>P16</f>
        <v>2023</v>
      </c>
      <c r="Q100" s="682" t="s">
        <v>357</v>
      </c>
      <c r="R100" s="656">
        <f ca="1">$B$243</f>
        <v>-26.693000000000005</v>
      </c>
      <c r="S100" s="543"/>
      <c r="T100" s="1196"/>
      <c r="U100" s="668">
        <f>U88</f>
        <v>0</v>
      </c>
      <c r="V100" s="681">
        <f>V88</f>
        <v>2022</v>
      </c>
      <c r="W100" s="682" t="s">
        <v>357</v>
      </c>
      <c r="X100" s="656">
        <f ca="1">$B$243</f>
        <v>-26.693000000000005</v>
      </c>
      <c r="Y100" s="543"/>
      <c r="Z100" s="1196"/>
      <c r="AA100" s="668">
        <f>AA88</f>
        <v>2021</v>
      </c>
      <c r="AB100" s="681">
        <f>AB88</f>
        <v>2023</v>
      </c>
      <c r="AC100" s="682" t="s">
        <v>357</v>
      </c>
      <c r="AD100" s="656">
        <f ca="1">$B$243</f>
        <v>-26.693000000000005</v>
      </c>
      <c r="AE100" s="543"/>
      <c r="AF100" s="1196"/>
      <c r="AG100" s="668">
        <f>AG88</f>
        <v>2021</v>
      </c>
      <c r="AH100" s="677">
        <f>AH88</f>
        <v>2023</v>
      </c>
      <c r="AI100" s="682" t="s">
        <v>357</v>
      </c>
      <c r="AJ100" s="656">
        <f ca="1">$B$243</f>
        <v>-26.693000000000005</v>
      </c>
      <c r="AK100" s="543"/>
      <c r="AL100" s="1200"/>
      <c r="AM100" s="677">
        <f>AM88</f>
        <v>0</v>
      </c>
      <c r="AN100" s="681">
        <f>AN88</f>
        <v>2023</v>
      </c>
      <c r="AO100" s="682" t="s">
        <v>357</v>
      </c>
      <c r="AP100" s="656">
        <f ca="1">$B$243</f>
        <v>-26.693000000000005</v>
      </c>
      <c r="AQ100" s="569"/>
      <c r="AR100" s="1200"/>
      <c r="AS100" s="677">
        <f>AS88</f>
        <v>2021</v>
      </c>
      <c r="AT100" s="681">
        <f>AT88</f>
        <v>2023</v>
      </c>
      <c r="AU100" s="682" t="s">
        <v>357</v>
      </c>
      <c r="AV100" s="656">
        <f ca="1">$B$243</f>
        <v>-26.693000000000005</v>
      </c>
      <c r="AW100" s="543"/>
      <c r="AX100" s="1196"/>
      <c r="AY100" s="668">
        <f>AY88</f>
        <v>0</v>
      </c>
      <c r="AZ100" s="549">
        <f>AZ88</f>
        <v>2021</v>
      </c>
      <c r="BA100" s="550" t="s">
        <v>357</v>
      </c>
      <c r="BB100" s="656">
        <f ca="1">$B$243</f>
        <v>-26.693000000000005</v>
      </c>
      <c r="BC100" s="543"/>
      <c r="BD100" s="1196"/>
      <c r="BE100" s="668">
        <f>BE88</f>
        <v>0</v>
      </c>
      <c r="BF100" s="549"/>
      <c r="BG100" s="550" t="s">
        <v>357</v>
      </c>
      <c r="BH100" s="656">
        <f ca="1">$B$243</f>
        <v>-26.693000000000005</v>
      </c>
      <c r="BI100" s="543"/>
      <c r="BJ100" s="1196"/>
      <c r="BK100" s="668">
        <f>BK88</f>
        <v>2021</v>
      </c>
      <c r="BL100" s="549">
        <f>BL88</f>
        <v>2021</v>
      </c>
      <c r="BM100" s="550" t="s">
        <v>357</v>
      </c>
      <c r="BN100" s="656">
        <f ca="1">$B$243</f>
        <v>-26.693000000000005</v>
      </c>
      <c r="BO100" s="543"/>
      <c r="BP100" s="1196"/>
      <c r="BQ100" s="668">
        <f>BQ88</f>
        <v>2021</v>
      </c>
      <c r="BR100" s="549">
        <f>BR88</f>
        <v>2022</v>
      </c>
      <c r="BS100" s="550" t="s">
        <v>357</v>
      </c>
      <c r="BT100" s="656">
        <f ca="1">$B$243</f>
        <v>-26.693000000000005</v>
      </c>
      <c r="BU100" s="543"/>
      <c r="BV100" s="1196"/>
      <c r="BW100" s="552">
        <f>BW88</f>
        <v>0</v>
      </c>
      <c r="BX100" s="549">
        <f>BX88</f>
        <v>2022</v>
      </c>
      <c r="BY100" s="550" t="s">
        <v>357</v>
      </c>
      <c r="BZ100" s="656">
        <f ca="1">$B$243</f>
        <v>-26.693000000000005</v>
      </c>
      <c r="CA100" s="543"/>
      <c r="CB100" s="1196"/>
      <c r="CC100" s="668">
        <f>CC88</f>
        <v>2022</v>
      </c>
      <c r="CD100" s="669">
        <f>CD88</f>
        <v>2020</v>
      </c>
      <c r="CE100" s="550" t="s">
        <v>357</v>
      </c>
      <c r="CF100" s="656">
        <f ca="1">$B$243</f>
        <v>-26.693000000000005</v>
      </c>
      <c r="CG100" s="563"/>
      <c r="CH100" s="1196"/>
      <c r="CI100" s="668">
        <f t="shared" si="266"/>
        <v>2021</v>
      </c>
      <c r="CJ100" s="669">
        <f>CJ88</f>
        <v>2019</v>
      </c>
      <c r="CK100" s="550" t="s">
        <v>357</v>
      </c>
      <c r="CL100" s="656">
        <f ca="1">$B$243</f>
        <v>-26.693000000000005</v>
      </c>
      <c r="CN100" s="1196"/>
      <c r="CO100" s="668">
        <f t="shared" si="267"/>
        <v>2021</v>
      </c>
      <c r="CP100" s="669">
        <f>CP88</f>
        <v>2020</v>
      </c>
      <c r="CQ100" s="550" t="s">
        <v>357</v>
      </c>
      <c r="CR100" s="656">
        <f ca="1">$B$243</f>
        <v>-26.693000000000005</v>
      </c>
    </row>
    <row r="101" spans="2:96" ht="13">
      <c r="B101" s="693">
        <v>-40</v>
      </c>
      <c r="C101" s="670"/>
      <c r="D101" s="670">
        <f t="shared" ref="D101:D107" si="268">D184</f>
        <v>0</v>
      </c>
      <c r="E101" s="652">
        <f t="shared" ref="E101:E107" si="269">IF(OR(C101=0,D101=0),$U$180/3,((MAX(C101:D101)-(MIN(C101:D101)))))</f>
        <v>0.11333333333333334</v>
      </c>
      <c r="F101" s="654">
        <f ca="1">IF($L$4&lt;=$B$6,$B$5,IF($L$4&lt;=$B$8,$B$7,IF($L$4&lt;=$B$10,$B$9,IF($L$4&lt;=$B$12,$B$11,IF($L$4&lt;=$B$13,$B$13)))))</f>
        <v>-30</v>
      </c>
      <c r="G101" s="554"/>
      <c r="H101" s="693">
        <v>-40</v>
      </c>
      <c r="I101" s="670"/>
      <c r="J101" s="670">
        <v>1E-3</v>
      </c>
      <c r="K101" s="652">
        <v>0.1</v>
      </c>
      <c r="L101" s="654">
        <f ca="1">IF($L$4&lt;=$B$6,$B$5,IF($L$4&lt;=$B$8,$B$7,IF($L$4&lt;=$B$10,$B$9,IF($L$4&lt;=$B$12,$B$11,IF($L$4&lt;=$B$13,$B$13)))))</f>
        <v>-30</v>
      </c>
      <c r="M101" s="554"/>
      <c r="N101" s="693">
        <v>-40</v>
      </c>
      <c r="O101" s="671">
        <v>0</v>
      </c>
      <c r="P101" s="671">
        <f t="shared" ref="P101:P109" si="270">E184</f>
        <v>0</v>
      </c>
      <c r="Q101" s="652">
        <v>0.1</v>
      </c>
      <c r="R101" s="654">
        <f ca="1">IF($L$4&lt;=$B$6,$B$5,IF($L$4&lt;=$B$8,$B$7,IF($L$4&lt;=$B$10,$B$9,IF($L$4&lt;=$B$12,$B$11,IF($L$4&lt;=$B$13,$B$13)))))</f>
        <v>-30</v>
      </c>
      <c r="S101" s="543"/>
      <c r="T101" s="693">
        <v>-40</v>
      </c>
      <c r="U101" s="670"/>
      <c r="V101" s="671">
        <f t="shared" ref="V101:V107" si="271">F184</f>
        <v>-2.64</v>
      </c>
      <c r="W101" s="652">
        <f t="shared" ref="W101:W107" si="272">IF(OR(U101=0,V101=0),$F$193/3,((MAX(U101:V101)-(MIN(U101:V101)))))</f>
        <v>0.04</v>
      </c>
      <c r="X101" s="654">
        <f ca="1">IF($L$4&lt;=$B$6,$B$5,IF($L$4&lt;=$B$8,$B$7,IF($L$4&lt;=$B$10,$B$9,IF($L$4&lt;=$B$12,$B$11,IF($L$4&lt;=$B$13,$B$13)))))</f>
        <v>-30</v>
      </c>
      <c r="Y101" s="543"/>
      <c r="Z101" s="693">
        <v>-40</v>
      </c>
      <c r="AA101" s="670">
        <v>0</v>
      </c>
      <c r="AB101" s="671">
        <f t="shared" ref="AB101:AB109" si="273">G184</f>
        <v>0.17</v>
      </c>
      <c r="AC101" s="652">
        <f t="shared" ref="AC101:AC109" si="274">IF(OR(AA101=0,AB101=0),$G$193/3,((MAX(AA101:AB101)-(MIN(AA101:AB101)))))</f>
        <v>3.6666666666666667E-2</v>
      </c>
      <c r="AD101" s="654">
        <f ca="1">IF($L$4&lt;=$B$6,$B$5,IF($L$4&lt;=$B$8,$B$7,IF($L$4&lt;=$B$10,$B$9,IF($L$4&lt;=$B$12,$B$11,IF($L$4&lt;=$B$13,$B$13)))))</f>
        <v>-30</v>
      </c>
      <c r="AE101" s="543"/>
      <c r="AF101" s="693">
        <v>-40</v>
      </c>
      <c r="AG101" s="670">
        <v>0</v>
      </c>
      <c r="AH101" s="671">
        <f t="shared" ref="AH101:AH109" si="275">H184</f>
        <v>0.2</v>
      </c>
      <c r="AI101" s="652">
        <f t="shared" ref="AI101:AI109" si="276">IF(OR(AG101=0,AH101=0),$H$193/3,((MAX(AG101:AH101)-(MIN(AG101:AH101)))))</f>
        <v>4.6666666666666669E-2</v>
      </c>
      <c r="AJ101" s="654">
        <f ca="1">IF($L$4&lt;=$B$6,$B$5,IF($L$4&lt;=$B$8,$B$7,IF($L$4&lt;=$B$10,$B$9,IF($L$4&lt;=$B$12,$B$11,IF($L$4&lt;=$B$13,$B$13)))))</f>
        <v>-30</v>
      </c>
      <c r="AK101" s="543"/>
      <c r="AL101" s="693">
        <v>-40</v>
      </c>
      <c r="AM101" s="670"/>
      <c r="AN101" s="671">
        <f t="shared" ref="AN101:AN109" si="277">I184</f>
        <v>0.39</v>
      </c>
      <c r="AO101" s="652">
        <f t="shared" ref="AO101:AO109" si="278">IF(OR(AM101=0,AN101=0),$I$193/3,((MAX(AM101:AN101)-(MIN(AM101:AN101)))))</f>
        <v>0.03</v>
      </c>
      <c r="AP101" s="654">
        <f ca="1">IF($L$4&lt;=$B$6,$B$5,IF($L$4&lt;=$B$8,$B$7,IF($L$4&lt;=$B$10,$B$9,IF($L$4&lt;=$B$12,$B$11,IF($L$4&lt;=$B$13,$B$13)))))</f>
        <v>-30</v>
      </c>
      <c r="AQ101" s="569"/>
      <c r="AR101" s="693">
        <v>-40</v>
      </c>
      <c r="AS101" s="670"/>
      <c r="AT101" s="671">
        <f>AB184</f>
        <v>0.28000000000000003</v>
      </c>
      <c r="AU101" s="652">
        <f t="shared" ref="AU101:AU109" si="279">IF(OR(AS101=0,AT101=0),$J$193/3,((MAX(AS101:AT101)-(MIN(AS101:AT101)))))</f>
        <v>3.3333333333333333E-2</v>
      </c>
      <c r="AV101" s="654">
        <f ca="1">IF($L$4&lt;=$B$6,$B$5,IF($L$4&lt;=$B$8,$B$7,IF($L$4&lt;=$B$10,$B$9,IF($L$4&lt;=$B$12,$B$11,IF($L$4&lt;=$B$13,$B$13)))))</f>
        <v>-30</v>
      </c>
      <c r="AW101" s="543"/>
      <c r="AX101" s="693">
        <v>-40</v>
      </c>
      <c r="AY101" s="670"/>
      <c r="AZ101" s="553">
        <f t="shared" ref="AZ101:AZ109" si="280">K184</f>
        <v>0</v>
      </c>
      <c r="BA101" s="541">
        <f t="shared" ref="BA101:BA109" si="281">IF(OR(AY101=0,AZ101=0),$K$193/3,((MAX(AY101:AZ101)-(MIN(AY101:AZ101)))))</f>
        <v>0.26333333333333336</v>
      </c>
      <c r="BB101" s="654">
        <f ca="1">IF($L$4&lt;=$B$6,$B$5,IF($L$4&lt;=$B$8,$B$7,IF($L$4&lt;=$B$10,$B$9,IF($L$4&lt;=$B$12,$B$11,IF($L$4&lt;=$B$13,$B$13)))))</f>
        <v>-30</v>
      </c>
      <c r="BC101" s="543"/>
      <c r="BD101" s="693">
        <v>-40</v>
      </c>
      <c r="BE101" s="670"/>
      <c r="BF101" s="553">
        <f t="shared" ref="BF101:BF109" si="282">L184</f>
        <v>-2.87</v>
      </c>
      <c r="BG101" s="541">
        <f t="shared" ref="BG101:BG109" si="283">IF(OR(BE101=0,BF101=0),$L$193/3,((MAX(BE101:BF101)-(MIN(BE101:BF101)))))</f>
        <v>3.3333333333333333E-2</v>
      </c>
      <c r="BH101" s="654">
        <f ca="1">IF($L$4&lt;=$B$6,$B$5,IF($L$4&lt;=$B$8,$B$7,IF($L$4&lt;=$B$10,$B$9,IF($L$4&lt;=$B$12,$B$11,IF($L$4&lt;=$B$13,$B$13)))))</f>
        <v>-30</v>
      </c>
      <c r="BI101" s="543"/>
      <c r="BJ101" s="693">
        <v>-40</v>
      </c>
      <c r="BK101" s="670"/>
      <c r="BL101" s="553">
        <f t="shared" ref="BL101:BL109" si="284">M184</f>
        <v>0</v>
      </c>
      <c r="BM101" s="541">
        <f t="shared" ref="BM101:BM109" si="285">IF(OR(BK101=0,BL101=0),$M$193/3,((MAX(BK101:BL101)-(MIN(BK101:BL101)))))</f>
        <v>0.26333333333333336</v>
      </c>
      <c r="BN101" s="654">
        <f ca="1">IF($L$4&lt;=$B$6,$B$5,IF($L$4&lt;=$B$8,$B$7,IF($L$4&lt;=$B$10,$B$9,IF($L$4&lt;=$B$12,$B$11,IF($L$4&lt;=$B$13,$B$13)))))</f>
        <v>-30</v>
      </c>
      <c r="BO101" s="543"/>
      <c r="BP101" s="693">
        <v>-40</v>
      </c>
      <c r="BQ101" s="670"/>
      <c r="BR101" s="671">
        <f t="shared" ref="BR101:BR109" si="286">N184</f>
        <v>-2.31</v>
      </c>
      <c r="BS101" s="541">
        <f t="shared" ref="BS101:BS109" si="287">IF(OR(BQ101=0,BR101=0),$N$193/3,((MAX(BQ101:BR101)-(MIN(BQ101:BR101)))))</f>
        <v>2.3333333333333334E-2</v>
      </c>
      <c r="BT101" s="654">
        <f ca="1">IF($L$4&lt;=$B$6,$B$5,IF($L$4&lt;=$B$8,$B$7,IF($L$4&lt;=$B$10,$B$9,IF($L$4&lt;=$B$12,$B$11,IF($L$4&lt;=$B$13,$B$13)))))</f>
        <v>-30</v>
      </c>
      <c r="BU101" s="543"/>
      <c r="BV101" s="693">
        <v>-40</v>
      </c>
      <c r="BW101" s="670"/>
      <c r="BX101" s="671">
        <f t="shared" ref="BX101:BX109" si="288">O184</f>
        <v>-2.67</v>
      </c>
      <c r="BY101" s="541">
        <f t="shared" ref="BY101:BY109" si="289">IF(OR(BW101=0,BX101=0),$O$193/3,((MAX(BW101:BX101)-(MIN(BW101:BX101)))))</f>
        <v>0.03</v>
      </c>
      <c r="BZ101" s="654">
        <f ca="1">IF($L$4&lt;=$B$6,$B$5,IF($L$4&lt;=$B$8,$B$7,IF($L$4&lt;=$B$10,$B$9,IF($L$4&lt;=$B$12,$B$11,IF($L$4&lt;=$B$13,$B$13)))))</f>
        <v>-30</v>
      </c>
      <c r="CA101" s="543"/>
      <c r="CB101" s="693">
        <v>-40</v>
      </c>
      <c r="CC101" s="670">
        <f>CC89</f>
        <v>-1.7</v>
      </c>
      <c r="CD101" s="671"/>
      <c r="CE101" s="541">
        <f t="shared" ref="CE101:CE109" si="290">CE89</f>
        <v>6.6666666666666666E-2</v>
      </c>
      <c r="CF101" s="654">
        <f ca="1">IF($L$4&lt;=$B$6,$B$5,IF($L$4&lt;=$B$8,$B$7,IF($L$4&lt;=$B$10,$B$9,IF($L$4&lt;=$B$12,$B$11,IF($L$4&lt;=$B$13,$B$13)))))</f>
        <v>-30</v>
      </c>
      <c r="CG101" s="563"/>
      <c r="CH101" s="693">
        <v>-40</v>
      </c>
      <c r="CI101" s="670">
        <f t="shared" si="266"/>
        <v>0</v>
      </c>
      <c r="CJ101" s="671"/>
      <c r="CK101" s="541">
        <f t="shared" ref="CK101:CK107" si="291">CK89</f>
        <v>7.3333333333333334E-2</v>
      </c>
      <c r="CL101" s="654">
        <f ca="1">IF($L$4&lt;=$B$6,$B$5,IF($L$4&lt;=$B$8,$B$7,IF($L$4&lt;=$B$10,$B$9,IF($L$4&lt;=$B$12,$B$11,IF($L$4&lt;=$B$13,$B$13)))))</f>
        <v>-30</v>
      </c>
      <c r="CN101" s="693">
        <v>-40</v>
      </c>
      <c r="CO101" s="670">
        <f t="shared" si="267"/>
        <v>0</v>
      </c>
      <c r="CP101" s="671">
        <f t="shared" ref="CP101:CP107" si="292">CP5</f>
        <v>0</v>
      </c>
      <c r="CQ101" s="541">
        <f t="shared" ref="CQ101:CQ107" si="293">CQ89</f>
        <v>0.25666666666666665</v>
      </c>
      <c r="CR101" s="654">
        <f ca="1">IF($L$4&lt;=$B$6,$B$5,IF($L$4&lt;=$B$8,$B$7,IF($L$4&lt;=$B$10,$B$9,IF($L$4&lt;=$B$12,$B$11,IF($L$4&lt;=$B$13,$B$13)))))</f>
        <v>-30</v>
      </c>
    </row>
    <row r="102" spans="2:96" ht="13">
      <c r="B102" s="693">
        <v>-35</v>
      </c>
      <c r="C102" s="670"/>
      <c r="D102" s="670">
        <f t="shared" si="268"/>
        <v>0</v>
      </c>
      <c r="E102" s="652">
        <f t="shared" si="269"/>
        <v>0.11333333333333334</v>
      </c>
      <c r="F102" s="651"/>
      <c r="G102" s="554"/>
      <c r="H102" s="693">
        <v>-35</v>
      </c>
      <c r="I102" s="670"/>
      <c r="J102" s="670">
        <v>1E-3</v>
      </c>
      <c r="K102" s="652">
        <v>0.1</v>
      </c>
      <c r="L102" s="651"/>
      <c r="M102" s="554"/>
      <c r="N102" s="693">
        <v>-35</v>
      </c>
      <c r="O102" s="671">
        <v>0</v>
      </c>
      <c r="P102" s="671">
        <f t="shared" si="270"/>
        <v>0</v>
      </c>
      <c r="Q102" s="652">
        <v>0.1</v>
      </c>
      <c r="R102" s="651"/>
      <c r="S102" s="543"/>
      <c r="T102" s="693">
        <v>-35</v>
      </c>
      <c r="U102" s="670"/>
      <c r="V102" s="671">
        <f t="shared" si="271"/>
        <v>0</v>
      </c>
      <c r="W102" s="652">
        <f t="shared" si="272"/>
        <v>0.04</v>
      </c>
      <c r="X102" s="651"/>
      <c r="Y102" s="543"/>
      <c r="Z102" s="693">
        <v>-35</v>
      </c>
      <c r="AA102" s="670">
        <v>0</v>
      </c>
      <c r="AB102" s="671">
        <f t="shared" si="273"/>
        <v>0.13</v>
      </c>
      <c r="AC102" s="652">
        <f t="shared" si="274"/>
        <v>3.6666666666666667E-2</v>
      </c>
      <c r="AD102" s="651"/>
      <c r="AE102" s="543"/>
      <c r="AF102" s="693">
        <v>-35</v>
      </c>
      <c r="AG102" s="670">
        <v>0</v>
      </c>
      <c r="AH102" s="671">
        <f t="shared" si="275"/>
        <v>0.14000000000000001</v>
      </c>
      <c r="AI102" s="652">
        <f t="shared" si="276"/>
        <v>4.6666666666666669E-2</v>
      </c>
      <c r="AJ102" s="651"/>
      <c r="AK102" s="543"/>
      <c r="AL102" s="693">
        <v>-35</v>
      </c>
      <c r="AM102" s="670"/>
      <c r="AN102" s="671">
        <f t="shared" si="277"/>
        <v>0.39</v>
      </c>
      <c r="AO102" s="652">
        <f t="shared" si="278"/>
        <v>0.03</v>
      </c>
      <c r="AP102" s="651"/>
      <c r="AQ102" s="569"/>
      <c r="AR102" s="693">
        <v>-35</v>
      </c>
      <c r="AS102" s="670"/>
      <c r="AT102" s="671">
        <f t="shared" ref="AT102:AT108" si="294">AB185</f>
        <v>0.3</v>
      </c>
      <c r="AU102" s="652">
        <f t="shared" si="279"/>
        <v>3.3333333333333333E-2</v>
      </c>
      <c r="AV102" s="651"/>
      <c r="AW102" s="543"/>
      <c r="AX102" s="693">
        <v>-35</v>
      </c>
      <c r="AY102" s="670"/>
      <c r="AZ102" s="553">
        <f t="shared" si="280"/>
        <v>0</v>
      </c>
      <c r="BA102" s="541">
        <f t="shared" si="281"/>
        <v>0.26333333333333336</v>
      </c>
      <c r="BB102" s="651"/>
      <c r="BC102" s="543"/>
      <c r="BD102" s="693">
        <v>-35</v>
      </c>
      <c r="BE102" s="670"/>
      <c r="BF102" s="553">
        <f t="shared" si="282"/>
        <v>0</v>
      </c>
      <c r="BG102" s="541">
        <f t="shared" si="283"/>
        <v>3.3333333333333333E-2</v>
      </c>
      <c r="BH102" s="651"/>
      <c r="BI102" s="543"/>
      <c r="BJ102" s="693">
        <v>-35</v>
      </c>
      <c r="BK102" s="670"/>
      <c r="BL102" s="553">
        <f t="shared" si="284"/>
        <v>0</v>
      </c>
      <c r="BM102" s="541">
        <f t="shared" si="285"/>
        <v>0.26333333333333336</v>
      </c>
      <c r="BN102" s="651"/>
      <c r="BO102" s="543"/>
      <c r="BP102" s="693">
        <v>-35</v>
      </c>
      <c r="BQ102" s="670"/>
      <c r="BR102" s="671">
        <f t="shared" si="286"/>
        <v>0</v>
      </c>
      <c r="BS102" s="541">
        <f t="shared" si="287"/>
        <v>2.3333333333333334E-2</v>
      </c>
      <c r="BT102" s="651"/>
      <c r="BU102" s="543"/>
      <c r="BV102" s="693">
        <v>-35</v>
      </c>
      <c r="BW102" s="670"/>
      <c r="BX102" s="671">
        <f t="shared" si="288"/>
        <v>0</v>
      </c>
      <c r="BY102" s="541">
        <f t="shared" si="289"/>
        <v>0.03</v>
      </c>
      <c r="BZ102" s="651"/>
      <c r="CA102" s="543"/>
      <c r="CB102" s="693">
        <v>-35</v>
      </c>
      <c r="CC102" s="670">
        <f t="shared" ref="CC102:CC109" si="295">CC90</f>
        <v>-1.4</v>
      </c>
      <c r="CD102" s="671"/>
      <c r="CE102" s="541">
        <f t="shared" si="290"/>
        <v>6.6666666666666666E-2</v>
      </c>
      <c r="CF102" s="651"/>
      <c r="CG102" s="564"/>
      <c r="CH102" s="693">
        <v>-35</v>
      </c>
      <c r="CI102" s="670">
        <f t="shared" si="266"/>
        <v>0</v>
      </c>
      <c r="CJ102" s="671"/>
      <c r="CK102" s="541">
        <f t="shared" si="291"/>
        <v>7.3333333333333334E-2</v>
      </c>
      <c r="CL102" s="651"/>
      <c r="CN102" s="693">
        <v>-35</v>
      </c>
      <c r="CO102" s="670">
        <f t="shared" si="267"/>
        <v>0</v>
      </c>
      <c r="CP102" s="671">
        <f t="shared" si="292"/>
        <v>0</v>
      </c>
      <c r="CQ102" s="541">
        <f t="shared" si="293"/>
        <v>0.25666666666666665</v>
      </c>
      <c r="CR102" s="651"/>
    </row>
    <row r="103" spans="2:96" ht="13">
      <c r="B103" s="693">
        <v>-30</v>
      </c>
      <c r="C103" s="670"/>
      <c r="D103" s="670">
        <f t="shared" si="268"/>
        <v>0</v>
      </c>
      <c r="E103" s="652">
        <f t="shared" si="269"/>
        <v>0.11333333333333334</v>
      </c>
      <c r="F103" s="654">
        <f ca="1">IF($L$4&lt;=$B$5,$B$5,IF($L$4&lt;=$B$6,$B$6,IF($L$4&lt;=$B$7,$B$7,IF($L$4&lt;=$B$8,$B$8,IF($L$4&lt;=$B$9,$B$9,IF($L$4&lt;=$B$10,$B$10,IF($L$4&lt;=$B$11,$B$11)))))))</f>
        <v>-25</v>
      </c>
      <c r="G103" s="554"/>
      <c r="H103" s="693">
        <v>-30</v>
      </c>
      <c r="I103" s="670"/>
      <c r="J103" s="670">
        <v>1E-3</v>
      </c>
      <c r="K103" s="652">
        <v>0.1</v>
      </c>
      <c r="L103" s="654">
        <f ca="1">IF($L$4&lt;=$B$5,$B$5,IF($L$4&lt;=$B$6,$B$6,IF($L$4&lt;=$B$7,$B$7,IF($L$4&lt;=$B$8,$B$8,IF($L$4&lt;=$B$9,$B$9,IF($L$4&lt;=$B$10,$B$10,IF($L$4&lt;=$B$11,$B$11)))))))</f>
        <v>-25</v>
      </c>
      <c r="M103" s="554"/>
      <c r="N103" s="693">
        <v>-30</v>
      </c>
      <c r="O103" s="671">
        <v>0</v>
      </c>
      <c r="P103" s="671">
        <f t="shared" si="270"/>
        <v>0</v>
      </c>
      <c r="Q103" s="652">
        <v>0.1</v>
      </c>
      <c r="R103" s="654">
        <f ca="1">IF($L$4&lt;=$B$5,$B$5,IF($L$4&lt;=$B$6,$B$6,IF($L$4&lt;=$B$7,$B$7,IF($L$4&lt;=$B$8,$B$8,IF($L$4&lt;=$B$9,$B$9,IF($L$4&lt;=$B$10,$B$10,IF($L$4&lt;=$B$11,$B$11)))))))</f>
        <v>-25</v>
      </c>
      <c r="S103" s="543"/>
      <c r="T103" s="693">
        <v>-30</v>
      </c>
      <c r="U103" s="670"/>
      <c r="V103" s="671">
        <f t="shared" si="271"/>
        <v>0</v>
      </c>
      <c r="W103" s="652">
        <f t="shared" si="272"/>
        <v>0.04</v>
      </c>
      <c r="X103" s="654">
        <f ca="1">IF($L$4&lt;=$B$5,$B$5,IF($L$4&lt;=$B$6,$B$6,IF($L$4&lt;=$B$7,$B$7,IF($L$4&lt;=$B$8,$B$8,IF($L$4&lt;=$B$9,$B$9,IF($L$4&lt;=$B$10,$B$10,IF($L$4&lt;=$B$11,$B$11)))))))</f>
        <v>-25</v>
      </c>
      <c r="Y103" s="543"/>
      <c r="Z103" s="693">
        <v>-30</v>
      </c>
      <c r="AA103" s="670">
        <v>0</v>
      </c>
      <c r="AB103" s="671">
        <f t="shared" si="273"/>
        <v>0.12</v>
      </c>
      <c r="AC103" s="652">
        <f t="shared" si="274"/>
        <v>3.6666666666666667E-2</v>
      </c>
      <c r="AD103" s="654">
        <f ca="1">IF($L$4&lt;=$B$5,$B$5,IF($L$4&lt;=$B$6,$B$6,IF($L$4&lt;=$B$7,$B$7,IF($L$4&lt;=$B$8,$B$8,IF($L$4&lt;=$B$9,$B$9,IF($L$4&lt;=$B$10,$B$10,IF($L$4&lt;=$B$11,$B$11)))))))</f>
        <v>-25</v>
      </c>
      <c r="AE103" s="543"/>
      <c r="AF103" s="693">
        <v>-30</v>
      </c>
      <c r="AG103" s="670">
        <v>0</v>
      </c>
      <c r="AH103" s="671">
        <f t="shared" si="275"/>
        <v>0.13</v>
      </c>
      <c r="AI103" s="652">
        <f t="shared" si="276"/>
        <v>4.6666666666666669E-2</v>
      </c>
      <c r="AJ103" s="654">
        <f ca="1">IF($L$4&lt;=$B$5,$B$5,IF($L$4&lt;=$B$6,$B$6,IF($L$4&lt;=$B$7,$B$7,IF($L$4&lt;=$B$8,$B$8,IF($L$4&lt;=$B$9,$B$9,IF($L$4&lt;=$B$10,$B$10,IF($L$4&lt;=$B$11,$B$11)))))))</f>
        <v>-25</v>
      </c>
      <c r="AK103" s="543"/>
      <c r="AL103" s="693">
        <v>-30</v>
      </c>
      <c r="AM103" s="670"/>
      <c r="AN103" s="671">
        <f t="shared" si="277"/>
        <v>0.41</v>
      </c>
      <c r="AO103" s="652">
        <f t="shared" si="278"/>
        <v>0.03</v>
      </c>
      <c r="AP103" s="654">
        <f ca="1">IF($L$4&lt;=$B$5,$B$5,IF($L$4&lt;=$B$6,$B$6,IF($L$4&lt;=$B$7,$B$7,IF($L$4&lt;=$B$8,$B$8,IF($L$4&lt;=$B$9,$B$9,IF($L$4&lt;=$B$10,$B$10,IF($L$4&lt;=$B$11,$B$11)))))))</f>
        <v>-25</v>
      </c>
      <c r="AQ103" s="569"/>
      <c r="AR103" s="693">
        <v>-30</v>
      </c>
      <c r="AS103" s="670"/>
      <c r="AT103" s="671">
        <f t="shared" si="294"/>
        <v>0.31</v>
      </c>
      <c r="AU103" s="652">
        <f t="shared" si="279"/>
        <v>3.3333333333333333E-2</v>
      </c>
      <c r="AV103" s="654">
        <f ca="1">IF($L$4&lt;=$B$5,$B$5,IF($L$4&lt;=$B$6,$B$6,IF($L$4&lt;=$B$7,$B$7,IF($L$4&lt;=$B$8,$B$8,IF($L$4&lt;=$B$9,$B$9,IF($L$4&lt;=$B$10,$B$10,IF($L$4&lt;=$B$11,$B$11)))))))</f>
        <v>-25</v>
      </c>
      <c r="AW103" s="543"/>
      <c r="AX103" s="693">
        <v>-30</v>
      </c>
      <c r="AY103" s="670"/>
      <c r="AZ103" s="553">
        <f t="shared" si="280"/>
        <v>0</v>
      </c>
      <c r="BA103" s="541">
        <f t="shared" si="281"/>
        <v>0.26333333333333336</v>
      </c>
      <c r="BB103" s="654">
        <f ca="1">IF($L$4&lt;=$B$5,$B$5,IF($L$4&lt;=$B$6,$B$6,IF($L$4&lt;=$B$7,$B$7,IF($L$4&lt;=$B$8,$B$8,IF($L$4&lt;=$B$9,$B$9,IF($L$4&lt;=$B$10,$B$10,IF($L$4&lt;=$B$11,$B$11)))))))</f>
        <v>-25</v>
      </c>
      <c r="BC103" s="543"/>
      <c r="BD103" s="693">
        <v>-30</v>
      </c>
      <c r="BE103" s="670"/>
      <c r="BF103" s="553">
        <f t="shared" si="282"/>
        <v>0</v>
      </c>
      <c r="BG103" s="541">
        <f t="shared" si="283"/>
        <v>3.3333333333333333E-2</v>
      </c>
      <c r="BH103" s="654">
        <f ca="1">IF($L$4&lt;=$B$5,$B$5,IF($L$4&lt;=$B$6,$B$6,IF($L$4&lt;=$B$7,$B$7,IF($L$4&lt;=$B$8,$B$8,IF($L$4&lt;=$B$9,$B$9,IF($L$4&lt;=$B$10,$B$10,IF($L$4&lt;=$B$11,$B$11)))))))</f>
        <v>-25</v>
      </c>
      <c r="BI103" s="543"/>
      <c r="BJ103" s="693">
        <v>-30</v>
      </c>
      <c r="BK103" s="670"/>
      <c r="BL103" s="553">
        <f t="shared" si="284"/>
        <v>0</v>
      </c>
      <c r="BM103" s="541">
        <f t="shared" si="285"/>
        <v>0.26333333333333336</v>
      </c>
      <c r="BN103" s="654">
        <f ca="1">IF($L$4&lt;=$B$5,$B$5,IF($L$4&lt;=$B$6,$B$6,IF($L$4&lt;=$B$7,$B$7,IF($L$4&lt;=$B$8,$B$8,IF($L$4&lt;=$B$9,$B$9,IF($L$4&lt;=$B$10,$B$10,IF($L$4&lt;=$B$11,$B$11)))))))</f>
        <v>-25</v>
      </c>
      <c r="BO103" s="543"/>
      <c r="BP103" s="693">
        <v>-30</v>
      </c>
      <c r="BQ103" s="670"/>
      <c r="BR103" s="671">
        <f t="shared" si="286"/>
        <v>0</v>
      </c>
      <c r="BS103" s="541">
        <f t="shared" si="287"/>
        <v>2.3333333333333334E-2</v>
      </c>
      <c r="BT103" s="654">
        <f ca="1">IF($L$4&lt;=$B$5,$B$5,IF($L$4&lt;=$B$6,$B$6,IF($L$4&lt;=$B$7,$B$7,IF($L$4&lt;=$B$8,$B$8,IF($L$4&lt;=$B$9,$B$9,IF($L$4&lt;=$B$10,$B$10,IF($L$4&lt;=$B$11,$B$11)))))))</f>
        <v>-25</v>
      </c>
      <c r="BU103" s="543"/>
      <c r="BV103" s="693">
        <v>-30</v>
      </c>
      <c r="BW103" s="670"/>
      <c r="BX103" s="671">
        <f t="shared" si="288"/>
        <v>0</v>
      </c>
      <c r="BY103" s="541">
        <f t="shared" si="289"/>
        <v>0.03</v>
      </c>
      <c r="BZ103" s="654">
        <f ca="1">IF($L$4&lt;=$B$5,$B$5,IF($L$4&lt;=$B$6,$B$6,IF($L$4&lt;=$B$7,$B$7,IF($L$4&lt;=$B$8,$B$8,IF($L$4&lt;=$B$9,$B$9,IF($L$4&lt;=$B$10,$B$10,IF($L$4&lt;=$B$11,$B$11)))))))</f>
        <v>-25</v>
      </c>
      <c r="CA103" s="543"/>
      <c r="CB103" s="693">
        <v>-30</v>
      </c>
      <c r="CC103" s="670">
        <f t="shared" si="295"/>
        <v>-1.2</v>
      </c>
      <c r="CD103" s="671"/>
      <c r="CE103" s="541">
        <f t="shared" si="290"/>
        <v>6.6666666666666666E-2</v>
      </c>
      <c r="CF103" s="654">
        <f ca="1">IF($L$4&lt;=$B$5,$B$5,IF($L$4&lt;=$B$6,$B$6,IF($L$4&lt;=$B$7,$B$7,IF($L$4&lt;=$B$8,$B$8,IF($L$4&lt;=$B$9,$B$9,IF($L$4&lt;=$B$10,$B$10,IF($L$4&lt;=$B$11,$B$11)))))))</f>
        <v>-25</v>
      </c>
      <c r="CG103" s="565"/>
      <c r="CH103" s="693">
        <v>-30</v>
      </c>
      <c r="CI103" s="670">
        <f t="shared" si="266"/>
        <v>0</v>
      </c>
      <c r="CJ103" s="671"/>
      <c r="CK103" s="541">
        <f t="shared" si="291"/>
        <v>7.3333333333333334E-2</v>
      </c>
      <c r="CL103" s="654">
        <f ca="1">IF($L$4&lt;=$B$5,$B$5,IF($L$4&lt;=$B$6,$B$6,IF($L$4&lt;=$B$7,$B$7,IF($L$4&lt;=$B$8,$B$8,IF($L$4&lt;=$B$9,$B$9,IF($L$4&lt;=$B$10,$B$10,IF($L$4&lt;=$B$11,$B$11)))))))</f>
        <v>-25</v>
      </c>
      <c r="CN103" s="693">
        <v>-30</v>
      </c>
      <c r="CO103" s="670">
        <f t="shared" si="267"/>
        <v>0</v>
      </c>
      <c r="CP103" s="671">
        <f t="shared" si="292"/>
        <v>0</v>
      </c>
      <c r="CQ103" s="541">
        <f t="shared" si="293"/>
        <v>0.25666666666666665</v>
      </c>
      <c r="CR103" s="654">
        <f ca="1">IF($L$4&lt;=$B$5,$B$5,IF($L$4&lt;=$B$6,$B$6,IF($L$4&lt;=$B$7,$B$7,IF($L$4&lt;=$B$8,$B$8,IF($L$4&lt;=$B$9,$B$9,IF($L$4&lt;=$B$10,$B$10,IF($L$4&lt;=$B$11,$B$11)))))))</f>
        <v>-25</v>
      </c>
    </row>
    <row r="104" spans="2:96" ht="13">
      <c r="B104" s="693">
        <v>-25</v>
      </c>
      <c r="C104" s="670"/>
      <c r="D104" s="670">
        <f t="shared" si="268"/>
        <v>0</v>
      </c>
      <c r="E104" s="652">
        <f t="shared" si="269"/>
        <v>0.11333333333333334</v>
      </c>
      <c r="F104" s="651"/>
      <c r="G104" s="554"/>
      <c r="H104" s="693">
        <v>-25</v>
      </c>
      <c r="I104" s="670"/>
      <c r="J104" s="670">
        <v>1E-3</v>
      </c>
      <c r="K104" s="652">
        <v>0.1</v>
      </c>
      <c r="L104" s="651"/>
      <c r="M104" s="554"/>
      <c r="N104" s="693">
        <v>-25</v>
      </c>
      <c r="O104" s="671">
        <v>0</v>
      </c>
      <c r="P104" s="671">
        <f t="shared" si="270"/>
        <v>0</v>
      </c>
      <c r="Q104" s="652">
        <v>0.1</v>
      </c>
      <c r="R104" s="651"/>
      <c r="S104" s="543"/>
      <c r="T104" s="693">
        <v>-25</v>
      </c>
      <c r="U104" s="670"/>
      <c r="V104" s="671">
        <f t="shared" si="271"/>
        <v>-1.65</v>
      </c>
      <c r="W104" s="652">
        <f t="shared" si="272"/>
        <v>0.04</v>
      </c>
      <c r="X104" s="651"/>
      <c r="Y104" s="543"/>
      <c r="Z104" s="693">
        <v>-25</v>
      </c>
      <c r="AA104" s="670">
        <v>0</v>
      </c>
      <c r="AB104" s="671">
        <f t="shared" si="273"/>
        <v>0.15</v>
      </c>
      <c r="AC104" s="652">
        <f t="shared" si="274"/>
        <v>3.6666666666666667E-2</v>
      </c>
      <c r="AD104" s="651"/>
      <c r="AE104" s="543"/>
      <c r="AF104" s="693">
        <v>-25</v>
      </c>
      <c r="AG104" s="670">
        <v>0</v>
      </c>
      <c r="AH104" s="671">
        <f t="shared" si="275"/>
        <v>0.15</v>
      </c>
      <c r="AI104" s="652">
        <f t="shared" si="276"/>
        <v>4.6666666666666669E-2</v>
      </c>
      <c r="AJ104" s="651"/>
      <c r="AK104" s="543"/>
      <c r="AL104" s="693">
        <v>-25</v>
      </c>
      <c r="AM104" s="670"/>
      <c r="AN104" s="671">
        <f t="shared" si="277"/>
        <v>0.42</v>
      </c>
      <c r="AO104" s="652">
        <f t="shared" si="278"/>
        <v>0.03</v>
      </c>
      <c r="AP104" s="651"/>
      <c r="AQ104" s="569"/>
      <c r="AR104" s="693">
        <v>-25</v>
      </c>
      <c r="AS104" s="670"/>
      <c r="AT104" s="671">
        <f t="shared" si="294"/>
        <v>0.33</v>
      </c>
      <c r="AU104" s="652">
        <f t="shared" si="279"/>
        <v>3.3333333333333333E-2</v>
      </c>
      <c r="AV104" s="651"/>
      <c r="AW104" s="543"/>
      <c r="AX104" s="693">
        <v>-25</v>
      </c>
      <c r="AY104" s="670"/>
      <c r="AZ104" s="553">
        <f t="shared" si="280"/>
        <v>0</v>
      </c>
      <c r="BA104" s="541">
        <f t="shared" si="281"/>
        <v>0.26333333333333336</v>
      </c>
      <c r="BB104" s="651"/>
      <c r="BC104" s="543"/>
      <c r="BD104" s="693">
        <v>-25</v>
      </c>
      <c r="BE104" s="670"/>
      <c r="BF104" s="553">
        <f t="shared" si="282"/>
        <v>-1.46</v>
      </c>
      <c r="BG104" s="541">
        <f t="shared" si="283"/>
        <v>3.3333333333333333E-2</v>
      </c>
      <c r="BH104" s="651"/>
      <c r="BI104" s="543"/>
      <c r="BJ104" s="693">
        <v>-25</v>
      </c>
      <c r="BK104" s="670"/>
      <c r="BL104" s="553">
        <f t="shared" si="284"/>
        <v>0</v>
      </c>
      <c r="BM104" s="541">
        <f t="shared" si="285"/>
        <v>0.26333333333333336</v>
      </c>
      <c r="BN104" s="651"/>
      <c r="BO104" s="543"/>
      <c r="BP104" s="693">
        <v>-25</v>
      </c>
      <c r="BQ104" s="670"/>
      <c r="BR104" s="671">
        <f t="shared" si="286"/>
        <v>-1.54</v>
      </c>
      <c r="BS104" s="541">
        <f t="shared" si="287"/>
        <v>2.3333333333333334E-2</v>
      </c>
      <c r="BT104" s="651"/>
      <c r="BU104" s="543"/>
      <c r="BV104" s="693">
        <v>-25</v>
      </c>
      <c r="BW104" s="670"/>
      <c r="BX104" s="671">
        <f t="shared" si="288"/>
        <v>-1.73</v>
      </c>
      <c r="BY104" s="541">
        <f t="shared" si="289"/>
        <v>0.03</v>
      </c>
      <c r="BZ104" s="651"/>
      <c r="CA104" s="543"/>
      <c r="CB104" s="693">
        <v>-25</v>
      </c>
      <c r="CC104" s="670">
        <f t="shared" si="295"/>
        <v>-1.1000000000000001</v>
      </c>
      <c r="CD104" s="671"/>
      <c r="CE104" s="541">
        <f t="shared" si="290"/>
        <v>6.6666666666666666E-2</v>
      </c>
      <c r="CF104" s="651"/>
      <c r="CG104" s="566"/>
      <c r="CH104" s="693">
        <v>-25</v>
      </c>
      <c r="CI104" s="670">
        <f t="shared" si="266"/>
        <v>0</v>
      </c>
      <c r="CJ104" s="671"/>
      <c r="CK104" s="541">
        <f t="shared" si="291"/>
        <v>7.3333333333333334E-2</v>
      </c>
      <c r="CL104" s="651"/>
      <c r="CN104" s="693">
        <v>-25</v>
      </c>
      <c r="CO104" s="670">
        <f t="shared" si="267"/>
        <v>0</v>
      </c>
      <c r="CP104" s="671">
        <f t="shared" si="292"/>
        <v>0</v>
      </c>
      <c r="CQ104" s="541">
        <f t="shared" si="293"/>
        <v>0.25666666666666665</v>
      </c>
      <c r="CR104" s="651"/>
    </row>
    <row r="105" spans="2:96" ht="13">
      <c r="B105" s="693">
        <v>-20</v>
      </c>
      <c r="C105" s="670"/>
      <c r="D105" s="670">
        <f t="shared" si="268"/>
        <v>0</v>
      </c>
      <c r="E105" s="652">
        <f t="shared" si="269"/>
        <v>0.11333333333333334</v>
      </c>
      <c r="F105" s="655">
        <f ca="1">VLOOKUP(F101,B101:E106,4)</f>
        <v>0.11333333333333334</v>
      </c>
      <c r="G105" s="554"/>
      <c r="H105" s="693">
        <v>-20</v>
      </c>
      <c r="I105" s="670"/>
      <c r="J105" s="670">
        <v>1E-3</v>
      </c>
      <c r="K105" s="652">
        <v>0.1</v>
      </c>
      <c r="L105" s="655">
        <f ca="1">VLOOKUP(L101,H101:K106,4)</f>
        <v>0.1</v>
      </c>
      <c r="M105" s="554"/>
      <c r="N105" s="693">
        <v>-20</v>
      </c>
      <c r="O105" s="671">
        <v>0</v>
      </c>
      <c r="P105" s="671">
        <f t="shared" si="270"/>
        <v>-0.45</v>
      </c>
      <c r="Q105" s="652">
        <v>0.1</v>
      </c>
      <c r="R105" s="655">
        <f ca="1">VLOOKUP(R101,N101:Q106,4)</f>
        <v>0.1</v>
      </c>
      <c r="S105" s="543"/>
      <c r="T105" s="693">
        <v>-20</v>
      </c>
      <c r="U105" s="670"/>
      <c r="V105" s="671">
        <f t="shared" si="271"/>
        <v>-1.4</v>
      </c>
      <c r="W105" s="652">
        <f t="shared" si="272"/>
        <v>0.04</v>
      </c>
      <c r="X105" s="655">
        <f ca="1">VLOOKUP(X101,T101:W106,4)</f>
        <v>0.04</v>
      </c>
      <c r="Y105" s="543"/>
      <c r="Z105" s="693">
        <v>-20</v>
      </c>
      <c r="AA105" s="670">
        <v>0</v>
      </c>
      <c r="AB105" s="671">
        <f t="shared" si="273"/>
        <v>0.2</v>
      </c>
      <c r="AC105" s="652">
        <f t="shared" si="274"/>
        <v>3.6666666666666667E-2</v>
      </c>
      <c r="AD105" s="655">
        <f ca="1">VLOOKUP(AD101,Z101:AC106,4)</f>
        <v>3.6666666666666667E-2</v>
      </c>
      <c r="AE105" s="543"/>
      <c r="AF105" s="693">
        <v>-20</v>
      </c>
      <c r="AG105" s="670">
        <v>0</v>
      </c>
      <c r="AH105" s="671">
        <f t="shared" si="275"/>
        <v>0.19</v>
      </c>
      <c r="AI105" s="652">
        <f t="shared" si="276"/>
        <v>4.6666666666666669E-2</v>
      </c>
      <c r="AJ105" s="655">
        <f ca="1">VLOOKUP(AJ101,AF101:AI106,4)</f>
        <v>4.6666666666666669E-2</v>
      </c>
      <c r="AK105" s="543"/>
      <c r="AL105" s="693">
        <v>-20</v>
      </c>
      <c r="AM105" s="670"/>
      <c r="AN105" s="671">
        <f t="shared" si="277"/>
        <v>0.44</v>
      </c>
      <c r="AO105" s="652">
        <f t="shared" si="278"/>
        <v>0.03</v>
      </c>
      <c r="AP105" s="655">
        <f ca="1">VLOOKUP(AP101,AL101:AO106,4)</f>
        <v>0.03</v>
      </c>
      <c r="AQ105" s="569"/>
      <c r="AR105" s="693">
        <v>-20</v>
      </c>
      <c r="AS105" s="670"/>
      <c r="AT105" s="671">
        <f t="shared" si="294"/>
        <v>0.34</v>
      </c>
      <c r="AU105" s="652">
        <f t="shared" si="279"/>
        <v>3.3333333333333333E-2</v>
      </c>
      <c r="AV105" s="655">
        <f ca="1">VLOOKUP(AV101,AR101:AU106,4)</f>
        <v>3.3333333333333333E-2</v>
      </c>
      <c r="AW105" s="543"/>
      <c r="AX105" s="693">
        <v>-20</v>
      </c>
      <c r="AY105" s="670"/>
      <c r="AZ105" s="553">
        <f t="shared" si="280"/>
        <v>0.5</v>
      </c>
      <c r="BA105" s="541">
        <f t="shared" si="281"/>
        <v>0.26333333333333336</v>
      </c>
      <c r="BB105" s="655">
        <f ca="1">VLOOKUP(BB101,AX101:BA106,4)</f>
        <v>0.26333333333333336</v>
      </c>
      <c r="BC105" s="543"/>
      <c r="BD105" s="693">
        <v>-20</v>
      </c>
      <c r="BE105" s="670"/>
      <c r="BF105" s="553">
        <f t="shared" si="282"/>
        <v>-1.1100000000000001</v>
      </c>
      <c r="BG105" s="541">
        <f t="shared" si="283"/>
        <v>3.3333333333333333E-2</v>
      </c>
      <c r="BH105" s="655">
        <f ca="1">VLOOKUP(BH101,BD101:BG106,4)</f>
        <v>3.3333333333333333E-2</v>
      </c>
      <c r="BI105" s="543"/>
      <c r="BJ105" s="693">
        <v>-20</v>
      </c>
      <c r="BK105" s="670"/>
      <c r="BL105" s="553">
        <f t="shared" si="284"/>
        <v>0.5</v>
      </c>
      <c r="BM105" s="541">
        <f t="shared" si="285"/>
        <v>0.26333333333333336</v>
      </c>
      <c r="BN105" s="655">
        <f ca="1">VLOOKUP(BN101,BJ101:BM106,4)</f>
        <v>0.26333333333333336</v>
      </c>
      <c r="BO105" s="543"/>
      <c r="BP105" s="693">
        <v>-20</v>
      </c>
      <c r="BQ105" s="670"/>
      <c r="BR105" s="671">
        <f t="shared" si="286"/>
        <v>-1.26</v>
      </c>
      <c r="BS105" s="541">
        <f t="shared" si="287"/>
        <v>2.3333333333333334E-2</v>
      </c>
      <c r="BT105" s="655">
        <f ca="1">VLOOKUP(BT101,BP101:BS106,4)</f>
        <v>2.3333333333333334E-2</v>
      </c>
      <c r="BU105" s="543"/>
      <c r="BV105" s="693">
        <v>-20</v>
      </c>
      <c r="BW105" s="670"/>
      <c r="BX105" s="671">
        <f t="shared" si="288"/>
        <v>-1.42</v>
      </c>
      <c r="BY105" s="541">
        <f t="shared" si="289"/>
        <v>0.03</v>
      </c>
      <c r="BZ105" s="655">
        <f ca="1">VLOOKUP(BZ101,BV101:BY106,4)</f>
        <v>0.03</v>
      </c>
      <c r="CA105" s="543"/>
      <c r="CB105" s="693">
        <v>-20</v>
      </c>
      <c r="CC105" s="670">
        <f t="shared" si="295"/>
        <v>-1.1000000000000001</v>
      </c>
      <c r="CD105" s="671">
        <v>-0.7</v>
      </c>
      <c r="CE105" s="541">
        <f t="shared" si="290"/>
        <v>0.40000000000000013</v>
      </c>
      <c r="CF105" s="655">
        <f ca="1">VLOOKUP(CF101,CB101:CE106,4)</f>
        <v>6.6666666666666666E-2</v>
      </c>
      <c r="CG105" s="567"/>
      <c r="CH105" s="693">
        <v>-20</v>
      </c>
      <c r="CI105" s="670">
        <f t="shared" si="266"/>
        <v>-0.15</v>
      </c>
      <c r="CJ105" s="671"/>
      <c r="CK105" s="541">
        <f t="shared" si="291"/>
        <v>7.3333333333333334E-2</v>
      </c>
      <c r="CL105" s="655">
        <f ca="1">VLOOKUP(CL101,CH101:CK106,4)</f>
        <v>7.3333333333333334E-2</v>
      </c>
      <c r="CN105" s="693">
        <v>-20</v>
      </c>
      <c r="CO105" s="670">
        <f t="shared" si="267"/>
        <v>-1.8</v>
      </c>
      <c r="CP105" s="671">
        <f t="shared" si="292"/>
        <v>-0.51</v>
      </c>
      <c r="CQ105" s="541">
        <f t="shared" si="293"/>
        <v>1.29</v>
      </c>
      <c r="CR105" s="655">
        <f ca="1">VLOOKUP(CR101,CN101:CQ106,4)</f>
        <v>0.25666666666666665</v>
      </c>
    </row>
    <row r="106" spans="2:96" ht="13">
      <c r="B106" s="693">
        <v>-15</v>
      </c>
      <c r="C106" s="670"/>
      <c r="D106" s="670">
        <f t="shared" si="268"/>
        <v>0</v>
      </c>
      <c r="E106" s="652">
        <f t="shared" si="269"/>
        <v>0.11333333333333334</v>
      </c>
      <c r="F106" s="651"/>
      <c r="G106" s="554"/>
      <c r="H106" s="693">
        <v>-15</v>
      </c>
      <c r="I106" s="670"/>
      <c r="J106" s="670">
        <v>1E-3</v>
      </c>
      <c r="K106" s="652">
        <v>0.1</v>
      </c>
      <c r="L106" s="651"/>
      <c r="M106" s="554"/>
      <c r="N106" s="693">
        <v>-15</v>
      </c>
      <c r="O106" s="671">
        <v>0</v>
      </c>
      <c r="P106" s="671">
        <f t="shared" si="270"/>
        <v>-0.38</v>
      </c>
      <c r="Q106" s="652">
        <v>0.1</v>
      </c>
      <c r="R106" s="651"/>
      <c r="S106" s="543"/>
      <c r="T106" s="693">
        <v>-15</v>
      </c>
      <c r="U106" s="670"/>
      <c r="V106" s="671">
        <f t="shared" si="271"/>
        <v>-1.1499999999999999</v>
      </c>
      <c r="W106" s="652">
        <f t="shared" si="272"/>
        <v>0.04</v>
      </c>
      <c r="X106" s="651"/>
      <c r="Y106" s="543"/>
      <c r="Z106" s="693">
        <v>-15</v>
      </c>
      <c r="AA106" s="670">
        <v>0</v>
      </c>
      <c r="AB106" s="671">
        <f t="shared" si="273"/>
        <v>0.24</v>
      </c>
      <c r="AC106" s="652">
        <f t="shared" si="274"/>
        <v>3.6666666666666667E-2</v>
      </c>
      <c r="AD106" s="651"/>
      <c r="AE106" s="543"/>
      <c r="AF106" s="693">
        <v>-15</v>
      </c>
      <c r="AG106" s="670">
        <v>0</v>
      </c>
      <c r="AH106" s="671">
        <f t="shared" si="275"/>
        <v>0.24</v>
      </c>
      <c r="AI106" s="652">
        <f t="shared" si="276"/>
        <v>4.6666666666666669E-2</v>
      </c>
      <c r="AJ106" s="651"/>
      <c r="AK106" s="543"/>
      <c r="AL106" s="693">
        <v>-15</v>
      </c>
      <c r="AM106" s="670"/>
      <c r="AN106" s="671">
        <f t="shared" si="277"/>
        <v>0.45</v>
      </c>
      <c r="AO106" s="652">
        <f t="shared" si="278"/>
        <v>0.03</v>
      </c>
      <c r="AP106" s="651"/>
      <c r="AQ106" s="569"/>
      <c r="AR106" s="693">
        <v>-15</v>
      </c>
      <c r="AS106" s="670"/>
      <c r="AT106" s="671">
        <f t="shared" si="294"/>
        <v>0.35</v>
      </c>
      <c r="AU106" s="652">
        <f t="shared" si="279"/>
        <v>3.3333333333333333E-2</v>
      </c>
      <c r="AV106" s="651"/>
      <c r="AW106" s="543"/>
      <c r="AX106" s="693">
        <v>-15</v>
      </c>
      <c r="AY106" s="670"/>
      <c r="AZ106" s="553">
        <f t="shared" si="280"/>
        <v>0</v>
      </c>
      <c r="BA106" s="541">
        <f t="shared" si="281"/>
        <v>0.26333333333333336</v>
      </c>
      <c r="BB106" s="651"/>
      <c r="BC106" s="543"/>
      <c r="BD106" s="693">
        <v>-15</v>
      </c>
      <c r="BE106" s="670"/>
      <c r="BF106" s="553">
        <f t="shared" si="282"/>
        <v>-0.83</v>
      </c>
      <c r="BG106" s="541">
        <f t="shared" si="283"/>
        <v>3.3333333333333333E-2</v>
      </c>
      <c r="BH106" s="651"/>
      <c r="BI106" s="543"/>
      <c r="BJ106" s="693">
        <v>-15</v>
      </c>
      <c r="BK106" s="670"/>
      <c r="BL106" s="553">
        <f t="shared" si="284"/>
        <v>0</v>
      </c>
      <c r="BM106" s="541">
        <f t="shared" si="285"/>
        <v>0.26333333333333336</v>
      </c>
      <c r="BN106" s="651"/>
      <c r="BO106" s="543"/>
      <c r="BP106" s="693">
        <v>-15</v>
      </c>
      <c r="BQ106" s="670"/>
      <c r="BR106" s="671">
        <f t="shared" si="286"/>
        <v>-1</v>
      </c>
      <c r="BS106" s="541">
        <f t="shared" si="287"/>
        <v>2.3333333333333334E-2</v>
      </c>
      <c r="BT106" s="651"/>
      <c r="BU106" s="543"/>
      <c r="BV106" s="693">
        <v>-15</v>
      </c>
      <c r="BW106" s="670"/>
      <c r="BX106" s="671">
        <f t="shared" si="288"/>
        <v>-1.1399999999999999</v>
      </c>
      <c r="BY106" s="541">
        <f t="shared" si="289"/>
        <v>0.03</v>
      </c>
      <c r="BZ106" s="651"/>
      <c r="CA106" s="543"/>
      <c r="CB106" s="693">
        <v>-15</v>
      </c>
      <c r="CC106" s="670">
        <f t="shared" si="295"/>
        <v>-1.1000000000000001</v>
      </c>
      <c r="CD106" s="671">
        <v>-0.7</v>
      </c>
      <c r="CE106" s="541">
        <f t="shared" si="290"/>
        <v>0.40000000000000013</v>
      </c>
      <c r="CF106" s="651"/>
      <c r="CG106" s="567"/>
      <c r="CH106" s="693">
        <v>-15</v>
      </c>
      <c r="CI106" s="670">
        <f t="shared" si="266"/>
        <v>-0.1</v>
      </c>
      <c r="CJ106" s="671"/>
      <c r="CK106" s="541">
        <f t="shared" si="291"/>
        <v>9.0000000000000011E-2</v>
      </c>
      <c r="CL106" s="651"/>
      <c r="CN106" s="693">
        <v>-15</v>
      </c>
      <c r="CO106" s="670">
        <f t="shared" si="267"/>
        <v>-1.52</v>
      </c>
      <c r="CP106" s="671">
        <f t="shared" si="292"/>
        <v>-0.39</v>
      </c>
      <c r="CQ106" s="541">
        <f t="shared" si="293"/>
        <v>1.1299999999999999</v>
      </c>
      <c r="CR106" s="651"/>
    </row>
    <row r="107" spans="2:96" ht="13">
      <c r="B107" s="693">
        <v>-10</v>
      </c>
      <c r="C107" s="670"/>
      <c r="D107" s="670">
        <f t="shared" si="268"/>
        <v>0</v>
      </c>
      <c r="E107" s="652">
        <f t="shared" si="269"/>
        <v>0.11333333333333334</v>
      </c>
      <c r="F107" s="655">
        <f ca="1">VLOOKUP(F103,B101:E106,4)</f>
        <v>0.11333333333333334</v>
      </c>
      <c r="G107" s="554"/>
      <c r="H107" s="693">
        <v>-10</v>
      </c>
      <c r="I107" s="670"/>
      <c r="J107" s="670">
        <v>1E-3</v>
      </c>
      <c r="K107" s="652">
        <v>0.1</v>
      </c>
      <c r="L107" s="655">
        <f ca="1">VLOOKUP(L103,H101:K106,4)</f>
        <v>0.1</v>
      </c>
      <c r="M107" s="554"/>
      <c r="N107" s="693">
        <v>-10</v>
      </c>
      <c r="O107" s="671">
        <v>0</v>
      </c>
      <c r="P107" s="671">
        <f t="shared" si="270"/>
        <v>-0.32</v>
      </c>
      <c r="Q107" s="652">
        <v>0.1</v>
      </c>
      <c r="R107" s="655">
        <f ca="1">VLOOKUP(R103,N101:Q106,4)</f>
        <v>0.1</v>
      </c>
      <c r="S107" s="543"/>
      <c r="T107" s="693">
        <v>-10</v>
      </c>
      <c r="U107" s="670"/>
      <c r="V107" s="671">
        <f t="shared" si="271"/>
        <v>-0.9</v>
      </c>
      <c r="W107" s="652">
        <f t="shared" si="272"/>
        <v>0.04</v>
      </c>
      <c r="X107" s="655">
        <f ca="1">VLOOKUP(X103,T101:W106,4)</f>
        <v>0.04</v>
      </c>
      <c r="Y107" s="543"/>
      <c r="Z107" s="693">
        <v>-10</v>
      </c>
      <c r="AA107" s="670">
        <v>0</v>
      </c>
      <c r="AB107" s="671">
        <f t="shared" si="273"/>
        <v>0.27</v>
      </c>
      <c r="AC107" s="652">
        <f t="shared" si="274"/>
        <v>3.6666666666666667E-2</v>
      </c>
      <c r="AD107" s="655">
        <f ca="1">VLOOKUP(AD103,Z101:AC106,4)</f>
        <v>3.6666666666666667E-2</v>
      </c>
      <c r="AE107" s="543"/>
      <c r="AF107" s="693">
        <v>-10</v>
      </c>
      <c r="AG107" s="670">
        <v>0</v>
      </c>
      <c r="AH107" s="671">
        <f t="shared" si="275"/>
        <v>0.26</v>
      </c>
      <c r="AI107" s="652">
        <f t="shared" si="276"/>
        <v>4.6666666666666669E-2</v>
      </c>
      <c r="AJ107" s="655">
        <f ca="1">VLOOKUP(AJ103,AF101:AI106,4)</f>
        <v>4.6666666666666669E-2</v>
      </c>
      <c r="AK107" s="543"/>
      <c r="AL107" s="693">
        <v>-10</v>
      </c>
      <c r="AM107" s="670"/>
      <c r="AN107" s="671">
        <f t="shared" si="277"/>
        <v>0.46</v>
      </c>
      <c r="AO107" s="652">
        <f t="shared" si="278"/>
        <v>0.03</v>
      </c>
      <c r="AP107" s="655">
        <f ca="1">VLOOKUP(AP103,AL101:AO106,4)</f>
        <v>0.03</v>
      </c>
      <c r="AQ107" s="569"/>
      <c r="AR107" s="693">
        <v>-10</v>
      </c>
      <c r="AS107" s="670"/>
      <c r="AT107" s="671">
        <f t="shared" si="294"/>
        <v>0.36</v>
      </c>
      <c r="AU107" s="652">
        <f t="shared" si="279"/>
        <v>3.3333333333333333E-2</v>
      </c>
      <c r="AV107" s="655">
        <f ca="1">VLOOKUP(AV103,AR101:AU106,4)</f>
        <v>3.3333333333333333E-2</v>
      </c>
      <c r="AW107" s="543"/>
      <c r="AX107" s="693">
        <v>-10</v>
      </c>
      <c r="AY107" s="670"/>
      <c r="AZ107" s="553">
        <f t="shared" si="280"/>
        <v>0.48</v>
      </c>
      <c r="BA107" s="541">
        <f t="shared" si="281"/>
        <v>0.26333333333333336</v>
      </c>
      <c r="BB107" s="655">
        <f ca="1">VLOOKUP(BB103,AX101:BA106,4)</f>
        <v>0.26333333333333336</v>
      </c>
      <c r="BC107" s="543"/>
      <c r="BD107" s="693">
        <v>-10</v>
      </c>
      <c r="BE107" s="670"/>
      <c r="BF107" s="553">
        <f t="shared" si="282"/>
        <v>-0.6</v>
      </c>
      <c r="BG107" s="541">
        <f t="shared" si="283"/>
        <v>3.3333333333333333E-2</v>
      </c>
      <c r="BH107" s="655">
        <f ca="1">VLOOKUP(BH103,BD101:BG106,4)</f>
        <v>3.3333333333333333E-2</v>
      </c>
      <c r="BI107" s="543"/>
      <c r="BJ107" s="693">
        <v>-10</v>
      </c>
      <c r="BK107" s="670"/>
      <c r="BL107" s="553">
        <f t="shared" si="284"/>
        <v>0.48</v>
      </c>
      <c r="BM107" s="541">
        <f t="shared" si="285"/>
        <v>0.26333333333333336</v>
      </c>
      <c r="BN107" s="655">
        <f ca="1">VLOOKUP(BN103,BJ101:BM106,4)</f>
        <v>0.26333333333333336</v>
      </c>
      <c r="BO107" s="543"/>
      <c r="BP107" s="693">
        <v>-10</v>
      </c>
      <c r="BQ107" s="670"/>
      <c r="BR107" s="671">
        <f t="shared" si="286"/>
        <v>-0.78</v>
      </c>
      <c r="BS107" s="541">
        <f t="shared" si="287"/>
        <v>2.3333333333333334E-2</v>
      </c>
      <c r="BT107" s="655">
        <f ca="1">VLOOKUP(BT103,BP101:BS106,4)</f>
        <v>2.3333333333333334E-2</v>
      </c>
      <c r="BU107" s="543"/>
      <c r="BV107" s="693">
        <v>-10</v>
      </c>
      <c r="BW107" s="670"/>
      <c r="BX107" s="671">
        <f t="shared" si="288"/>
        <v>-0.89</v>
      </c>
      <c r="BY107" s="541">
        <f t="shared" si="289"/>
        <v>0.03</v>
      </c>
      <c r="BZ107" s="655">
        <f ca="1">VLOOKUP(BZ103,BV101:BY106,4)</f>
        <v>0.03</v>
      </c>
      <c r="CA107" s="543"/>
      <c r="CB107" s="693">
        <v>-10</v>
      </c>
      <c r="CC107" s="670">
        <f t="shared" si="295"/>
        <v>-1.2</v>
      </c>
      <c r="CD107" s="671">
        <v>-0.7</v>
      </c>
      <c r="CE107" s="541">
        <f t="shared" si="290"/>
        <v>0.5</v>
      </c>
      <c r="CF107" s="655">
        <f ca="1">VLOOKUP(CF103,CB101:CE106,4)</f>
        <v>6.6666666666666666E-2</v>
      </c>
      <c r="CG107" s="567"/>
      <c r="CH107" s="693">
        <v>-10</v>
      </c>
      <c r="CI107" s="670">
        <f t="shared" si="266"/>
        <v>-0.05</v>
      </c>
      <c r="CJ107" s="671"/>
      <c r="CK107" s="541">
        <f t="shared" si="291"/>
        <v>6.2E-2</v>
      </c>
      <c r="CL107" s="655">
        <f ca="1">VLOOKUP(CL103,CH101:CK106,4)</f>
        <v>7.3333333333333334E-2</v>
      </c>
      <c r="CN107" s="693">
        <v>-10</v>
      </c>
      <c r="CO107" s="670">
        <f t="shared" si="267"/>
        <v>-1.26</v>
      </c>
      <c r="CP107" s="671">
        <f t="shared" si="292"/>
        <v>-0.28000000000000003</v>
      </c>
      <c r="CQ107" s="541">
        <f t="shared" si="293"/>
        <v>0.98</v>
      </c>
      <c r="CR107" s="655">
        <f ca="1">VLOOKUP(CR103,CN101:CQ106,4)</f>
        <v>0.25666666666666665</v>
      </c>
    </row>
    <row r="108" spans="2:96" ht="13">
      <c r="B108" s="693">
        <v>-5</v>
      </c>
      <c r="C108" s="670"/>
      <c r="D108" s="670"/>
      <c r="E108" s="652"/>
      <c r="F108" s="1340"/>
      <c r="G108" s="554"/>
      <c r="H108" s="693">
        <v>-5</v>
      </c>
      <c r="I108" s="670"/>
      <c r="J108" s="670"/>
      <c r="K108" s="652"/>
      <c r="L108" s="1340"/>
      <c r="M108" s="554"/>
      <c r="N108" s="693">
        <v>-5</v>
      </c>
      <c r="O108" s="671">
        <v>0</v>
      </c>
      <c r="P108" s="671">
        <f t="shared" si="270"/>
        <v>0</v>
      </c>
      <c r="Q108" s="652"/>
      <c r="R108" s="1340"/>
      <c r="S108" s="543"/>
      <c r="T108" s="693">
        <v>-5</v>
      </c>
      <c r="U108" s="670"/>
      <c r="V108" s="671"/>
      <c r="W108" s="652"/>
      <c r="X108" s="1340"/>
      <c r="Y108" s="543"/>
      <c r="Z108" s="693">
        <v>-5</v>
      </c>
      <c r="AA108" s="670">
        <v>0</v>
      </c>
      <c r="AB108" s="671">
        <f t="shared" si="273"/>
        <v>0.27</v>
      </c>
      <c r="AC108" s="652">
        <f t="shared" si="274"/>
        <v>3.6666666666666667E-2</v>
      </c>
      <c r="AD108" s="1340"/>
      <c r="AE108" s="543"/>
      <c r="AF108" s="693">
        <v>-5</v>
      </c>
      <c r="AG108" s="670">
        <v>0</v>
      </c>
      <c r="AH108" s="671">
        <f t="shared" si="275"/>
        <v>0.26</v>
      </c>
      <c r="AI108" s="652">
        <f t="shared" si="276"/>
        <v>4.6666666666666669E-2</v>
      </c>
      <c r="AJ108" s="1340"/>
      <c r="AK108" s="543"/>
      <c r="AL108" s="693">
        <v>-5</v>
      </c>
      <c r="AM108" s="670"/>
      <c r="AN108" s="671">
        <f t="shared" si="277"/>
        <v>0.47</v>
      </c>
      <c r="AO108" s="652">
        <f t="shared" si="278"/>
        <v>0.03</v>
      </c>
      <c r="AP108" s="1340"/>
      <c r="AQ108" s="569"/>
      <c r="AR108" s="693">
        <v>-5</v>
      </c>
      <c r="AS108" s="670"/>
      <c r="AT108" s="671">
        <f t="shared" si="294"/>
        <v>0.36</v>
      </c>
      <c r="AU108" s="652">
        <f t="shared" si="279"/>
        <v>3.3333333333333333E-2</v>
      </c>
      <c r="AV108" s="1340"/>
      <c r="AW108" s="543"/>
      <c r="AX108" s="693">
        <v>-5</v>
      </c>
      <c r="AY108" s="670"/>
      <c r="AZ108" s="553">
        <f t="shared" si="280"/>
        <v>0</v>
      </c>
      <c r="BA108" s="541">
        <f t="shared" si="281"/>
        <v>0.26333333333333336</v>
      </c>
      <c r="BB108" s="1340"/>
      <c r="BC108" s="543"/>
      <c r="BD108" s="693">
        <v>-5</v>
      </c>
      <c r="BE108" s="670"/>
      <c r="BF108" s="553">
        <f t="shared" si="282"/>
        <v>0</v>
      </c>
      <c r="BG108" s="541">
        <f t="shared" si="283"/>
        <v>3.3333333333333333E-2</v>
      </c>
      <c r="BH108" s="1340"/>
      <c r="BI108" s="543"/>
      <c r="BJ108" s="693">
        <v>-5</v>
      </c>
      <c r="BK108" s="670"/>
      <c r="BL108" s="553">
        <f t="shared" si="284"/>
        <v>0</v>
      </c>
      <c r="BM108" s="541">
        <f t="shared" si="285"/>
        <v>0.26333333333333336</v>
      </c>
      <c r="BN108" s="1340"/>
      <c r="BO108" s="543"/>
      <c r="BP108" s="693">
        <v>-5</v>
      </c>
      <c r="BQ108" s="670"/>
      <c r="BR108" s="671">
        <f t="shared" si="286"/>
        <v>0</v>
      </c>
      <c r="BS108" s="541">
        <f t="shared" si="287"/>
        <v>2.3333333333333334E-2</v>
      </c>
      <c r="BT108" s="1340"/>
      <c r="BU108" s="543"/>
      <c r="BV108" s="693">
        <v>-5</v>
      </c>
      <c r="BW108" s="670"/>
      <c r="BX108" s="671">
        <f t="shared" si="288"/>
        <v>0</v>
      </c>
      <c r="BY108" s="541">
        <f t="shared" si="289"/>
        <v>0.03</v>
      </c>
      <c r="BZ108" s="1340"/>
      <c r="CA108" s="543"/>
      <c r="CB108" s="693">
        <v>-5</v>
      </c>
      <c r="CC108" s="670">
        <f t="shared" si="295"/>
        <v>0</v>
      </c>
      <c r="CD108" s="671"/>
      <c r="CE108" s="541">
        <f t="shared" si="290"/>
        <v>6.6666666666666666E-2</v>
      </c>
      <c r="CF108" s="1340"/>
      <c r="CG108" s="567"/>
      <c r="CH108" s="693">
        <v>-5</v>
      </c>
      <c r="CI108" s="670">
        <f t="shared" si="266"/>
        <v>0</v>
      </c>
      <c r="CJ108" s="671"/>
      <c r="CK108" s="541"/>
      <c r="CL108" s="1340"/>
      <c r="CN108" s="693">
        <v>-5</v>
      </c>
      <c r="CO108" s="670">
        <f t="shared" si="267"/>
        <v>0</v>
      </c>
      <c r="CP108" s="671"/>
      <c r="CQ108" s="541"/>
      <c r="CR108" s="1340"/>
    </row>
    <row r="109" spans="2:96" ht="13">
      <c r="B109" s="693">
        <v>0</v>
      </c>
      <c r="C109" s="670"/>
      <c r="D109" s="670">
        <f>D192</f>
        <v>0</v>
      </c>
      <c r="E109" s="652">
        <f>IF(OR(C109=0,D109=0),$U$180/3,((MAX(C109:D109)-(MIN(C109:D109)))))</f>
        <v>0.11333333333333334</v>
      </c>
      <c r="F109" s="1339">
        <f ca="1">(((F107-F105)/(F103-F101))*(F100-F101))+F105</f>
        <v>0.11333333333333334</v>
      </c>
      <c r="G109" s="554"/>
      <c r="H109" s="693">
        <v>0</v>
      </c>
      <c r="I109" s="670"/>
      <c r="J109" s="670">
        <v>1E-3</v>
      </c>
      <c r="K109" s="652">
        <v>0.1</v>
      </c>
      <c r="L109" s="1339">
        <f ca="1">(((L107-L105)/(L103-L101))*(L100-L101))+L105</f>
        <v>0.1</v>
      </c>
      <c r="M109" s="554"/>
      <c r="N109" s="693">
        <v>0</v>
      </c>
      <c r="O109" s="671">
        <v>0</v>
      </c>
      <c r="P109" s="671">
        <f t="shared" si="270"/>
        <v>-0.21</v>
      </c>
      <c r="Q109" s="652">
        <v>0.1</v>
      </c>
      <c r="R109" s="1339">
        <f ca="1">(((R107-R105)/(R103-R101))*(R100-R101))+R105</f>
        <v>0.1</v>
      </c>
      <c r="S109" s="543"/>
      <c r="T109" s="693">
        <v>0</v>
      </c>
      <c r="U109" s="670"/>
      <c r="V109" s="671">
        <f>F192</f>
        <v>-0.36</v>
      </c>
      <c r="W109" s="652">
        <f>IF(OR(U109=0,V109=0),$F$193/3,((MAX(U109:V109)-(MIN(U109:V109)))))</f>
        <v>0.04</v>
      </c>
      <c r="X109" s="1339">
        <f ca="1">(((X107-X105)/(X103-X101))*(X100-X101))+X105</f>
        <v>0.04</v>
      </c>
      <c r="Y109" s="543"/>
      <c r="Z109" s="693">
        <v>0</v>
      </c>
      <c r="AA109" s="670">
        <v>0</v>
      </c>
      <c r="AB109" s="671">
        <f t="shared" si="273"/>
        <v>0.22</v>
      </c>
      <c r="AC109" s="652">
        <f t="shared" si="274"/>
        <v>3.6666666666666667E-2</v>
      </c>
      <c r="AD109" s="1339">
        <f ca="1">(((AD107-AD105)/(AD103-AD101))*(AD100-AD101))+AD105</f>
        <v>3.6666666666666667E-2</v>
      </c>
      <c r="AE109" s="543"/>
      <c r="AF109" s="693">
        <v>0</v>
      </c>
      <c r="AG109" s="670">
        <v>0</v>
      </c>
      <c r="AH109" s="671">
        <f t="shared" si="275"/>
        <v>0.21</v>
      </c>
      <c r="AI109" s="652">
        <f t="shared" si="276"/>
        <v>4.6666666666666669E-2</v>
      </c>
      <c r="AJ109" s="1339">
        <f ca="1">(((AJ107-AJ105)/(AJ103-AJ101))*(AJ100-AJ101))+AJ105</f>
        <v>4.6666666666666669E-2</v>
      </c>
      <c r="AK109" s="543"/>
      <c r="AL109" s="693">
        <v>0</v>
      </c>
      <c r="AM109" s="670"/>
      <c r="AN109" s="671">
        <f t="shared" si="277"/>
        <v>0.46</v>
      </c>
      <c r="AO109" s="652">
        <f t="shared" si="278"/>
        <v>0.03</v>
      </c>
      <c r="AP109" s="1339">
        <f ca="1">(((AP107-AP105)/(AP103-AP101))*(AP100-AP101))+AP105</f>
        <v>0.03</v>
      </c>
      <c r="AQ109" s="543"/>
      <c r="AR109" s="693">
        <v>0</v>
      </c>
      <c r="AS109" s="670"/>
      <c r="AT109" s="671">
        <f>AB192</f>
        <v>0.36</v>
      </c>
      <c r="AU109" s="652">
        <f t="shared" si="279"/>
        <v>3.3333333333333333E-2</v>
      </c>
      <c r="AV109" s="1339">
        <f ca="1">(((AV107-AV105)/(AV103-AV101))*(AV100-AV101))+AV105</f>
        <v>3.3333333333333333E-2</v>
      </c>
      <c r="AW109" s="543"/>
      <c r="AX109" s="693">
        <v>0</v>
      </c>
      <c r="AY109" s="670"/>
      <c r="AZ109" s="553">
        <f t="shared" si="280"/>
        <v>0.47</v>
      </c>
      <c r="BA109" s="541">
        <f t="shared" si="281"/>
        <v>0.26333333333333336</v>
      </c>
      <c r="BB109" s="1339">
        <f ca="1">(((BB107-BB105)/(BB103-BB101))*(BB100-BB101))+BB105</f>
        <v>0.26333333333333336</v>
      </c>
      <c r="BC109" s="543"/>
      <c r="BD109" s="693">
        <v>0</v>
      </c>
      <c r="BE109" s="670"/>
      <c r="BF109" s="553">
        <f t="shared" si="282"/>
        <v>-0.34</v>
      </c>
      <c r="BG109" s="541">
        <f t="shared" si="283"/>
        <v>3.3333333333333333E-2</v>
      </c>
      <c r="BH109" s="1339">
        <f ca="1">(((BH107-BH105)/(BH103-BH101))*(BH100-BH101))+BH105</f>
        <v>3.3333333333333333E-2</v>
      </c>
      <c r="BI109" s="543"/>
      <c r="BJ109" s="693">
        <v>0</v>
      </c>
      <c r="BK109" s="670"/>
      <c r="BL109" s="553">
        <f t="shared" si="284"/>
        <v>0.47</v>
      </c>
      <c r="BM109" s="541">
        <f t="shared" si="285"/>
        <v>0.26333333333333336</v>
      </c>
      <c r="BN109" s="1339">
        <f ca="1">(((BN107-BN105)/(BN103-BN101))*(BN100-BN101))+BN105</f>
        <v>0.26333333333333336</v>
      </c>
      <c r="BO109" s="543"/>
      <c r="BP109" s="693">
        <v>0</v>
      </c>
      <c r="BQ109" s="670"/>
      <c r="BR109" s="671">
        <f t="shared" si="286"/>
        <v>-0.55000000000000004</v>
      </c>
      <c r="BS109" s="541">
        <f t="shared" si="287"/>
        <v>2.3333333333333334E-2</v>
      </c>
      <c r="BT109" s="1339">
        <f ca="1">(((BT107-BT105)/(BT103-BT101))*(BT100-BT101))+BT105</f>
        <v>2.3333333333333334E-2</v>
      </c>
      <c r="BU109" s="543"/>
      <c r="BV109" s="693">
        <v>0</v>
      </c>
      <c r="BW109" s="670"/>
      <c r="BX109" s="671">
        <f t="shared" si="288"/>
        <v>-0.54</v>
      </c>
      <c r="BY109" s="541">
        <f t="shared" si="289"/>
        <v>0.03</v>
      </c>
      <c r="BZ109" s="1339">
        <f ca="1">(((BZ107-BZ105)/(BZ103-BZ101))*(BZ100-BZ101))+BZ105</f>
        <v>0.03</v>
      </c>
      <c r="CA109" s="543"/>
      <c r="CB109" s="693">
        <v>0</v>
      </c>
      <c r="CC109" s="670">
        <f t="shared" si="295"/>
        <v>-1.4</v>
      </c>
      <c r="CD109" s="671">
        <v>-0.7</v>
      </c>
      <c r="CE109" s="541">
        <f t="shared" si="290"/>
        <v>0.7</v>
      </c>
      <c r="CF109" s="1339">
        <f ca="1">(((CF107-CF105)/(CF103-CF101))*(CF100-CF101))+CF105</f>
        <v>6.6666666666666666E-2</v>
      </c>
      <c r="CG109" s="568"/>
      <c r="CH109" s="693">
        <v>0</v>
      </c>
      <c r="CI109" s="670">
        <f t="shared" si="266"/>
        <v>0.03</v>
      </c>
      <c r="CJ109" s="671"/>
      <c r="CK109" s="541">
        <f>CK97</f>
        <v>2.5999999999999999E-2</v>
      </c>
      <c r="CL109" s="1339">
        <f ca="1">(((CL107-CL105)/(CL103-CL101))*(CL100-CL101))+CL105</f>
        <v>7.3333333333333334E-2</v>
      </c>
      <c r="CN109" s="693">
        <v>0</v>
      </c>
      <c r="CO109" s="670">
        <f t="shared" si="267"/>
        <v>-0.79</v>
      </c>
      <c r="CP109" s="671">
        <f>CP13</f>
        <v>-0.08</v>
      </c>
      <c r="CQ109" s="541">
        <f>CQ97</f>
        <v>0.71000000000000008</v>
      </c>
      <c r="CR109" s="1339">
        <f ca="1">(((CR107-CR105)/(CR103-CR101))*(CR100-CR101))+CR105</f>
        <v>0.25666666666666665</v>
      </c>
    </row>
    <row r="110" spans="2:96" s="543" customFormat="1" ht="13">
      <c r="B110" s="678"/>
      <c r="C110" s="679"/>
      <c r="D110" s="679"/>
      <c r="E110" s="683"/>
      <c r="F110" s="556"/>
      <c r="G110" s="556"/>
      <c r="H110" s="678"/>
      <c r="I110" s="683"/>
      <c r="J110" s="683"/>
      <c r="K110" s="683"/>
      <c r="L110" s="556"/>
      <c r="M110" s="556"/>
      <c r="N110" s="683"/>
      <c r="O110" s="680"/>
      <c r="P110" s="680"/>
      <c r="Q110" s="680"/>
      <c r="R110" s="556"/>
      <c r="T110" s="678"/>
      <c r="U110" s="679"/>
      <c r="V110" s="679"/>
      <c r="W110" s="679"/>
      <c r="X110" s="556"/>
      <c r="Y110" s="544"/>
      <c r="Z110" s="679"/>
      <c r="AA110" s="679"/>
      <c r="AB110" s="679"/>
      <c r="AC110" s="680"/>
      <c r="AD110" s="556"/>
      <c r="AF110" s="680"/>
      <c r="AG110" s="680"/>
      <c r="AH110" s="679"/>
      <c r="AI110" s="680"/>
      <c r="AJ110" s="556"/>
      <c r="AL110" s="680"/>
      <c r="AM110" s="680"/>
      <c r="AN110" s="679"/>
      <c r="AO110" s="680"/>
      <c r="AP110" s="556"/>
      <c r="AS110" s="680"/>
      <c r="AT110" s="679"/>
      <c r="AU110" s="680"/>
      <c r="AV110" s="556"/>
      <c r="AX110" s="678"/>
      <c r="AZ110" s="544"/>
      <c r="BB110" s="556"/>
      <c r="BD110" s="678"/>
      <c r="BF110" s="544"/>
      <c r="BH110" s="556"/>
      <c r="BJ110" s="678"/>
      <c r="BL110" s="544"/>
      <c r="BN110" s="556"/>
      <c r="BP110" s="678"/>
      <c r="BR110" s="544"/>
      <c r="BT110" s="556"/>
      <c r="BV110" s="678"/>
      <c r="BX110" s="544"/>
      <c r="BZ110" s="556"/>
      <c r="CB110" s="678"/>
      <c r="CD110" s="544"/>
      <c r="CF110" s="556"/>
      <c r="CH110" s="678"/>
      <c r="CJ110" s="544"/>
      <c r="CL110" s="556"/>
      <c r="CN110" s="678"/>
      <c r="CP110" s="544"/>
      <c r="CR110" s="556"/>
    </row>
    <row r="111" spans="2:96" ht="24.75" customHeight="1">
      <c r="B111" s="1195" t="s">
        <v>366</v>
      </c>
      <c r="C111" s="1197" t="str">
        <f>C99</f>
        <v>Thermocouple Data Logger, Merek : MADGETECH, Model : OctTemp 2000, SN : P40270</v>
      </c>
      <c r="D111" s="1197"/>
      <c r="E111" s="1197"/>
      <c r="F111" s="546" t="str">
        <f>F99</f>
        <v>Interpolasi</v>
      </c>
      <c r="G111" s="547"/>
      <c r="H111" s="1195" t="s">
        <v>366</v>
      </c>
      <c r="I111" s="1197" t="str">
        <f>I99</f>
        <v>Thermocouple Data Logger, Merek : MADGETECH, Model : OctTemp 2000, SN : P41878</v>
      </c>
      <c r="J111" s="1197"/>
      <c r="K111" s="1197"/>
      <c r="L111" s="546" t="str">
        <f>L99</f>
        <v>Interpolasi</v>
      </c>
      <c r="M111" s="547"/>
      <c r="N111" s="1195" t="str">
        <f>H111</f>
        <v>CH 10</v>
      </c>
      <c r="O111" s="1197" t="str">
        <f>O99</f>
        <v>Mobile Corder, Merek : Yokogawa, Model : GP 10, SN : S5T810599</v>
      </c>
      <c r="P111" s="1198"/>
      <c r="Q111" s="1197"/>
      <c r="R111" s="546" t="str">
        <f>R99</f>
        <v>Interpolasi</v>
      </c>
      <c r="S111" s="543"/>
      <c r="T111" s="1195" t="s">
        <v>366</v>
      </c>
      <c r="U111" s="1197" t="str">
        <f>U99</f>
        <v>Wireless Temperature Recorder, Merek : HIOKI, Model : LR 8510, SN : 200936000</v>
      </c>
      <c r="V111" s="1198"/>
      <c r="W111" s="1197"/>
      <c r="X111" s="546" t="str">
        <f>X99</f>
        <v>Interpolasi</v>
      </c>
      <c r="Y111" s="543"/>
      <c r="Z111" s="1195" t="str">
        <f>T111</f>
        <v>CH 10</v>
      </c>
      <c r="AA111" s="1197" t="str">
        <f>AA99</f>
        <v>Wireless Temperature Recorder, Merek : HIOKI, Model : LR 8510, SN : 200936001</v>
      </c>
      <c r="AB111" s="1198"/>
      <c r="AC111" s="1197"/>
      <c r="AD111" s="546" t="str">
        <f>AD99</f>
        <v>Interpolasi</v>
      </c>
      <c r="AE111" s="543"/>
      <c r="AF111" s="1195" t="str">
        <f>Z111</f>
        <v>CH 10</v>
      </c>
      <c r="AG111" s="1197" t="str">
        <f>AG99</f>
        <v>Wireless Temperature Recorder, Merek : HIOKI, Model : LR 8510, SN : 200821397</v>
      </c>
      <c r="AH111" s="1198"/>
      <c r="AI111" s="1197"/>
      <c r="AJ111" s="546" t="str">
        <f>AJ99</f>
        <v>Interpolasi</v>
      </c>
      <c r="AK111" s="543"/>
      <c r="AL111" s="1199" t="str">
        <f>AF111</f>
        <v>CH 10</v>
      </c>
      <c r="AM111" s="1197" t="str">
        <f>AM99</f>
        <v>Wireless Temperature Recorder, Merek : HIOKI, Model : LR 8510, SN : 210411983</v>
      </c>
      <c r="AN111" s="1198"/>
      <c r="AO111" s="1197"/>
      <c r="AP111" s="546" t="str">
        <f>AP99</f>
        <v>Interpolasi</v>
      </c>
      <c r="AQ111" s="569"/>
      <c r="AR111" s="1199" t="str">
        <f>AL111</f>
        <v>CH 10</v>
      </c>
      <c r="AS111" s="1197" t="str">
        <f>AS99</f>
        <v>Wireless Temperature Recorder, Merek : HIOKI, Model : LR 8510, SN : 210411984</v>
      </c>
      <c r="AT111" s="1198"/>
      <c r="AU111" s="1197"/>
      <c r="AV111" s="546" t="str">
        <f>AV99</f>
        <v>Interpolasi</v>
      </c>
      <c r="AW111" s="543"/>
      <c r="AX111" s="1195" t="s">
        <v>366</v>
      </c>
      <c r="AY111" s="1193" t="str">
        <f>AY99</f>
        <v>Wireless Temperature Recorder, Merek : HIOKI, Model : LR 8510, SN : 210411985</v>
      </c>
      <c r="AZ111" s="1194"/>
      <c r="BA111" s="1193"/>
      <c r="BB111" s="546" t="str">
        <f>BB99</f>
        <v>Interpolasi</v>
      </c>
      <c r="BC111" s="543"/>
      <c r="BD111" s="1195" t="s">
        <v>366</v>
      </c>
      <c r="BE111" s="1193" t="str">
        <f>BE99</f>
        <v>Wireless Temperature Recorder, Merek : HIOKI, Model : LR 8510, SN : 210746054</v>
      </c>
      <c r="BF111" s="1194"/>
      <c r="BG111" s="1193"/>
      <c r="BH111" s="546" t="str">
        <f>BH99</f>
        <v>Interpolasi</v>
      </c>
      <c r="BI111" s="543"/>
      <c r="BJ111" s="1195" t="s">
        <v>366</v>
      </c>
      <c r="BK111" s="1193" t="str">
        <f>BK99</f>
        <v>Wireless Temperature Recorder, Merek : HIOKI, Model : LR 8510, SN : 210746055</v>
      </c>
      <c r="BL111" s="1194"/>
      <c r="BM111" s="1193"/>
      <c r="BN111" s="546" t="str">
        <f>BN99</f>
        <v>Interpolasi</v>
      </c>
      <c r="BO111" s="543"/>
      <c r="BP111" s="1195" t="s">
        <v>366</v>
      </c>
      <c r="BQ111" s="1193" t="str">
        <f>BQ99</f>
        <v>Wireless Temperature Recorder, Merek : HIOKI, Model : LR 8510, SN : 210746056</v>
      </c>
      <c r="BR111" s="1194"/>
      <c r="BS111" s="1193"/>
      <c r="BT111" s="546" t="str">
        <f>BT99</f>
        <v>Interpolasi</v>
      </c>
      <c r="BU111" s="543"/>
      <c r="BV111" s="1195" t="s">
        <v>366</v>
      </c>
      <c r="BW111" s="1193" t="str">
        <f>BW99</f>
        <v>Wireless Temperature Recorder, Merek : HIOKI, Model : LR 8510, SN : 200821396</v>
      </c>
      <c r="BX111" s="1194"/>
      <c r="BY111" s="1193"/>
      <c r="BZ111" s="546" t="str">
        <f>BZ99</f>
        <v>Interpolasi</v>
      </c>
      <c r="CA111" s="543"/>
      <c r="CB111" s="1195" t="s">
        <v>366</v>
      </c>
      <c r="CC111" s="1193" t="str">
        <f>CC99</f>
        <v>Reference Thermometer, Merek : APPA, Model : APPA51, SN : 03002948</v>
      </c>
      <c r="CD111" s="1194"/>
      <c r="CE111" s="1193"/>
      <c r="CF111" s="546" t="str">
        <f>CF99</f>
        <v>Interpolasi</v>
      </c>
      <c r="CH111" s="1195" t="s">
        <v>366</v>
      </c>
      <c r="CI111" s="1193" t="str">
        <f t="shared" ref="CI111:CI121" si="296">CI99</f>
        <v>Reference Thermometer, Merek : FLUKE, Model : 1524, SN : 1803038</v>
      </c>
      <c r="CJ111" s="1194"/>
      <c r="CK111" s="1193"/>
      <c r="CL111" s="546" t="str">
        <f>CL99</f>
        <v>Interpolasi</v>
      </c>
      <c r="CN111" s="1195" t="s">
        <v>366</v>
      </c>
      <c r="CO111" s="1193" t="str">
        <f t="shared" ref="CO111:CO121" si="297">CO99</f>
        <v>Reference Thermometer, Merek : FLUKE, Model : 1524, SN : 1803037</v>
      </c>
      <c r="CP111" s="1194"/>
      <c r="CQ111" s="1193"/>
      <c r="CR111" s="546" t="str">
        <f>CR99</f>
        <v>Interpolasi</v>
      </c>
    </row>
    <row r="112" spans="2:96" ht="13">
      <c r="B112" s="1196"/>
      <c r="C112" s="681">
        <f>C100</f>
        <v>2021</v>
      </c>
      <c r="D112" s="681">
        <f>D100</f>
        <v>2022</v>
      </c>
      <c r="E112" s="682" t="s">
        <v>357</v>
      </c>
      <c r="F112" s="656">
        <f ca="1">$B$243</f>
        <v>-26.693000000000005</v>
      </c>
      <c r="G112" s="551"/>
      <c r="H112" s="1196"/>
      <c r="I112" s="677">
        <f>I100</f>
        <v>2021</v>
      </c>
      <c r="J112" s="677">
        <f>J100</f>
        <v>2022</v>
      </c>
      <c r="K112" s="682" t="s">
        <v>357</v>
      </c>
      <c r="L112" s="656">
        <f ca="1">$B$243</f>
        <v>-26.693000000000005</v>
      </c>
      <c r="M112" s="551"/>
      <c r="N112" s="1196"/>
      <c r="O112" s="677">
        <f>O28</f>
        <v>2021</v>
      </c>
      <c r="P112" s="681">
        <f>P28</f>
        <v>2023</v>
      </c>
      <c r="Q112" s="682" t="s">
        <v>357</v>
      </c>
      <c r="R112" s="656">
        <f ca="1">$B$243</f>
        <v>-26.693000000000005</v>
      </c>
      <c r="S112" s="543"/>
      <c r="T112" s="1196"/>
      <c r="U112" s="668">
        <f>U100</f>
        <v>0</v>
      </c>
      <c r="V112" s="681">
        <f>V100</f>
        <v>2022</v>
      </c>
      <c r="W112" s="682" t="s">
        <v>357</v>
      </c>
      <c r="X112" s="656">
        <f ca="1">$B$243</f>
        <v>-26.693000000000005</v>
      </c>
      <c r="Y112" s="543"/>
      <c r="Z112" s="1196"/>
      <c r="AA112" s="668">
        <f>AA100</f>
        <v>2021</v>
      </c>
      <c r="AB112" s="681">
        <f>AB100</f>
        <v>2023</v>
      </c>
      <c r="AC112" s="682" t="s">
        <v>357</v>
      </c>
      <c r="AD112" s="656">
        <f ca="1">$B$243</f>
        <v>-26.693000000000005</v>
      </c>
      <c r="AE112" s="543"/>
      <c r="AF112" s="1196"/>
      <c r="AG112" s="668">
        <f>AG100</f>
        <v>2021</v>
      </c>
      <c r="AH112" s="677">
        <f>AH100</f>
        <v>2023</v>
      </c>
      <c r="AI112" s="682" t="s">
        <v>357</v>
      </c>
      <c r="AJ112" s="656">
        <f ca="1">$B$243</f>
        <v>-26.693000000000005</v>
      </c>
      <c r="AK112" s="543"/>
      <c r="AL112" s="1200"/>
      <c r="AM112" s="677">
        <f>AM100</f>
        <v>0</v>
      </c>
      <c r="AN112" s="681">
        <f>AN100</f>
        <v>2023</v>
      </c>
      <c r="AO112" s="682" t="s">
        <v>357</v>
      </c>
      <c r="AP112" s="656">
        <f ca="1">$B$243</f>
        <v>-26.693000000000005</v>
      </c>
      <c r="AQ112" s="569"/>
      <c r="AR112" s="1200"/>
      <c r="AS112" s="677">
        <f>AS100</f>
        <v>2021</v>
      </c>
      <c r="AT112" s="681">
        <f>AT100</f>
        <v>2023</v>
      </c>
      <c r="AU112" s="682" t="s">
        <v>357</v>
      </c>
      <c r="AV112" s="656">
        <f ca="1">$B$243</f>
        <v>-26.693000000000005</v>
      </c>
      <c r="AW112" s="543"/>
      <c r="AX112" s="1196"/>
      <c r="AY112" s="668">
        <f>AY100</f>
        <v>0</v>
      </c>
      <c r="AZ112" s="549">
        <f>AZ100</f>
        <v>2021</v>
      </c>
      <c r="BA112" s="550" t="s">
        <v>357</v>
      </c>
      <c r="BB112" s="656">
        <f ca="1">$B$243</f>
        <v>-26.693000000000005</v>
      </c>
      <c r="BC112" s="543"/>
      <c r="BD112" s="1196"/>
      <c r="BE112" s="668">
        <f>BE100</f>
        <v>0</v>
      </c>
      <c r="BF112" s="549"/>
      <c r="BG112" s="550" t="s">
        <v>357</v>
      </c>
      <c r="BH112" s="656">
        <f ca="1">$B$243</f>
        <v>-26.693000000000005</v>
      </c>
      <c r="BI112" s="543"/>
      <c r="BJ112" s="1196"/>
      <c r="BK112" s="668">
        <f>BK100</f>
        <v>2021</v>
      </c>
      <c r="BL112" s="549">
        <f>BL100</f>
        <v>2021</v>
      </c>
      <c r="BM112" s="550" t="s">
        <v>357</v>
      </c>
      <c r="BN112" s="656">
        <f ca="1">$B$243</f>
        <v>-26.693000000000005</v>
      </c>
      <c r="BO112" s="543"/>
      <c r="BP112" s="1196"/>
      <c r="BQ112" s="668">
        <f>BQ100</f>
        <v>2021</v>
      </c>
      <c r="BR112" s="549">
        <f>BR100</f>
        <v>2022</v>
      </c>
      <c r="BS112" s="550" t="s">
        <v>357</v>
      </c>
      <c r="BT112" s="656">
        <f ca="1">$B$243</f>
        <v>-26.693000000000005</v>
      </c>
      <c r="BU112" s="543"/>
      <c r="BV112" s="1196"/>
      <c r="BW112" s="552">
        <f>BW100</f>
        <v>0</v>
      </c>
      <c r="BX112" s="549">
        <f>BX100</f>
        <v>2022</v>
      </c>
      <c r="BY112" s="550" t="s">
        <v>357</v>
      </c>
      <c r="BZ112" s="656">
        <f ca="1">$B$243</f>
        <v>-26.693000000000005</v>
      </c>
      <c r="CA112" s="543"/>
      <c r="CB112" s="1196"/>
      <c r="CC112" s="668">
        <f>CC100</f>
        <v>2022</v>
      </c>
      <c r="CD112" s="669">
        <f>CD100</f>
        <v>2020</v>
      </c>
      <c r="CE112" s="550" t="s">
        <v>357</v>
      </c>
      <c r="CF112" s="656">
        <f ca="1">$B$243</f>
        <v>-26.693000000000005</v>
      </c>
      <c r="CG112" s="563"/>
      <c r="CH112" s="1196"/>
      <c r="CI112" s="668">
        <f t="shared" si="296"/>
        <v>2021</v>
      </c>
      <c r="CJ112" s="669">
        <f>CJ100</f>
        <v>2019</v>
      </c>
      <c r="CK112" s="550" t="s">
        <v>357</v>
      </c>
      <c r="CL112" s="656">
        <f ca="1">$B$243</f>
        <v>-26.693000000000005</v>
      </c>
      <c r="CN112" s="1196"/>
      <c r="CO112" s="668">
        <f t="shared" si="297"/>
        <v>2021</v>
      </c>
      <c r="CP112" s="669">
        <f>CP100</f>
        <v>2020</v>
      </c>
      <c r="CQ112" s="550" t="s">
        <v>357</v>
      </c>
      <c r="CR112" s="656">
        <f ca="1">$B$243</f>
        <v>-26.693000000000005</v>
      </c>
    </row>
    <row r="113" spans="2:96" ht="13">
      <c r="B113" s="693">
        <v>-40</v>
      </c>
      <c r="C113" s="670"/>
      <c r="D113" s="670">
        <f>U184</f>
        <v>0</v>
      </c>
      <c r="E113" s="652">
        <f t="shared" ref="E113:E119" si="298">IF(OR(C113=0,D113=0),$U$180/3,((MAX(C113:D113)-(MIN(C113:D113)))))</f>
        <v>0.11333333333333334</v>
      </c>
      <c r="F113" s="654">
        <f ca="1">IF($L$4&lt;=$B$6,$B$5,IF($L$4&lt;=$B$8,$B$7,IF($L$4&lt;=$B$10,$B$9,IF($L$4&lt;=$B$12,$B$11,IF($L$4&lt;=$B$13,$B$13)))))</f>
        <v>-30</v>
      </c>
      <c r="G113" s="554"/>
      <c r="H113" s="693">
        <v>-40</v>
      </c>
      <c r="I113" s="670"/>
      <c r="J113" s="670"/>
      <c r="K113" s="652">
        <v>0.1</v>
      </c>
      <c r="L113" s="654">
        <f ca="1">IF($L$4&lt;=$B$6,$B$5,IF($L$4&lt;=$B$8,$B$7,IF($L$4&lt;=$B$10,$B$9,IF($L$4&lt;=$B$12,$B$11,IF($L$4&lt;=$B$13,$B$13)))))</f>
        <v>-30</v>
      </c>
      <c r="M113" s="554"/>
      <c r="N113" s="693">
        <v>-40</v>
      </c>
      <c r="O113" s="670">
        <v>0</v>
      </c>
      <c r="P113" s="670">
        <f>W184</f>
        <v>0</v>
      </c>
      <c r="Q113" s="652">
        <v>0.1</v>
      </c>
      <c r="R113" s="654">
        <f ca="1">IF($L$4&lt;=$B$6,$B$5,IF($L$4&lt;=$B$8,$B$7,IF($L$4&lt;=$B$10,$B$9,IF($L$4&lt;=$B$12,$B$11,IF($L$4&lt;=$B$13,$B$13)))))</f>
        <v>-30</v>
      </c>
      <c r="S113" s="543"/>
      <c r="T113" s="693">
        <v>-40</v>
      </c>
      <c r="U113" s="670"/>
      <c r="V113" s="671">
        <f>X184</f>
        <v>-2.62</v>
      </c>
      <c r="W113" s="652">
        <f t="shared" ref="W113:W119" si="299">IF(OR(U113=0,V113=0),$X$193/3,((MAX(U113:V113)-(MIN(U113:V113)))))</f>
        <v>8.666666666666667E-2</v>
      </c>
      <c r="X113" s="654">
        <f ca="1">IF($L$4&lt;=$B$6,$B$5,IF($L$4&lt;=$B$8,$B$7,IF($L$4&lt;=$B$10,$B$9,IF($L$4&lt;=$B$12,$B$11,IF($L$4&lt;=$B$13,$B$13)))))</f>
        <v>-30</v>
      </c>
      <c r="Y113" s="543"/>
      <c r="Z113" s="693">
        <v>-40</v>
      </c>
      <c r="AA113" s="670">
        <v>0</v>
      </c>
      <c r="AB113" s="671">
        <f>Y184</f>
        <v>0.21</v>
      </c>
      <c r="AC113" s="652">
        <f t="shared" ref="AC113:AC121" si="300">IF(OR(AA113=0,AB113=0),$Y$193/3,((MAX(AA113:AB113)-(MIN(AA113:AB113)))))</f>
        <v>2.6666666666666668E-2</v>
      </c>
      <c r="AD113" s="654">
        <f ca="1">IF($L$4&lt;=$B$6,$B$5,IF($L$4&lt;=$B$8,$B$7,IF($L$4&lt;=$B$10,$B$9,IF($L$4&lt;=$B$12,$B$11,IF($L$4&lt;=$B$13,$B$13)))))</f>
        <v>-30</v>
      </c>
      <c r="AE113" s="543"/>
      <c r="AF113" s="693">
        <v>-40</v>
      </c>
      <c r="AG113" s="670">
        <v>0</v>
      </c>
      <c r="AH113" s="671">
        <f t="shared" ref="AH113" si="301">Z184</f>
        <v>0.21</v>
      </c>
      <c r="AI113" s="652">
        <f t="shared" ref="AI113:AI121" si="302">IF(OR(AG113=0,AH113=0),$Z$193/3,((MAX(AG113:AH113)-(MIN(AG113:AH113)))))</f>
        <v>4.6666666666666669E-2</v>
      </c>
      <c r="AJ113" s="654">
        <f ca="1">IF($L$4&lt;=$B$6,$B$5,IF($L$4&lt;=$B$8,$B$7,IF($L$4&lt;=$B$10,$B$9,IF($L$4&lt;=$B$12,$B$11,IF($L$4&lt;=$B$13,$B$13)))))</f>
        <v>-30</v>
      </c>
      <c r="AK113" s="543"/>
      <c r="AL113" s="693">
        <v>-40</v>
      </c>
      <c r="AM113" s="670"/>
      <c r="AN113" s="671">
        <f>AA184</f>
        <v>0.39</v>
      </c>
      <c r="AO113" s="652">
        <f t="shared" ref="AO113:AO121" si="303">IF(OR(AM113=0,AN113=0),$AA$193/3,((MAX(AM113:AN113)-(MIN(AM113:AN113)))))</f>
        <v>2.6666666666666668E-2</v>
      </c>
      <c r="AP113" s="654">
        <f ca="1">IF($L$4&lt;=$B$6,$B$5,IF($L$4&lt;=$B$8,$B$7,IF($L$4&lt;=$B$10,$B$9,IF($L$4&lt;=$B$12,$B$11,IF($L$4&lt;=$B$13,$B$13)))))</f>
        <v>-30</v>
      </c>
      <c r="AQ113" s="569"/>
      <c r="AR113" s="693">
        <v>-40</v>
      </c>
      <c r="AS113" s="670"/>
      <c r="AT113" s="671">
        <f>AB184</f>
        <v>0.28000000000000003</v>
      </c>
      <c r="AU113" s="652">
        <f t="shared" ref="AU113:AU121" si="304">IF(OR(AS113=0,AT113=0),$AB$193/3,((MAX(AS113:AT113)-(MIN(AS113:AT113)))))</f>
        <v>3.6666666666666667E-2</v>
      </c>
      <c r="AV113" s="654">
        <f ca="1">IF($L$4&lt;=$B$6,$B$5,IF($L$4&lt;=$B$8,$B$7,IF($L$4&lt;=$B$10,$B$9,IF($L$4&lt;=$B$12,$B$11,IF($L$4&lt;=$B$13,$B$13)))))</f>
        <v>-30</v>
      </c>
      <c r="AW113" s="543"/>
      <c r="AX113" s="693">
        <v>-40</v>
      </c>
      <c r="AY113" s="670"/>
      <c r="AZ113" s="553">
        <f>AC184</f>
        <v>0</v>
      </c>
      <c r="BA113" s="541">
        <f t="shared" ref="BA113:BA121" si="305">IF(OR(AY113=0,AZ113=0),$AC$193/3,((MAX(AY113:AZ113)-(MIN(AY113:AZ113)))))</f>
        <v>0.26333333333333336</v>
      </c>
      <c r="BB113" s="654">
        <f ca="1">IF($L$4&lt;=$B$6,$B$5,IF($L$4&lt;=$B$8,$B$7,IF($L$4&lt;=$B$10,$B$9,IF($L$4&lt;=$B$12,$B$11,IF($L$4&lt;=$B$13,$B$13)))))</f>
        <v>-30</v>
      </c>
      <c r="BC113" s="543"/>
      <c r="BD113" s="693">
        <v>-40</v>
      </c>
      <c r="BE113" s="670"/>
      <c r="BF113" s="553">
        <f>AD184</f>
        <v>-2.64</v>
      </c>
      <c r="BG113" s="541">
        <f t="shared" ref="BG113:BG121" si="306">IF(OR(BE113=0,BF113=0),$AD$193/3,((MAX(BE113:BF113)-(MIN(BE113:BF113)))))</f>
        <v>0.03</v>
      </c>
      <c r="BH113" s="654">
        <f ca="1">IF($L$4&lt;=$B$6,$B$5,IF($L$4&lt;=$B$8,$B$7,IF($L$4&lt;=$B$10,$B$9,IF($L$4&lt;=$B$12,$B$11,IF($L$4&lt;=$B$13,$B$13)))))</f>
        <v>-30</v>
      </c>
      <c r="BI113" s="543"/>
      <c r="BJ113" s="693">
        <v>-40</v>
      </c>
      <c r="BK113" s="670"/>
      <c r="BL113" s="553">
        <f>AE184</f>
        <v>0</v>
      </c>
      <c r="BM113" s="541">
        <f t="shared" ref="BM113:BM121" si="307">IF(OR(BK113=0,BL113=0),$AE$193/3,((MAX(BK113:BL113)-(MIN(BK113:BL113)))))</f>
        <v>0.26333333333333336</v>
      </c>
      <c r="BN113" s="654">
        <f ca="1">IF($L$4&lt;=$B$6,$B$5,IF($L$4&lt;=$B$8,$B$7,IF($L$4&lt;=$B$10,$B$9,IF($L$4&lt;=$B$12,$B$11,IF($L$4&lt;=$B$13,$B$13)))))</f>
        <v>-30</v>
      </c>
      <c r="BO113" s="543"/>
      <c r="BP113" s="693">
        <v>-40</v>
      </c>
      <c r="BQ113" s="670"/>
      <c r="BR113" s="671">
        <f>AF184</f>
        <v>-2.2400000000000002</v>
      </c>
      <c r="BS113" s="541">
        <f t="shared" ref="BS113:BS121" si="308">IF(OR(BQ113=0,BR113=0),$AF$193/3,((MAX(BQ113:BR113)-(MIN(BQ113:BR113)))))</f>
        <v>2.3333333333333334E-2</v>
      </c>
      <c r="BT113" s="654">
        <f ca="1">IF($L$4&lt;=$B$6,$B$5,IF($L$4&lt;=$B$8,$B$7,IF($L$4&lt;=$B$10,$B$9,IF($L$4&lt;=$B$12,$B$11,IF($L$4&lt;=$B$13,$B$13)))))</f>
        <v>-30</v>
      </c>
      <c r="BU113" s="543"/>
      <c r="BV113" s="693">
        <v>-40</v>
      </c>
      <c r="BW113" s="670"/>
      <c r="BX113" s="671">
        <f>AG184</f>
        <v>-2.46</v>
      </c>
      <c r="BY113" s="541">
        <f t="shared" ref="BY113:BY121" si="309">IF(OR(BW113=0,BX113=0),$AG$193/3,((MAX(BW113:BX113)-(MIN(BW113:BX113)))))</f>
        <v>3.3333333333333333E-2</v>
      </c>
      <c r="BZ113" s="654">
        <f ca="1">IF($L$4&lt;=$B$6,$B$5,IF($L$4&lt;=$B$8,$B$7,IF($L$4&lt;=$B$10,$B$9,IF($L$4&lt;=$B$12,$B$11,IF($L$4&lt;=$B$13,$B$13)))))</f>
        <v>-30</v>
      </c>
      <c r="CA113" s="543"/>
      <c r="CB113" s="693">
        <v>-40</v>
      </c>
      <c r="CC113" s="670">
        <f>CC101</f>
        <v>-1.7</v>
      </c>
      <c r="CD113" s="671"/>
      <c r="CE113" s="541">
        <f t="shared" ref="CE113:CE121" si="310">CE101</f>
        <v>6.6666666666666666E-2</v>
      </c>
      <c r="CF113" s="654">
        <f ca="1">IF($L$4&lt;=$B$6,$B$5,IF($L$4&lt;=$B$8,$B$7,IF($L$4&lt;=$B$10,$B$9,IF($L$4&lt;=$B$12,$B$11,IF($L$4&lt;=$B$13,$B$13)))))</f>
        <v>-30</v>
      </c>
      <c r="CG113" s="563"/>
      <c r="CH113" s="693">
        <v>-40</v>
      </c>
      <c r="CI113" s="670">
        <f t="shared" si="296"/>
        <v>0</v>
      </c>
      <c r="CJ113" s="671"/>
      <c r="CK113" s="541">
        <f t="shared" ref="CK113:CK119" si="311">CK101</f>
        <v>7.3333333333333334E-2</v>
      </c>
      <c r="CL113" s="654">
        <f ca="1">IF($L$4&lt;=$B$6,$B$5,IF($L$4&lt;=$B$8,$B$7,IF($L$4&lt;=$B$10,$B$9,IF($L$4&lt;=$B$12,$B$11,IF($L$4&lt;=$B$13,$B$13)))))</f>
        <v>-30</v>
      </c>
      <c r="CN113" s="693">
        <v>-40</v>
      </c>
      <c r="CO113" s="670">
        <f t="shared" si="297"/>
        <v>0</v>
      </c>
      <c r="CP113" s="671">
        <f t="shared" ref="CP113:CP119" si="312">CP5</f>
        <v>0</v>
      </c>
      <c r="CQ113" s="541">
        <f t="shared" ref="CQ113:CQ119" si="313">CQ101</f>
        <v>0.25666666666666665</v>
      </c>
      <c r="CR113" s="654">
        <f ca="1">IF($L$4&lt;=$B$6,$B$5,IF($L$4&lt;=$B$8,$B$7,IF($L$4&lt;=$B$10,$B$9,IF($L$4&lt;=$B$12,$B$11,IF($L$4&lt;=$B$13,$B$13)))))</f>
        <v>-30</v>
      </c>
    </row>
    <row r="114" spans="2:96" ht="13">
      <c r="B114" s="693">
        <v>-35</v>
      </c>
      <c r="C114" s="670"/>
      <c r="D114" s="670">
        <f t="shared" ref="D114:D119" si="314">U185</f>
        <v>0</v>
      </c>
      <c r="E114" s="652">
        <f t="shared" si="298"/>
        <v>0.11333333333333334</v>
      </c>
      <c r="F114" s="651"/>
      <c r="G114" s="554"/>
      <c r="H114" s="693">
        <v>-35</v>
      </c>
      <c r="I114" s="670"/>
      <c r="J114" s="670"/>
      <c r="K114" s="652">
        <v>0.1</v>
      </c>
      <c r="L114" s="651"/>
      <c r="M114" s="554"/>
      <c r="N114" s="693">
        <v>-35</v>
      </c>
      <c r="O114" s="670">
        <v>0</v>
      </c>
      <c r="P114" s="670">
        <f t="shared" ref="P114:P121" si="315">W185</f>
        <v>0</v>
      </c>
      <c r="Q114" s="652">
        <v>0.1</v>
      </c>
      <c r="R114" s="651"/>
      <c r="S114" s="543"/>
      <c r="T114" s="693">
        <v>-35</v>
      </c>
      <c r="U114" s="670"/>
      <c r="V114" s="671">
        <f t="shared" ref="V114:V119" si="316">X185</f>
        <v>0</v>
      </c>
      <c r="W114" s="652">
        <f t="shared" si="299"/>
        <v>8.666666666666667E-2</v>
      </c>
      <c r="X114" s="651"/>
      <c r="Y114" s="543"/>
      <c r="Z114" s="693">
        <v>-35</v>
      </c>
      <c r="AA114" s="670">
        <v>0</v>
      </c>
      <c r="AB114" s="671">
        <f t="shared" ref="AB114:AB120" si="317">Y185</f>
        <v>0.15</v>
      </c>
      <c r="AC114" s="652">
        <f t="shared" si="300"/>
        <v>2.6666666666666668E-2</v>
      </c>
      <c r="AD114" s="651"/>
      <c r="AE114" s="543"/>
      <c r="AF114" s="693">
        <v>-35</v>
      </c>
      <c r="AG114" s="670">
        <v>0</v>
      </c>
      <c r="AH114" s="671">
        <f t="shared" ref="AH114:AH120" si="318">Z185</f>
        <v>0.16</v>
      </c>
      <c r="AI114" s="652">
        <f t="shared" si="302"/>
        <v>4.6666666666666669E-2</v>
      </c>
      <c r="AJ114" s="651"/>
      <c r="AK114" s="543"/>
      <c r="AL114" s="693">
        <v>-35</v>
      </c>
      <c r="AM114" s="670"/>
      <c r="AN114" s="671">
        <f t="shared" ref="AN114:AN120" si="319">AA185</f>
        <v>0.4</v>
      </c>
      <c r="AO114" s="652">
        <f t="shared" si="303"/>
        <v>2.6666666666666668E-2</v>
      </c>
      <c r="AP114" s="651"/>
      <c r="AQ114" s="569"/>
      <c r="AR114" s="693">
        <v>-35</v>
      </c>
      <c r="AS114" s="670"/>
      <c r="AT114" s="671">
        <f t="shared" ref="AT114:AT120" si="320">AB185</f>
        <v>0.3</v>
      </c>
      <c r="AU114" s="652">
        <f t="shared" si="304"/>
        <v>3.6666666666666667E-2</v>
      </c>
      <c r="AV114" s="651"/>
      <c r="AW114" s="543"/>
      <c r="AX114" s="693">
        <v>-35</v>
      </c>
      <c r="AY114" s="670"/>
      <c r="AZ114" s="553">
        <f t="shared" ref="AZ114:AZ120" si="321">AC185</f>
        <v>0</v>
      </c>
      <c r="BA114" s="541">
        <f t="shared" si="305"/>
        <v>0.26333333333333336</v>
      </c>
      <c r="BB114" s="651"/>
      <c r="BC114" s="543"/>
      <c r="BD114" s="693">
        <v>-35</v>
      </c>
      <c r="BE114" s="670"/>
      <c r="BF114" s="553">
        <f t="shared" ref="BF114:BF120" si="322">AD185</f>
        <v>0</v>
      </c>
      <c r="BG114" s="541">
        <f t="shared" si="306"/>
        <v>0.03</v>
      </c>
      <c r="BH114" s="651"/>
      <c r="BI114" s="543"/>
      <c r="BJ114" s="693">
        <v>-35</v>
      </c>
      <c r="BK114" s="670"/>
      <c r="BL114" s="553">
        <f t="shared" ref="BL114:BL120" si="323">AE185</f>
        <v>0</v>
      </c>
      <c r="BM114" s="541">
        <f t="shared" si="307"/>
        <v>0.26333333333333336</v>
      </c>
      <c r="BN114" s="651"/>
      <c r="BO114" s="543"/>
      <c r="BP114" s="693">
        <v>-35</v>
      </c>
      <c r="BQ114" s="670"/>
      <c r="BR114" s="671">
        <f t="shared" ref="BR114:BR120" si="324">AF185</f>
        <v>0</v>
      </c>
      <c r="BS114" s="541">
        <f t="shared" si="308"/>
        <v>2.3333333333333334E-2</v>
      </c>
      <c r="BT114" s="651"/>
      <c r="BU114" s="543"/>
      <c r="BV114" s="693">
        <v>-35</v>
      </c>
      <c r="BW114" s="670"/>
      <c r="BX114" s="671">
        <f t="shared" ref="BX114:BX120" si="325">AG185</f>
        <v>0</v>
      </c>
      <c r="BY114" s="541">
        <f t="shared" si="309"/>
        <v>3.3333333333333333E-2</v>
      </c>
      <c r="BZ114" s="651"/>
      <c r="CA114" s="543"/>
      <c r="CB114" s="693">
        <v>-35</v>
      </c>
      <c r="CC114" s="670">
        <f t="shared" ref="CC114:CC121" si="326">CC102</f>
        <v>-1.4</v>
      </c>
      <c r="CD114" s="671"/>
      <c r="CE114" s="541">
        <f t="shared" si="310"/>
        <v>6.6666666666666666E-2</v>
      </c>
      <c r="CF114" s="651"/>
      <c r="CG114" s="564"/>
      <c r="CH114" s="693">
        <v>-35</v>
      </c>
      <c r="CI114" s="670">
        <f t="shared" si="296"/>
        <v>0</v>
      </c>
      <c r="CJ114" s="671"/>
      <c r="CK114" s="541">
        <f t="shared" si="311"/>
        <v>7.3333333333333334E-2</v>
      </c>
      <c r="CL114" s="651"/>
      <c r="CN114" s="693">
        <v>-35</v>
      </c>
      <c r="CO114" s="670">
        <f t="shared" si="297"/>
        <v>0</v>
      </c>
      <c r="CP114" s="671">
        <f t="shared" si="312"/>
        <v>0</v>
      </c>
      <c r="CQ114" s="541">
        <f t="shared" si="313"/>
        <v>0.25666666666666665</v>
      </c>
      <c r="CR114" s="651"/>
    </row>
    <row r="115" spans="2:96" ht="13">
      <c r="B115" s="693">
        <v>-30</v>
      </c>
      <c r="C115" s="670"/>
      <c r="D115" s="670">
        <f t="shared" si="314"/>
        <v>0</v>
      </c>
      <c r="E115" s="652">
        <f t="shared" si="298"/>
        <v>0.11333333333333334</v>
      </c>
      <c r="F115" s="654">
        <f ca="1">IF($L$4&lt;=$B$5,$B$5,IF($L$4&lt;=$B$6,$B$6,IF($L$4&lt;=$B$7,$B$7,IF($L$4&lt;=$B$8,$B$8,IF($L$4&lt;=$B$9,$B$9,IF($L$4&lt;=$B$10,$B$10,IF($L$4&lt;=$B$11,$B$11)))))))</f>
        <v>-25</v>
      </c>
      <c r="G115" s="554"/>
      <c r="H115" s="693">
        <v>-30</v>
      </c>
      <c r="I115" s="670"/>
      <c r="J115" s="670"/>
      <c r="K115" s="652">
        <v>0.1</v>
      </c>
      <c r="L115" s="654">
        <f ca="1">IF($L$4&lt;=$B$5,$B$5,IF($L$4&lt;=$B$6,$B$6,IF($L$4&lt;=$B$7,$B$7,IF($L$4&lt;=$B$8,$B$8,IF($L$4&lt;=$B$9,$B$9,IF($L$4&lt;=$B$10,$B$10,IF($L$4&lt;=$B$11,$B$11)))))))</f>
        <v>-25</v>
      </c>
      <c r="M115" s="554"/>
      <c r="N115" s="693">
        <v>-30</v>
      </c>
      <c r="O115" s="670">
        <v>0</v>
      </c>
      <c r="P115" s="670">
        <f t="shared" si="315"/>
        <v>0</v>
      </c>
      <c r="Q115" s="652">
        <v>0.1</v>
      </c>
      <c r="R115" s="654">
        <f ca="1">IF($L$4&lt;=$B$5,$B$5,IF($L$4&lt;=$B$6,$B$6,IF($L$4&lt;=$B$7,$B$7,IF($L$4&lt;=$B$8,$B$8,IF($L$4&lt;=$B$9,$B$9,IF($L$4&lt;=$B$10,$B$10,IF($L$4&lt;=$B$11,$B$11)))))))</f>
        <v>-25</v>
      </c>
      <c r="S115" s="543"/>
      <c r="T115" s="693">
        <v>-30</v>
      </c>
      <c r="U115" s="670"/>
      <c r="V115" s="671">
        <f t="shared" si="316"/>
        <v>0</v>
      </c>
      <c r="W115" s="652">
        <f t="shared" si="299"/>
        <v>8.666666666666667E-2</v>
      </c>
      <c r="X115" s="654">
        <f ca="1">IF($L$4&lt;=$B$5,$B$5,IF($L$4&lt;=$B$6,$B$6,IF($L$4&lt;=$B$7,$B$7,IF($L$4&lt;=$B$8,$B$8,IF($L$4&lt;=$B$9,$B$9,IF($L$4&lt;=$B$10,$B$10,IF($L$4&lt;=$B$11,$B$11)))))))</f>
        <v>-25</v>
      </c>
      <c r="Y115" s="543"/>
      <c r="Z115" s="693">
        <v>-30</v>
      </c>
      <c r="AA115" s="670">
        <v>0</v>
      </c>
      <c r="AB115" s="671">
        <f t="shared" si="317"/>
        <v>0.14000000000000001</v>
      </c>
      <c r="AC115" s="652">
        <f t="shared" si="300"/>
        <v>2.6666666666666668E-2</v>
      </c>
      <c r="AD115" s="654">
        <f ca="1">IF($L$4&lt;=$B$5,$B$5,IF($L$4&lt;=$B$6,$B$6,IF($L$4&lt;=$B$7,$B$7,IF($L$4&lt;=$B$8,$B$8,IF($L$4&lt;=$B$9,$B$9,IF($L$4&lt;=$B$10,$B$10,IF($L$4&lt;=$B$11,$B$11)))))))</f>
        <v>-25</v>
      </c>
      <c r="AE115" s="543"/>
      <c r="AF115" s="693">
        <v>-30</v>
      </c>
      <c r="AG115" s="670">
        <v>0</v>
      </c>
      <c r="AH115" s="671">
        <f t="shared" si="318"/>
        <v>0.16</v>
      </c>
      <c r="AI115" s="652">
        <f t="shared" si="302"/>
        <v>4.6666666666666669E-2</v>
      </c>
      <c r="AJ115" s="654">
        <f ca="1">IF($L$4&lt;=$B$5,$B$5,IF($L$4&lt;=$B$6,$B$6,IF($L$4&lt;=$B$7,$B$7,IF($L$4&lt;=$B$8,$B$8,IF($L$4&lt;=$B$9,$B$9,IF($L$4&lt;=$B$10,$B$10,IF($L$4&lt;=$B$11,$B$11)))))))</f>
        <v>-25</v>
      </c>
      <c r="AK115" s="543"/>
      <c r="AL115" s="693">
        <v>-30</v>
      </c>
      <c r="AM115" s="670"/>
      <c r="AN115" s="671">
        <f t="shared" si="319"/>
        <v>0.41</v>
      </c>
      <c r="AO115" s="652">
        <f t="shared" si="303"/>
        <v>2.6666666666666668E-2</v>
      </c>
      <c r="AP115" s="654">
        <f ca="1">IF($L$4&lt;=$B$5,$B$5,IF($L$4&lt;=$B$6,$B$6,IF($L$4&lt;=$B$7,$B$7,IF($L$4&lt;=$B$8,$B$8,IF($L$4&lt;=$B$9,$B$9,IF($L$4&lt;=$B$10,$B$10,IF($L$4&lt;=$B$11,$B$11)))))))</f>
        <v>-25</v>
      </c>
      <c r="AQ115" s="569"/>
      <c r="AR115" s="693">
        <v>-30</v>
      </c>
      <c r="AS115" s="670"/>
      <c r="AT115" s="671">
        <f t="shared" si="320"/>
        <v>0.31</v>
      </c>
      <c r="AU115" s="652">
        <f t="shared" si="304"/>
        <v>3.6666666666666667E-2</v>
      </c>
      <c r="AV115" s="654">
        <f ca="1">IF($L$4&lt;=$B$5,$B$5,IF($L$4&lt;=$B$6,$B$6,IF($L$4&lt;=$B$7,$B$7,IF($L$4&lt;=$B$8,$B$8,IF($L$4&lt;=$B$9,$B$9,IF($L$4&lt;=$B$10,$B$10,IF($L$4&lt;=$B$11,$B$11)))))))</f>
        <v>-25</v>
      </c>
      <c r="AW115" s="543"/>
      <c r="AX115" s="693">
        <v>-30</v>
      </c>
      <c r="AY115" s="670"/>
      <c r="AZ115" s="553">
        <f t="shared" si="321"/>
        <v>0</v>
      </c>
      <c r="BA115" s="541">
        <f t="shared" si="305"/>
        <v>0.26333333333333336</v>
      </c>
      <c r="BB115" s="654">
        <f ca="1">IF($L$4&lt;=$B$5,$B$5,IF($L$4&lt;=$B$6,$B$6,IF($L$4&lt;=$B$7,$B$7,IF($L$4&lt;=$B$8,$B$8,IF($L$4&lt;=$B$9,$B$9,IF($L$4&lt;=$B$10,$B$10,IF($L$4&lt;=$B$11,$B$11)))))))</f>
        <v>-25</v>
      </c>
      <c r="BC115" s="543"/>
      <c r="BD115" s="693">
        <v>-30</v>
      </c>
      <c r="BE115" s="670"/>
      <c r="BF115" s="553">
        <f t="shared" si="322"/>
        <v>0</v>
      </c>
      <c r="BG115" s="541">
        <f t="shared" si="306"/>
        <v>0.03</v>
      </c>
      <c r="BH115" s="654">
        <f ca="1">IF($L$4&lt;=$B$5,$B$5,IF($L$4&lt;=$B$6,$B$6,IF($L$4&lt;=$B$7,$B$7,IF($L$4&lt;=$B$8,$B$8,IF($L$4&lt;=$B$9,$B$9,IF($L$4&lt;=$B$10,$B$10,IF($L$4&lt;=$B$11,$B$11)))))))</f>
        <v>-25</v>
      </c>
      <c r="BI115" s="543"/>
      <c r="BJ115" s="693">
        <v>-30</v>
      </c>
      <c r="BK115" s="670"/>
      <c r="BL115" s="553">
        <f t="shared" si="323"/>
        <v>0</v>
      </c>
      <c r="BM115" s="541">
        <f t="shared" si="307"/>
        <v>0.26333333333333336</v>
      </c>
      <c r="BN115" s="654">
        <f ca="1">IF($L$4&lt;=$B$5,$B$5,IF($L$4&lt;=$B$6,$B$6,IF($L$4&lt;=$B$7,$B$7,IF($L$4&lt;=$B$8,$B$8,IF($L$4&lt;=$B$9,$B$9,IF($L$4&lt;=$B$10,$B$10,IF($L$4&lt;=$B$11,$B$11)))))))</f>
        <v>-25</v>
      </c>
      <c r="BO115" s="543"/>
      <c r="BP115" s="693">
        <v>-30</v>
      </c>
      <c r="BQ115" s="670"/>
      <c r="BR115" s="671">
        <f t="shared" si="324"/>
        <v>0</v>
      </c>
      <c r="BS115" s="541">
        <f t="shared" si="308"/>
        <v>2.3333333333333334E-2</v>
      </c>
      <c r="BT115" s="654">
        <f ca="1">IF($L$4&lt;=$B$5,$B$5,IF($L$4&lt;=$B$6,$B$6,IF($L$4&lt;=$B$7,$B$7,IF($L$4&lt;=$B$8,$B$8,IF($L$4&lt;=$B$9,$B$9,IF($L$4&lt;=$B$10,$B$10,IF($L$4&lt;=$B$11,$B$11)))))))</f>
        <v>-25</v>
      </c>
      <c r="BU115" s="543"/>
      <c r="BV115" s="693">
        <v>-30</v>
      </c>
      <c r="BW115" s="670"/>
      <c r="BX115" s="671">
        <f t="shared" si="325"/>
        <v>0</v>
      </c>
      <c r="BY115" s="541">
        <f t="shared" si="309"/>
        <v>3.3333333333333333E-2</v>
      </c>
      <c r="BZ115" s="654">
        <f ca="1">IF($L$4&lt;=$B$5,$B$5,IF($L$4&lt;=$B$6,$B$6,IF($L$4&lt;=$B$7,$B$7,IF($L$4&lt;=$B$8,$B$8,IF($L$4&lt;=$B$9,$B$9,IF($L$4&lt;=$B$10,$B$10,IF($L$4&lt;=$B$11,$B$11)))))))</f>
        <v>-25</v>
      </c>
      <c r="CA115" s="543"/>
      <c r="CB115" s="693">
        <v>-30</v>
      </c>
      <c r="CC115" s="670">
        <f t="shared" si="326"/>
        <v>-1.2</v>
      </c>
      <c r="CD115" s="671"/>
      <c r="CE115" s="541">
        <f t="shared" si="310"/>
        <v>6.6666666666666666E-2</v>
      </c>
      <c r="CF115" s="654">
        <f ca="1">IF($L$4&lt;=$B$5,$B$5,IF($L$4&lt;=$B$6,$B$6,IF($L$4&lt;=$B$7,$B$7,IF($L$4&lt;=$B$8,$B$8,IF($L$4&lt;=$B$9,$B$9,IF($L$4&lt;=$B$10,$B$10,IF($L$4&lt;=$B$11,$B$11)))))))</f>
        <v>-25</v>
      </c>
      <c r="CG115" s="565"/>
      <c r="CH115" s="693">
        <v>-30</v>
      </c>
      <c r="CI115" s="670">
        <f t="shared" si="296"/>
        <v>0</v>
      </c>
      <c r="CJ115" s="671"/>
      <c r="CK115" s="541">
        <f t="shared" si="311"/>
        <v>7.3333333333333334E-2</v>
      </c>
      <c r="CL115" s="654">
        <f ca="1">IF($L$4&lt;=$B$5,$B$5,IF($L$4&lt;=$B$6,$B$6,IF($L$4&lt;=$B$7,$B$7,IF($L$4&lt;=$B$8,$B$8,IF($L$4&lt;=$B$9,$B$9,IF($L$4&lt;=$B$10,$B$10,IF($L$4&lt;=$B$11,$B$11)))))))</f>
        <v>-25</v>
      </c>
      <c r="CN115" s="693">
        <v>-30</v>
      </c>
      <c r="CO115" s="670">
        <f t="shared" si="297"/>
        <v>0</v>
      </c>
      <c r="CP115" s="671">
        <f t="shared" si="312"/>
        <v>0</v>
      </c>
      <c r="CQ115" s="541">
        <f t="shared" si="313"/>
        <v>0.25666666666666665</v>
      </c>
      <c r="CR115" s="654">
        <f ca="1">IF($L$4&lt;=$B$5,$B$5,IF($L$4&lt;=$B$6,$B$6,IF($L$4&lt;=$B$7,$B$7,IF($L$4&lt;=$B$8,$B$8,IF($L$4&lt;=$B$9,$B$9,IF($L$4&lt;=$B$10,$B$10,IF($L$4&lt;=$B$11,$B$11)))))))</f>
        <v>-25</v>
      </c>
    </row>
    <row r="116" spans="2:96" ht="13">
      <c r="B116" s="693">
        <v>-25</v>
      </c>
      <c r="C116" s="670"/>
      <c r="D116" s="670">
        <f t="shared" si="314"/>
        <v>0</v>
      </c>
      <c r="E116" s="652">
        <f t="shared" si="298"/>
        <v>0.11333333333333334</v>
      </c>
      <c r="F116" s="651"/>
      <c r="G116" s="554"/>
      <c r="H116" s="693">
        <v>-25</v>
      </c>
      <c r="I116" s="670"/>
      <c r="J116" s="670"/>
      <c r="K116" s="652">
        <v>0.1</v>
      </c>
      <c r="L116" s="651"/>
      <c r="M116" s="554"/>
      <c r="N116" s="693">
        <v>-25</v>
      </c>
      <c r="O116" s="670">
        <v>0</v>
      </c>
      <c r="P116" s="670">
        <f t="shared" si="315"/>
        <v>0</v>
      </c>
      <c r="Q116" s="652">
        <v>0.1</v>
      </c>
      <c r="R116" s="651"/>
      <c r="S116" s="543"/>
      <c r="T116" s="693">
        <v>-25</v>
      </c>
      <c r="U116" s="670"/>
      <c r="V116" s="671">
        <f t="shared" si="316"/>
        <v>-1.61</v>
      </c>
      <c r="W116" s="652">
        <f t="shared" si="299"/>
        <v>8.666666666666667E-2</v>
      </c>
      <c r="X116" s="651"/>
      <c r="Y116" s="543"/>
      <c r="Z116" s="693">
        <v>-25</v>
      </c>
      <c r="AA116" s="670">
        <v>0</v>
      </c>
      <c r="AB116" s="671">
        <f t="shared" si="317"/>
        <v>0.16</v>
      </c>
      <c r="AC116" s="652">
        <f t="shared" si="300"/>
        <v>2.6666666666666668E-2</v>
      </c>
      <c r="AD116" s="651"/>
      <c r="AE116" s="543"/>
      <c r="AF116" s="693">
        <v>-25</v>
      </c>
      <c r="AG116" s="670">
        <v>0</v>
      </c>
      <c r="AH116" s="671">
        <f t="shared" si="318"/>
        <v>0.18</v>
      </c>
      <c r="AI116" s="652">
        <f t="shared" si="302"/>
        <v>4.6666666666666669E-2</v>
      </c>
      <c r="AJ116" s="651"/>
      <c r="AK116" s="543"/>
      <c r="AL116" s="693">
        <v>-25</v>
      </c>
      <c r="AM116" s="670"/>
      <c r="AN116" s="671">
        <f t="shared" si="319"/>
        <v>0.42</v>
      </c>
      <c r="AO116" s="652">
        <f t="shared" si="303"/>
        <v>2.6666666666666668E-2</v>
      </c>
      <c r="AP116" s="651"/>
      <c r="AQ116" s="569"/>
      <c r="AR116" s="693">
        <v>-25</v>
      </c>
      <c r="AS116" s="670"/>
      <c r="AT116" s="671">
        <f t="shared" si="320"/>
        <v>0.33</v>
      </c>
      <c r="AU116" s="652">
        <f t="shared" si="304"/>
        <v>3.6666666666666667E-2</v>
      </c>
      <c r="AV116" s="651"/>
      <c r="AW116" s="543"/>
      <c r="AX116" s="693">
        <v>-25</v>
      </c>
      <c r="AY116" s="670"/>
      <c r="AZ116" s="553">
        <f t="shared" si="321"/>
        <v>0</v>
      </c>
      <c r="BA116" s="541">
        <f t="shared" si="305"/>
        <v>0.26333333333333336</v>
      </c>
      <c r="BB116" s="651"/>
      <c r="BC116" s="543"/>
      <c r="BD116" s="693">
        <v>-25</v>
      </c>
      <c r="BE116" s="670"/>
      <c r="BF116" s="553">
        <f t="shared" si="322"/>
        <v>-1.43</v>
      </c>
      <c r="BG116" s="541">
        <f t="shared" si="306"/>
        <v>0.03</v>
      </c>
      <c r="BH116" s="651"/>
      <c r="BI116" s="543"/>
      <c r="BJ116" s="693">
        <v>-25</v>
      </c>
      <c r="BK116" s="670"/>
      <c r="BL116" s="553">
        <f t="shared" si="323"/>
        <v>0</v>
      </c>
      <c r="BM116" s="541">
        <f t="shared" si="307"/>
        <v>0.26333333333333336</v>
      </c>
      <c r="BN116" s="651"/>
      <c r="BO116" s="543"/>
      <c r="BP116" s="693">
        <v>-25</v>
      </c>
      <c r="BQ116" s="670"/>
      <c r="BR116" s="671">
        <f t="shared" si="324"/>
        <v>-1.5</v>
      </c>
      <c r="BS116" s="541">
        <f t="shared" si="308"/>
        <v>2.3333333333333334E-2</v>
      </c>
      <c r="BT116" s="651"/>
      <c r="BU116" s="543"/>
      <c r="BV116" s="693">
        <v>-25</v>
      </c>
      <c r="BW116" s="670"/>
      <c r="BX116" s="671">
        <f t="shared" si="325"/>
        <v>-1.64</v>
      </c>
      <c r="BY116" s="541">
        <f t="shared" si="309"/>
        <v>3.3333333333333333E-2</v>
      </c>
      <c r="BZ116" s="651"/>
      <c r="CA116" s="543"/>
      <c r="CB116" s="693">
        <v>-25</v>
      </c>
      <c r="CC116" s="670">
        <f t="shared" si="326"/>
        <v>-1.1000000000000001</v>
      </c>
      <c r="CD116" s="671"/>
      <c r="CE116" s="541">
        <f t="shared" si="310"/>
        <v>6.6666666666666666E-2</v>
      </c>
      <c r="CF116" s="651"/>
      <c r="CG116" s="566"/>
      <c r="CH116" s="693">
        <v>-25</v>
      </c>
      <c r="CI116" s="670">
        <f t="shared" si="296"/>
        <v>0</v>
      </c>
      <c r="CJ116" s="671"/>
      <c r="CK116" s="541">
        <f t="shared" si="311"/>
        <v>7.3333333333333334E-2</v>
      </c>
      <c r="CL116" s="651"/>
      <c r="CN116" s="693">
        <v>-25</v>
      </c>
      <c r="CO116" s="670">
        <f t="shared" si="297"/>
        <v>0</v>
      </c>
      <c r="CP116" s="671">
        <f t="shared" si="312"/>
        <v>0</v>
      </c>
      <c r="CQ116" s="541">
        <f t="shared" si="313"/>
        <v>0.25666666666666665</v>
      </c>
      <c r="CR116" s="651"/>
    </row>
    <row r="117" spans="2:96" ht="13">
      <c r="B117" s="693">
        <v>-20</v>
      </c>
      <c r="C117" s="670"/>
      <c r="D117" s="670">
        <f t="shared" si="314"/>
        <v>0</v>
      </c>
      <c r="E117" s="652">
        <f t="shared" si="298"/>
        <v>0.11333333333333334</v>
      </c>
      <c r="F117" s="655">
        <f ca="1">VLOOKUP(F113,B113:E118,4)</f>
        <v>0.11333333333333334</v>
      </c>
      <c r="G117" s="554"/>
      <c r="H117" s="693">
        <v>-20</v>
      </c>
      <c r="I117" s="670"/>
      <c r="J117" s="670"/>
      <c r="K117" s="652">
        <v>0.1</v>
      </c>
      <c r="L117" s="655">
        <f ca="1">VLOOKUP(L113,H113:K118,4)</f>
        <v>0.1</v>
      </c>
      <c r="M117" s="554"/>
      <c r="N117" s="693">
        <v>-20</v>
      </c>
      <c r="O117" s="670">
        <v>0</v>
      </c>
      <c r="P117" s="670">
        <f t="shared" si="315"/>
        <v>-0.46</v>
      </c>
      <c r="Q117" s="652">
        <v>0.1</v>
      </c>
      <c r="R117" s="655">
        <f ca="1">VLOOKUP(R113,N113:Q118,4)</f>
        <v>0.1</v>
      </c>
      <c r="S117" s="543"/>
      <c r="T117" s="693">
        <v>-20</v>
      </c>
      <c r="U117" s="670"/>
      <c r="V117" s="671">
        <f t="shared" si="316"/>
        <v>-1.35</v>
      </c>
      <c r="W117" s="652">
        <f t="shared" si="299"/>
        <v>8.666666666666667E-2</v>
      </c>
      <c r="X117" s="655">
        <f ca="1">VLOOKUP(X113,T113:W118,4)</f>
        <v>8.666666666666667E-2</v>
      </c>
      <c r="Y117" s="543"/>
      <c r="Z117" s="693">
        <v>-20</v>
      </c>
      <c r="AA117" s="670">
        <v>0</v>
      </c>
      <c r="AB117" s="671">
        <f t="shared" si="317"/>
        <v>0.21</v>
      </c>
      <c r="AC117" s="652">
        <f t="shared" si="300"/>
        <v>2.6666666666666668E-2</v>
      </c>
      <c r="AD117" s="655">
        <f ca="1">VLOOKUP(AD113,Z113:AC118,4)</f>
        <v>2.6666666666666668E-2</v>
      </c>
      <c r="AE117" s="543"/>
      <c r="AF117" s="693">
        <v>-20</v>
      </c>
      <c r="AG117" s="670">
        <v>0</v>
      </c>
      <c r="AH117" s="671">
        <f t="shared" si="318"/>
        <v>0.22</v>
      </c>
      <c r="AI117" s="652">
        <f t="shared" si="302"/>
        <v>4.6666666666666669E-2</v>
      </c>
      <c r="AJ117" s="655">
        <f ca="1">VLOOKUP(AJ113,AF113:AI118,4)</f>
        <v>4.6666666666666669E-2</v>
      </c>
      <c r="AK117" s="543"/>
      <c r="AL117" s="693">
        <v>-20</v>
      </c>
      <c r="AM117" s="670"/>
      <c r="AN117" s="671">
        <f t="shared" si="319"/>
        <v>0.44</v>
      </c>
      <c r="AO117" s="652">
        <f t="shared" si="303"/>
        <v>2.6666666666666668E-2</v>
      </c>
      <c r="AP117" s="655">
        <f ca="1">VLOOKUP(AP113,AL113:AO118,4)</f>
        <v>2.6666666666666668E-2</v>
      </c>
      <c r="AQ117" s="569"/>
      <c r="AR117" s="693">
        <v>-20</v>
      </c>
      <c r="AS117" s="670"/>
      <c r="AT117" s="671">
        <f t="shared" si="320"/>
        <v>0.34</v>
      </c>
      <c r="AU117" s="652">
        <f t="shared" si="304"/>
        <v>3.6666666666666667E-2</v>
      </c>
      <c r="AV117" s="655">
        <f ca="1">VLOOKUP(AV113,AR113:AU118,4)</f>
        <v>3.6666666666666667E-2</v>
      </c>
      <c r="AW117" s="543"/>
      <c r="AX117" s="693">
        <v>-20</v>
      </c>
      <c r="AY117" s="670"/>
      <c r="AZ117" s="553">
        <f t="shared" si="321"/>
        <v>0.47</v>
      </c>
      <c r="BA117" s="541">
        <f t="shared" si="305"/>
        <v>0.26333333333333336</v>
      </c>
      <c r="BB117" s="655">
        <f ca="1">VLOOKUP(BB113,AX113:BA118,4)</f>
        <v>0.26333333333333336</v>
      </c>
      <c r="BC117" s="543"/>
      <c r="BD117" s="693">
        <v>-20</v>
      </c>
      <c r="BE117" s="670"/>
      <c r="BF117" s="553">
        <f t="shared" si="322"/>
        <v>-1.0900000000000001</v>
      </c>
      <c r="BG117" s="541">
        <f t="shared" si="306"/>
        <v>0.03</v>
      </c>
      <c r="BH117" s="655">
        <f ca="1">VLOOKUP(BH113,BD113:BG118,4)</f>
        <v>0.03</v>
      </c>
      <c r="BI117" s="543"/>
      <c r="BJ117" s="693">
        <v>-20</v>
      </c>
      <c r="BK117" s="670"/>
      <c r="BL117" s="553">
        <f t="shared" si="323"/>
        <v>0.47</v>
      </c>
      <c r="BM117" s="541">
        <f t="shared" si="307"/>
        <v>0.26333333333333336</v>
      </c>
      <c r="BN117" s="655">
        <f ca="1">VLOOKUP(BN113,BJ113:BM118,4)</f>
        <v>0.26333333333333336</v>
      </c>
      <c r="BO117" s="543"/>
      <c r="BP117" s="693">
        <v>-20</v>
      </c>
      <c r="BQ117" s="670"/>
      <c r="BR117" s="671">
        <f t="shared" si="324"/>
        <v>-1.22</v>
      </c>
      <c r="BS117" s="541">
        <f t="shared" si="308"/>
        <v>2.3333333333333334E-2</v>
      </c>
      <c r="BT117" s="655">
        <f ca="1">VLOOKUP(BT113,BP113:BS118,4)</f>
        <v>2.3333333333333334E-2</v>
      </c>
      <c r="BU117" s="543"/>
      <c r="BV117" s="693">
        <v>-20</v>
      </c>
      <c r="BW117" s="670"/>
      <c r="BX117" s="671">
        <f t="shared" si="325"/>
        <v>-1.34</v>
      </c>
      <c r="BY117" s="541">
        <f t="shared" si="309"/>
        <v>3.3333333333333333E-2</v>
      </c>
      <c r="BZ117" s="655">
        <f ca="1">VLOOKUP(BZ113,BV113:BY118,4)</f>
        <v>3.3333333333333333E-2</v>
      </c>
      <c r="CA117" s="543"/>
      <c r="CB117" s="693">
        <v>-20</v>
      </c>
      <c r="CC117" s="670">
        <f t="shared" si="326"/>
        <v>-1.1000000000000001</v>
      </c>
      <c r="CD117" s="671">
        <v>-0.7</v>
      </c>
      <c r="CE117" s="541">
        <f t="shared" si="310"/>
        <v>0.40000000000000013</v>
      </c>
      <c r="CF117" s="655">
        <f ca="1">VLOOKUP(CF113,CB113:CE118,4)</f>
        <v>6.6666666666666666E-2</v>
      </c>
      <c r="CG117" s="567"/>
      <c r="CH117" s="693">
        <v>-20</v>
      </c>
      <c r="CI117" s="670">
        <f t="shared" si="296"/>
        <v>-0.15</v>
      </c>
      <c r="CJ117" s="671"/>
      <c r="CK117" s="541">
        <f t="shared" si="311"/>
        <v>7.3333333333333334E-2</v>
      </c>
      <c r="CL117" s="655">
        <f ca="1">VLOOKUP(CL113,CH113:CK118,4)</f>
        <v>7.3333333333333334E-2</v>
      </c>
      <c r="CN117" s="693">
        <v>-20</v>
      </c>
      <c r="CO117" s="670">
        <f t="shared" si="297"/>
        <v>-1.8</v>
      </c>
      <c r="CP117" s="671">
        <f t="shared" si="312"/>
        <v>-0.51</v>
      </c>
      <c r="CQ117" s="541">
        <f t="shared" si="313"/>
        <v>1.29</v>
      </c>
      <c r="CR117" s="655">
        <f ca="1">VLOOKUP(CR113,CN113:CQ118,4)</f>
        <v>0.25666666666666665</v>
      </c>
    </row>
    <row r="118" spans="2:96" ht="13">
      <c r="B118" s="693">
        <v>-15</v>
      </c>
      <c r="C118" s="670"/>
      <c r="D118" s="670">
        <f t="shared" si="314"/>
        <v>0</v>
      </c>
      <c r="E118" s="652">
        <f t="shared" si="298"/>
        <v>0.11333333333333334</v>
      </c>
      <c r="F118" s="651"/>
      <c r="G118" s="554"/>
      <c r="H118" s="693">
        <v>-15</v>
      </c>
      <c r="I118" s="670"/>
      <c r="J118" s="670"/>
      <c r="K118" s="652">
        <v>0.1</v>
      </c>
      <c r="L118" s="651"/>
      <c r="M118" s="554"/>
      <c r="N118" s="693">
        <v>-15</v>
      </c>
      <c r="O118" s="670">
        <v>0</v>
      </c>
      <c r="P118" s="670">
        <f t="shared" si="315"/>
        <v>-0.39</v>
      </c>
      <c r="Q118" s="652">
        <v>0.1</v>
      </c>
      <c r="R118" s="651"/>
      <c r="S118" s="543"/>
      <c r="T118" s="693">
        <v>-15</v>
      </c>
      <c r="U118" s="670"/>
      <c r="V118" s="671">
        <f t="shared" si="316"/>
        <v>-1.1100000000000001</v>
      </c>
      <c r="W118" s="652">
        <f t="shared" si="299"/>
        <v>8.666666666666667E-2</v>
      </c>
      <c r="X118" s="651"/>
      <c r="Y118" s="543"/>
      <c r="Z118" s="693">
        <v>-15</v>
      </c>
      <c r="AA118" s="670">
        <v>0</v>
      </c>
      <c r="AB118" s="671">
        <f t="shared" si="317"/>
        <v>0.25</v>
      </c>
      <c r="AC118" s="652">
        <f t="shared" si="300"/>
        <v>2.6666666666666668E-2</v>
      </c>
      <c r="AD118" s="651"/>
      <c r="AE118" s="543"/>
      <c r="AF118" s="693">
        <v>-15</v>
      </c>
      <c r="AG118" s="670">
        <v>0</v>
      </c>
      <c r="AH118" s="671">
        <f t="shared" si="318"/>
        <v>0.26</v>
      </c>
      <c r="AI118" s="652">
        <f t="shared" si="302"/>
        <v>4.6666666666666669E-2</v>
      </c>
      <c r="AJ118" s="651"/>
      <c r="AK118" s="543"/>
      <c r="AL118" s="693">
        <v>-15</v>
      </c>
      <c r="AM118" s="670"/>
      <c r="AN118" s="671">
        <f t="shared" si="319"/>
        <v>0.45</v>
      </c>
      <c r="AO118" s="652">
        <f t="shared" si="303"/>
        <v>2.6666666666666668E-2</v>
      </c>
      <c r="AP118" s="651"/>
      <c r="AQ118" s="569"/>
      <c r="AR118" s="693">
        <v>-15</v>
      </c>
      <c r="AS118" s="670"/>
      <c r="AT118" s="671">
        <f t="shared" si="320"/>
        <v>0.35</v>
      </c>
      <c r="AU118" s="652">
        <f t="shared" si="304"/>
        <v>3.6666666666666667E-2</v>
      </c>
      <c r="AV118" s="651"/>
      <c r="AW118" s="543"/>
      <c r="AX118" s="693">
        <v>-15</v>
      </c>
      <c r="AY118" s="670"/>
      <c r="AZ118" s="553">
        <f t="shared" si="321"/>
        <v>0</v>
      </c>
      <c r="BA118" s="541">
        <f t="shared" si="305"/>
        <v>0.26333333333333336</v>
      </c>
      <c r="BB118" s="651"/>
      <c r="BC118" s="543"/>
      <c r="BD118" s="693">
        <v>-15</v>
      </c>
      <c r="BE118" s="670"/>
      <c r="BF118" s="553">
        <f t="shared" si="322"/>
        <v>-0.81</v>
      </c>
      <c r="BG118" s="541">
        <f t="shared" si="306"/>
        <v>0.03</v>
      </c>
      <c r="BH118" s="651"/>
      <c r="BI118" s="543"/>
      <c r="BJ118" s="693">
        <v>-15</v>
      </c>
      <c r="BK118" s="670"/>
      <c r="BL118" s="553">
        <f t="shared" si="323"/>
        <v>0</v>
      </c>
      <c r="BM118" s="541">
        <f t="shared" si="307"/>
        <v>0.26333333333333336</v>
      </c>
      <c r="BN118" s="651"/>
      <c r="BO118" s="543"/>
      <c r="BP118" s="693">
        <v>-15</v>
      </c>
      <c r="BQ118" s="670"/>
      <c r="BR118" s="671">
        <f t="shared" si="324"/>
        <v>-0.96</v>
      </c>
      <c r="BS118" s="541">
        <f t="shared" si="308"/>
        <v>2.3333333333333334E-2</v>
      </c>
      <c r="BT118" s="651"/>
      <c r="BU118" s="543"/>
      <c r="BV118" s="693">
        <v>-15</v>
      </c>
      <c r="BW118" s="670"/>
      <c r="BX118" s="671">
        <f t="shared" si="325"/>
        <v>-1.06</v>
      </c>
      <c r="BY118" s="541">
        <f t="shared" si="309"/>
        <v>3.3333333333333333E-2</v>
      </c>
      <c r="BZ118" s="651"/>
      <c r="CA118" s="543"/>
      <c r="CB118" s="693">
        <v>-15</v>
      </c>
      <c r="CC118" s="670">
        <f t="shared" si="326"/>
        <v>-1.1000000000000001</v>
      </c>
      <c r="CD118" s="671">
        <v>-0.7</v>
      </c>
      <c r="CE118" s="541">
        <f t="shared" si="310"/>
        <v>0.40000000000000013</v>
      </c>
      <c r="CF118" s="651"/>
      <c r="CG118" s="567"/>
      <c r="CH118" s="693">
        <v>-15</v>
      </c>
      <c r="CI118" s="670">
        <f t="shared" si="296"/>
        <v>-0.1</v>
      </c>
      <c r="CJ118" s="671"/>
      <c r="CK118" s="541">
        <f t="shared" si="311"/>
        <v>9.0000000000000011E-2</v>
      </c>
      <c r="CL118" s="651"/>
      <c r="CN118" s="693">
        <v>-15</v>
      </c>
      <c r="CO118" s="670">
        <f t="shared" si="297"/>
        <v>-1.52</v>
      </c>
      <c r="CP118" s="671">
        <f t="shared" si="312"/>
        <v>-0.39</v>
      </c>
      <c r="CQ118" s="541">
        <f t="shared" si="313"/>
        <v>1.1299999999999999</v>
      </c>
      <c r="CR118" s="651"/>
    </row>
    <row r="119" spans="2:96" ht="13">
      <c r="B119" s="693">
        <v>-10</v>
      </c>
      <c r="C119" s="670"/>
      <c r="D119" s="670">
        <f t="shared" si="314"/>
        <v>0</v>
      </c>
      <c r="E119" s="652">
        <f t="shared" si="298"/>
        <v>0.11333333333333334</v>
      </c>
      <c r="F119" s="655">
        <f ca="1">VLOOKUP(F115,B113:E118,4)</f>
        <v>0.11333333333333334</v>
      </c>
      <c r="G119" s="554"/>
      <c r="H119" s="693">
        <v>-10</v>
      </c>
      <c r="I119" s="670"/>
      <c r="J119" s="670"/>
      <c r="K119" s="652">
        <v>1E-3</v>
      </c>
      <c r="L119" s="655">
        <f ca="1">VLOOKUP(L115,H113:K118,4)</f>
        <v>0.1</v>
      </c>
      <c r="M119" s="554"/>
      <c r="N119" s="693">
        <v>-10</v>
      </c>
      <c r="O119" s="670">
        <v>0</v>
      </c>
      <c r="P119" s="670">
        <f t="shared" si="315"/>
        <v>-0.32</v>
      </c>
      <c r="Q119" s="652">
        <v>0.1</v>
      </c>
      <c r="R119" s="655">
        <f ca="1">VLOOKUP(R115,N113:Q118,4)</f>
        <v>0.1</v>
      </c>
      <c r="S119" s="543"/>
      <c r="T119" s="693">
        <v>-10</v>
      </c>
      <c r="U119" s="670"/>
      <c r="V119" s="671">
        <f t="shared" si="316"/>
        <v>-0.87</v>
      </c>
      <c r="W119" s="652">
        <f t="shared" si="299"/>
        <v>8.666666666666667E-2</v>
      </c>
      <c r="X119" s="655">
        <f ca="1">VLOOKUP(X115,T113:W118,4)</f>
        <v>8.666666666666667E-2</v>
      </c>
      <c r="Y119" s="543"/>
      <c r="Z119" s="693">
        <v>-10</v>
      </c>
      <c r="AA119" s="670">
        <v>0</v>
      </c>
      <c r="AB119" s="671">
        <f t="shared" si="317"/>
        <v>0.28000000000000003</v>
      </c>
      <c r="AC119" s="652">
        <f t="shared" si="300"/>
        <v>2.6666666666666668E-2</v>
      </c>
      <c r="AD119" s="655">
        <f ca="1">VLOOKUP(AD115,Z113:AC118,4)</f>
        <v>2.6666666666666668E-2</v>
      </c>
      <c r="AE119" s="543"/>
      <c r="AF119" s="693">
        <v>-10</v>
      </c>
      <c r="AG119" s="670">
        <v>0</v>
      </c>
      <c r="AH119" s="671">
        <f t="shared" si="318"/>
        <v>0.28000000000000003</v>
      </c>
      <c r="AI119" s="652">
        <f t="shared" si="302"/>
        <v>4.6666666666666669E-2</v>
      </c>
      <c r="AJ119" s="655">
        <f ca="1">VLOOKUP(AJ115,AF113:AI118,4)</f>
        <v>4.6666666666666669E-2</v>
      </c>
      <c r="AK119" s="543"/>
      <c r="AL119" s="693">
        <v>-10</v>
      </c>
      <c r="AM119" s="670"/>
      <c r="AN119" s="671">
        <f t="shared" si="319"/>
        <v>0.46</v>
      </c>
      <c r="AO119" s="652">
        <f t="shared" si="303"/>
        <v>2.6666666666666668E-2</v>
      </c>
      <c r="AP119" s="655">
        <f ca="1">VLOOKUP(AP115,AL113:AO118,4)</f>
        <v>2.6666666666666668E-2</v>
      </c>
      <c r="AQ119" s="569"/>
      <c r="AR119" s="693">
        <v>-10</v>
      </c>
      <c r="AS119" s="670"/>
      <c r="AT119" s="671">
        <f t="shared" si="320"/>
        <v>0.36</v>
      </c>
      <c r="AU119" s="652">
        <f t="shared" si="304"/>
        <v>3.6666666666666667E-2</v>
      </c>
      <c r="AV119" s="655">
        <f ca="1">VLOOKUP(AV115,AR113:AU118,4)</f>
        <v>3.6666666666666667E-2</v>
      </c>
      <c r="AW119" s="543"/>
      <c r="AX119" s="693">
        <v>-10</v>
      </c>
      <c r="AY119" s="670"/>
      <c r="AZ119" s="553">
        <f t="shared" si="321"/>
        <v>0.46</v>
      </c>
      <c r="BA119" s="541">
        <f t="shared" si="305"/>
        <v>0.26333333333333336</v>
      </c>
      <c r="BB119" s="655">
        <f ca="1">VLOOKUP(BB115,AX113:BA118,4)</f>
        <v>0.26333333333333336</v>
      </c>
      <c r="BC119" s="543"/>
      <c r="BD119" s="693">
        <v>-10</v>
      </c>
      <c r="BE119" s="670"/>
      <c r="BF119" s="553">
        <f t="shared" si="322"/>
        <v>-0.59</v>
      </c>
      <c r="BG119" s="541">
        <f t="shared" si="306"/>
        <v>0.03</v>
      </c>
      <c r="BH119" s="655">
        <f ca="1">VLOOKUP(BH115,BD113:BG118,4)</f>
        <v>0.03</v>
      </c>
      <c r="BI119" s="543"/>
      <c r="BJ119" s="693">
        <v>-10</v>
      </c>
      <c r="BK119" s="670"/>
      <c r="BL119" s="553">
        <f t="shared" si="323"/>
        <v>0.46</v>
      </c>
      <c r="BM119" s="541">
        <f t="shared" si="307"/>
        <v>0.26333333333333336</v>
      </c>
      <c r="BN119" s="655">
        <f ca="1">VLOOKUP(BN115,BJ113:BM118,4)</f>
        <v>0.26333333333333336</v>
      </c>
      <c r="BO119" s="543"/>
      <c r="BP119" s="693">
        <v>-10</v>
      </c>
      <c r="BQ119" s="670"/>
      <c r="BR119" s="671">
        <f t="shared" si="324"/>
        <v>-0.75</v>
      </c>
      <c r="BS119" s="541">
        <f t="shared" si="308"/>
        <v>2.3333333333333334E-2</v>
      </c>
      <c r="BT119" s="655">
        <f ca="1">VLOOKUP(BT115,BP113:BS118,4)</f>
        <v>2.3333333333333334E-2</v>
      </c>
      <c r="BU119" s="543"/>
      <c r="BV119" s="693">
        <v>-10</v>
      </c>
      <c r="BW119" s="670"/>
      <c r="BX119" s="671">
        <f t="shared" si="325"/>
        <v>-0.81</v>
      </c>
      <c r="BY119" s="541">
        <f t="shared" si="309"/>
        <v>3.3333333333333333E-2</v>
      </c>
      <c r="BZ119" s="655">
        <f ca="1">VLOOKUP(BZ115,BV113:BY118,4)</f>
        <v>3.3333333333333333E-2</v>
      </c>
      <c r="CA119" s="543"/>
      <c r="CB119" s="693">
        <v>-10</v>
      </c>
      <c r="CC119" s="670">
        <f t="shared" si="326"/>
        <v>-1.2</v>
      </c>
      <c r="CD119" s="671">
        <v>-0.7</v>
      </c>
      <c r="CE119" s="541">
        <f t="shared" si="310"/>
        <v>0.5</v>
      </c>
      <c r="CF119" s="655">
        <f ca="1">VLOOKUP(CF115,CB113:CE118,4)</f>
        <v>6.6666666666666666E-2</v>
      </c>
      <c r="CG119" s="567"/>
      <c r="CH119" s="693">
        <v>-10</v>
      </c>
      <c r="CI119" s="670">
        <f t="shared" si="296"/>
        <v>-0.05</v>
      </c>
      <c r="CJ119" s="671"/>
      <c r="CK119" s="541">
        <f t="shared" si="311"/>
        <v>6.2E-2</v>
      </c>
      <c r="CL119" s="655">
        <f ca="1">VLOOKUP(CL115,CH113:CK118,4)</f>
        <v>7.3333333333333334E-2</v>
      </c>
      <c r="CN119" s="693">
        <v>-10</v>
      </c>
      <c r="CO119" s="670">
        <f t="shared" si="297"/>
        <v>-1.26</v>
      </c>
      <c r="CP119" s="671">
        <f t="shared" si="312"/>
        <v>-0.28000000000000003</v>
      </c>
      <c r="CQ119" s="541">
        <f t="shared" si="313"/>
        <v>0.98</v>
      </c>
      <c r="CR119" s="655">
        <f ca="1">VLOOKUP(CR115,CN113:CQ118,4)</f>
        <v>0.25666666666666665</v>
      </c>
    </row>
    <row r="120" spans="2:96" ht="13">
      <c r="B120" s="693">
        <v>-5</v>
      </c>
      <c r="C120" s="670"/>
      <c r="D120" s="670"/>
      <c r="E120" s="652"/>
      <c r="F120" s="1340"/>
      <c r="G120" s="554"/>
      <c r="H120" s="693">
        <v>-5</v>
      </c>
      <c r="I120" s="670"/>
      <c r="J120" s="670"/>
      <c r="K120" s="652"/>
      <c r="L120" s="1340"/>
      <c r="M120" s="554"/>
      <c r="N120" s="693">
        <v>-5</v>
      </c>
      <c r="O120" s="670">
        <v>0</v>
      </c>
      <c r="P120" s="670">
        <f t="shared" si="315"/>
        <v>0</v>
      </c>
      <c r="Q120" s="652"/>
      <c r="R120" s="1340"/>
      <c r="S120" s="543"/>
      <c r="T120" s="693">
        <v>-5</v>
      </c>
      <c r="U120" s="670"/>
      <c r="V120" s="671"/>
      <c r="W120" s="652"/>
      <c r="X120" s="1340"/>
      <c r="Y120" s="543"/>
      <c r="Z120" s="693">
        <v>-5</v>
      </c>
      <c r="AA120" s="670">
        <v>0</v>
      </c>
      <c r="AB120" s="671">
        <f t="shared" si="317"/>
        <v>0.28999999999999998</v>
      </c>
      <c r="AC120" s="652">
        <f t="shared" si="300"/>
        <v>2.6666666666666668E-2</v>
      </c>
      <c r="AD120" s="1340"/>
      <c r="AE120" s="543"/>
      <c r="AF120" s="693">
        <v>-5</v>
      </c>
      <c r="AG120" s="670">
        <v>0</v>
      </c>
      <c r="AH120" s="671">
        <f t="shared" si="318"/>
        <v>0.28000000000000003</v>
      </c>
      <c r="AI120" s="652">
        <f t="shared" si="302"/>
        <v>4.6666666666666669E-2</v>
      </c>
      <c r="AJ120" s="1340"/>
      <c r="AK120" s="543"/>
      <c r="AL120" s="693">
        <v>-5</v>
      </c>
      <c r="AM120" s="670"/>
      <c r="AN120" s="671">
        <f t="shared" si="319"/>
        <v>0.47</v>
      </c>
      <c r="AO120" s="652">
        <f t="shared" si="303"/>
        <v>2.6666666666666668E-2</v>
      </c>
      <c r="AP120" s="1340"/>
      <c r="AQ120" s="569"/>
      <c r="AR120" s="693">
        <v>-5</v>
      </c>
      <c r="AS120" s="670"/>
      <c r="AT120" s="671">
        <f t="shared" si="320"/>
        <v>0.36</v>
      </c>
      <c r="AU120" s="652">
        <f t="shared" si="304"/>
        <v>3.6666666666666667E-2</v>
      </c>
      <c r="AV120" s="1340"/>
      <c r="AW120" s="543"/>
      <c r="AX120" s="693">
        <v>-5</v>
      </c>
      <c r="AY120" s="670"/>
      <c r="AZ120" s="553">
        <f t="shared" si="321"/>
        <v>0</v>
      </c>
      <c r="BA120" s="541">
        <f t="shared" si="305"/>
        <v>0.26333333333333336</v>
      </c>
      <c r="BB120" s="1340"/>
      <c r="BC120" s="543"/>
      <c r="BD120" s="693">
        <v>-5</v>
      </c>
      <c r="BE120" s="670"/>
      <c r="BF120" s="553">
        <f t="shared" si="322"/>
        <v>0</v>
      </c>
      <c r="BG120" s="541">
        <f t="shared" si="306"/>
        <v>0.03</v>
      </c>
      <c r="BH120" s="1340"/>
      <c r="BI120" s="543"/>
      <c r="BJ120" s="693">
        <v>-5</v>
      </c>
      <c r="BK120" s="670"/>
      <c r="BL120" s="553">
        <f t="shared" si="323"/>
        <v>0</v>
      </c>
      <c r="BM120" s="541">
        <f t="shared" si="307"/>
        <v>0.26333333333333336</v>
      </c>
      <c r="BN120" s="1340"/>
      <c r="BO120" s="543"/>
      <c r="BP120" s="693">
        <v>-5</v>
      </c>
      <c r="BQ120" s="670"/>
      <c r="BR120" s="671">
        <f t="shared" si="324"/>
        <v>0</v>
      </c>
      <c r="BS120" s="541">
        <f t="shared" si="308"/>
        <v>2.3333333333333334E-2</v>
      </c>
      <c r="BT120" s="1340"/>
      <c r="BU120" s="543"/>
      <c r="BV120" s="693">
        <v>-5</v>
      </c>
      <c r="BW120" s="670"/>
      <c r="BX120" s="671">
        <f t="shared" si="325"/>
        <v>0</v>
      </c>
      <c r="BY120" s="541">
        <f t="shared" si="309"/>
        <v>3.3333333333333333E-2</v>
      </c>
      <c r="BZ120" s="1340"/>
      <c r="CA120" s="543"/>
      <c r="CB120" s="693">
        <v>-5</v>
      </c>
      <c r="CC120" s="670">
        <f t="shared" si="326"/>
        <v>0</v>
      </c>
      <c r="CD120" s="671"/>
      <c r="CE120" s="541">
        <f t="shared" si="310"/>
        <v>6.6666666666666666E-2</v>
      </c>
      <c r="CF120" s="1340"/>
      <c r="CG120" s="567"/>
      <c r="CH120" s="693">
        <v>-5</v>
      </c>
      <c r="CI120" s="670">
        <f t="shared" si="296"/>
        <v>0</v>
      </c>
      <c r="CJ120" s="671"/>
      <c r="CK120" s="541"/>
      <c r="CL120" s="1340"/>
      <c r="CN120" s="693">
        <v>-5</v>
      </c>
      <c r="CO120" s="670">
        <f t="shared" si="297"/>
        <v>0</v>
      </c>
      <c r="CP120" s="671"/>
      <c r="CQ120" s="541"/>
      <c r="CR120" s="1340"/>
    </row>
    <row r="121" spans="2:96" ht="13">
      <c r="B121" s="693">
        <v>0</v>
      </c>
      <c r="C121" s="670"/>
      <c r="D121" s="670">
        <f>U192</f>
        <v>0</v>
      </c>
      <c r="E121" s="652">
        <f>IF(OR(C121=0,D121=0),$U$180/3,((MAX(C121:D121)-(MIN(C121:D121)))))</f>
        <v>0.11333333333333334</v>
      </c>
      <c r="F121" s="1339">
        <f ca="1">(((F119-F117)/(F115-F113))*(F112-F113))+F117</f>
        <v>0.11333333333333334</v>
      </c>
      <c r="G121" s="554"/>
      <c r="H121" s="693">
        <v>0</v>
      </c>
      <c r="I121" s="670"/>
      <c r="J121" s="670"/>
      <c r="K121" s="652">
        <v>1E-3</v>
      </c>
      <c r="L121" s="1339">
        <f ca="1">(((L119-L117)/(L115-L113))*(L112-L113))+L117</f>
        <v>0.1</v>
      </c>
      <c r="M121" s="554"/>
      <c r="N121" s="693">
        <v>0</v>
      </c>
      <c r="O121" s="670">
        <v>0</v>
      </c>
      <c r="P121" s="670">
        <f t="shared" si="315"/>
        <v>-0.22</v>
      </c>
      <c r="Q121" s="652">
        <v>0.1</v>
      </c>
      <c r="R121" s="1339">
        <f ca="1">(((R119-R117)/(R115-R113))*(R112-R113))+R117</f>
        <v>0.1</v>
      </c>
      <c r="S121" s="543"/>
      <c r="T121" s="693">
        <v>0</v>
      </c>
      <c r="U121" s="670"/>
      <c r="V121" s="671">
        <f>X192</f>
        <v>-0.36</v>
      </c>
      <c r="W121" s="652">
        <f>IF(OR(U121=0,V121=0),$X$193/3,((MAX(U121:V121)-(MIN(U121:V121)))))</f>
        <v>8.666666666666667E-2</v>
      </c>
      <c r="X121" s="1339">
        <f ca="1">(((X119-X117)/(X115-X113))*(X112-X113))+X117</f>
        <v>8.666666666666667E-2</v>
      </c>
      <c r="Y121" s="543"/>
      <c r="Z121" s="693">
        <v>0</v>
      </c>
      <c r="AA121" s="670">
        <v>0</v>
      </c>
      <c r="AB121" s="671">
        <f>Y192</f>
        <v>0.26</v>
      </c>
      <c r="AC121" s="652">
        <f t="shared" si="300"/>
        <v>2.6666666666666668E-2</v>
      </c>
      <c r="AD121" s="1339">
        <f ca="1">(((AD119-AD117)/(AD115-AD113))*(AD112-AD113))+AD117</f>
        <v>2.6666666666666668E-2</v>
      </c>
      <c r="AE121" s="543"/>
      <c r="AF121" s="693">
        <v>0</v>
      </c>
      <c r="AG121" s="670">
        <v>0</v>
      </c>
      <c r="AH121" s="671">
        <f>Z192</f>
        <v>0.24</v>
      </c>
      <c r="AI121" s="652">
        <f t="shared" si="302"/>
        <v>4.6666666666666669E-2</v>
      </c>
      <c r="AJ121" s="1339">
        <f ca="1">(((AJ119-AJ117)/(AJ115-AJ113))*(AJ112-AJ113))+AJ117</f>
        <v>4.6666666666666669E-2</v>
      </c>
      <c r="AK121" s="543"/>
      <c r="AL121" s="693">
        <v>0</v>
      </c>
      <c r="AM121" s="670"/>
      <c r="AN121" s="671">
        <f>AA192</f>
        <v>0.46</v>
      </c>
      <c r="AO121" s="652">
        <f t="shared" si="303"/>
        <v>2.6666666666666668E-2</v>
      </c>
      <c r="AP121" s="1339">
        <f ca="1">(((AP119-AP117)/(AP115-AP113))*(AP112-AP113))+AP117</f>
        <v>2.6666666666666668E-2</v>
      </c>
      <c r="AQ121" s="543"/>
      <c r="AR121" s="693">
        <v>0</v>
      </c>
      <c r="AS121" s="670"/>
      <c r="AT121" s="671">
        <f>AB192</f>
        <v>0.36</v>
      </c>
      <c r="AU121" s="652">
        <f t="shared" si="304"/>
        <v>3.6666666666666667E-2</v>
      </c>
      <c r="AV121" s="1339">
        <f ca="1">(((AV119-AV117)/(AV115-AV113))*(AV112-AV113))+AV117</f>
        <v>3.6666666666666667E-2</v>
      </c>
      <c r="AW121" s="543"/>
      <c r="AX121" s="693">
        <v>0</v>
      </c>
      <c r="AY121" s="670"/>
      <c r="AZ121" s="553">
        <f>AC192</f>
        <v>0.45</v>
      </c>
      <c r="BA121" s="541">
        <f t="shared" si="305"/>
        <v>0.26333333333333336</v>
      </c>
      <c r="BB121" s="1339">
        <f ca="1">(((BB119-BB117)/(BB115-BB113))*(BB112-BB113))+BB117</f>
        <v>0.26333333333333336</v>
      </c>
      <c r="BC121" s="543"/>
      <c r="BD121" s="693">
        <v>0</v>
      </c>
      <c r="BE121" s="670"/>
      <c r="BF121" s="553">
        <f>AD192</f>
        <v>-0.34</v>
      </c>
      <c r="BG121" s="541">
        <f t="shared" si="306"/>
        <v>0.03</v>
      </c>
      <c r="BH121" s="1339">
        <f ca="1">(((BH119-BH117)/(BH115-BH113))*(BH112-BH113))+BH117</f>
        <v>0.03</v>
      </c>
      <c r="BI121" s="543"/>
      <c r="BJ121" s="693">
        <v>0</v>
      </c>
      <c r="BK121" s="670"/>
      <c r="BL121" s="553">
        <f>AE192</f>
        <v>0.45</v>
      </c>
      <c r="BM121" s="541">
        <f t="shared" si="307"/>
        <v>0.26333333333333336</v>
      </c>
      <c r="BN121" s="1339">
        <f ca="1">(((BN119-BN117)/(BN115-BN113))*(BN112-BN113))+BN117</f>
        <v>0.26333333333333336</v>
      </c>
      <c r="BO121" s="543"/>
      <c r="BP121" s="693">
        <v>0</v>
      </c>
      <c r="BQ121" s="670"/>
      <c r="BR121" s="671">
        <f>AF192</f>
        <v>-0.53</v>
      </c>
      <c r="BS121" s="541">
        <f t="shared" si="308"/>
        <v>2.3333333333333334E-2</v>
      </c>
      <c r="BT121" s="1339">
        <f ca="1">(((BT119-BT117)/(BT115-BT113))*(BT112-BT113))+BT117</f>
        <v>2.3333333333333334E-2</v>
      </c>
      <c r="BU121" s="543"/>
      <c r="BV121" s="693">
        <v>0</v>
      </c>
      <c r="BW121" s="670"/>
      <c r="BX121" s="671">
        <f>AG192</f>
        <v>-0.52</v>
      </c>
      <c r="BY121" s="541">
        <f t="shared" si="309"/>
        <v>3.3333333333333333E-2</v>
      </c>
      <c r="BZ121" s="1339">
        <f ca="1">(((BZ119-BZ117)/(BZ115-BZ113))*(BZ112-BZ113))+BZ117</f>
        <v>3.3333333333333333E-2</v>
      </c>
      <c r="CA121" s="543"/>
      <c r="CB121" s="693">
        <v>0</v>
      </c>
      <c r="CC121" s="670">
        <f t="shared" si="326"/>
        <v>-1.4</v>
      </c>
      <c r="CD121" s="671">
        <v>-0.7</v>
      </c>
      <c r="CE121" s="541">
        <f t="shared" si="310"/>
        <v>0.7</v>
      </c>
      <c r="CF121" s="1339">
        <f ca="1">(((CF119-CF117)/(CF115-CF113))*(CF112-CF113))+CF117</f>
        <v>6.6666666666666666E-2</v>
      </c>
      <c r="CG121" s="568"/>
      <c r="CH121" s="693">
        <v>0</v>
      </c>
      <c r="CI121" s="670">
        <f t="shared" si="296"/>
        <v>0.03</v>
      </c>
      <c r="CJ121" s="671"/>
      <c r="CK121" s="541">
        <f>CK109</f>
        <v>2.5999999999999999E-2</v>
      </c>
      <c r="CL121" s="1339">
        <f ca="1">(((CL119-CL117)/(CL115-CL113))*(CL112-CL113))+CL117</f>
        <v>7.3333333333333334E-2</v>
      </c>
      <c r="CN121" s="693">
        <v>0</v>
      </c>
      <c r="CO121" s="670">
        <f t="shared" si="297"/>
        <v>-0.79</v>
      </c>
      <c r="CP121" s="671">
        <f>CP13</f>
        <v>-0.08</v>
      </c>
      <c r="CQ121" s="541">
        <f>CQ109</f>
        <v>0.71000000000000008</v>
      </c>
      <c r="CR121" s="1339">
        <f ca="1">(((CR119-CR117)/(CR115-CR113))*(CR112-CR113))+CR117</f>
        <v>0.25666666666666665</v>
      </c>
    </row>
    <row r="122" spans="2:96" s="543" customFormat="1" ht="13">
      <c r="B122" s="558"/>
      <c r="C122" s="544"/>
      <c r="D122" s="544"/>
      <c r="E122" s="556"/>
      <c r="F122" s="554"/>
      <c r="G122" s="554"/>
      <c r="H122" s="558"/>
      <c r="I122" s="544"/>
      <c r="J122" s="544"/>
      <c r="K122" s="556"/>
      <c r="L122" s="554"/>
      <c r="M122" s="554"/>
      <c r="N122" s="558"/>
      <c r="O122" s="544"/>
      <c r="P122" s="544"/>
      <c r="Q122" s="556"/>
      <c r="R122" s="545"/>
      <c r="T122" s="558"/>
      <c r="U122" s="544"/>
      <c r="V122" s="544"/>
      <c r="W122" s="556"/>
      <c r="X122" s="545"/>
      <c r="Z122" s="558"/>
      <c r="AA122" s="544"/>
      <c r="AB122" s="544"/>
      <c r="AC122" s="556"/>
      <c r="AD122" s="545"/>
      <c r="AF122" s="558"/>
      <c r="AG122" s="544"/>
      <c r="AH122" s="544"/>
      <c r="AI122" s="556"/>
      <c r="AJ122" s="545"/>
      <c r="AL122" s="558"/>
      <c r="AM122" s="544"/>
      <c r="AN122" s="544"/>
      <c r="AO122" s="556"/>
      <c r="AP122" s="545"/>
      <c r="AR122" s="558"/>
      <c r="AS122" s="679"/>
      <c r="AT122" s="679"/>
      <c r="AU122" s="683"/>
      <c r="AV122" s="545"/>
      <c r="AX122" s="558"/>
      <c r="AY122" s="570"/>
      <c r="AZ122" s="544"/>
      <c r="BA122" s="556"/>
      <c r="BB122" s="545"/>
      <c r="BD122" s="558"/>
      <c r="BE122" s="570"/>
      <c r="BF122" s="544"/>
      <c r="BG122" s="556"/>
      <c r="BH122" s="545"/>
      <c r="BJ122" s="558"/>
      <c r="BK122" s="570"/>
      <c r="BL122" s="544"/>
      <c r="BM122" s="556"/>
      <c r="BN122" s="545"/>
      <c r="BP122" s="558"/>
      <c r="BQ122" s="570"/>
      <c r="BR122" s="544"/>
      <c r="BS122" s="556"/>
      <c r="BT122" s="545"/>
      <c r="BV122" s="558"/>
      <c r="BW122" s="570"/>
      <c r="BX122" s="544"/>
      <c r="BY122" s="556"/>
      <c r="BZ122" s="545"/>
    </row>
    <row r="123" spans="2:96" s="543" customFormat="1" ht="13">
      <c r="B123" s="558"/>
      <c r="C123" s="544"/>
      <c r="D123" s="544"/>
      <c r="E123" s="556"/>
      <c r="F123" s="554"/>
      <c r="G123" s="554"/>
      <c r="H123" s="558"/>
      <c r="I123" s="544"/>
      <c r="J123" s="544"/>
      <c r="K123" s="556"/>
      <c r="L123" s="554"/>
      <c r="M123" s="554"/>
      <c r="N123" s="558"/>
      <c r="O123" s="544"/>
      <c r="P123" s="544"/>
      <c r="Q123" s="556"/>
      <c r="R123" s="545"/>
      <c r="T123" s="558"/>
      <c r="U123" s="544"/>
      <c r="V123" s="544"/>
      <c r="W123" s="556"/>
      <c r="X123" s="545"/>
      <c r="Z123" s="558"/>
      <c r="AA123" s="544"/>
      <c r="AB123" s="544"/>
      <c r="AC123" s="556"/>
      <c r="AD123" s="545"/>
      <c r="AF123" s="558"/>
      <c r="AG123" s="544"/>
      <c r="AH123" s="544"/>
      <c r="AI123" s="556"/>
      <c r="AJ123" s="545"/>
      <c r="AL123" s="558"/>
      <c r="AM123" s="544"/>
      <c r="AN123" s="544"/>
      <c r="AO123" s="556"/>
      <c r="AP123" s="545"/>
      <c r="AR123" s="558"/>
      <c r="AS123" s="544"/>
      <c r="AT123" s="544"/>
      <c r="AU123" s="556"/>
      <c r="AV123" s="545"/>
      <c r="AX123" s="558"/>
      <c r="AY123" s="544"/>
      <c r="AZ123" s="544"/>
      <c r="BA123" s="556"/>
      <c r="BB123" s="545"/>
      <c r="BD123" s="558"/>
      <c r="BE123" s="544"/>
      <c r="BF123" s="544"/>
      <c r="BG123" s="556"/>
      <c r="BH123" s="545"/>
      <c r="BJ123" s="558"/>
      <c r="BK123" s="544"/>
      <c r="BL123" s="544"/>
      <c r="BM123" s="556"/>
      <c r="BN123" s="545"/>
      <c r="BP123" s="558"/>
      <c r="BQ123" s="544"/>
      <c r="BR123" s="544"/>
      <c r="BS123" s="556"/>
      <c r="BT123" s="545"/>
      <c r="BV123" s="558"/>
      <c r="BW123" s="544"/>
      <c r="BX123" s="544"/>
      <c r="BY123" s="556"/>
      <c r="BZ123" s="545"/>
    </row>
    <row r="124" spans="2:96" s="543" customFormat="1" ht="21.65" customHeight="1">
      <c r="B124" s="1202" t="s">
        <v>367</v>
      </c>
      <c r="C124" s="1202"/>
      <c r="D124" s="1202"/>
      <c r="E124" s="1202"/>
      <c r="F124" s="1202"/>
      <c r="G124" s="1202"/>
      <c r="H124" s="1202"/>
      <c r="I124" s="1202"/>
      <c r="J124" s="1202"/>
      <c r="K124" s="1202"/>
      <c r="L124" s="1202"/>
      <c r="M124" s="1202"/>
      <c r="N124" s="1202"/>
      <c r="O124" s="1202"/>
      <c r="P124" s="1202"/>
      <c r="Q124" s="1202"/>
      <c r="R124" s="1202"/>
      <c r="S124" s="571"/>
      <c r="T124" s="1202" t="s">
        <v>367</v>
      </c>
      <c r="U124" s="1202"/>
      <c r="V124" s="1202"/>
      <c r="W124" s="1202"/>
      <c r="X124" s="1202"/>
      <c r="Y124" s="1202"/>
      <c r="Z124" s="1202"/>
      <c r="AA124" s="1202"/>
      <c r="AB124" s="1202"/>
      <c r="AC124" s="1202"/>
      <c r="AD124" s="1202"/>
      <c r="AE124" s="1202"/>
      <c r="AF124" s="1202"/>
      <c r="AG124" s="1202"/>
      <c r="AH124" s="1202"/>
      <c r="AI124" s="1202"/>
      <c r="AJ124" s="1202"/>
      <c r="AL124" s="558"/>
      <c r="AM124" s="544"/>
      <c r="AN124" s="544"/>
      <c r="AO124" s="556"/>
      <c r="AP124" s="545"/>
      <c r="AR124" s="558"/>
      <c r="AS124" s="544"/>
      <c r="AT124" s="544"/>
      <c r="AU124" s="556"/>
      <c r="AV124" s="545"/>
      <c r="AX124" s="558"/>
      <c r="AY124" s="544"/>
      <c r="AZ124" s="544"/>
      <c r="BA124" s="556"/>
      <c r="BB124" s="545"/>
      <c r="BD124" s="558"/>
      <c r="BE124" s="544"/>
      <c r="BF124" s="544"/>
      <c r="BG124" s="556"/>
      <c r="BH124" s="545"/>
      <c r="BJ124" s="558"/>
      <c r="BK124" s="544"/>
      <c r="BL124" s="544"/>
      <c r="BM124" s="556"/>
      <c r="BN124" s="545"/>
      <c r="BP124" s="558"/>
      <c r="BQ124" s="544"/>
      <c r="BR124" s="544"/>
      <c r="BS124" s="556"/>
      <c r="BT124" s="545"/>
      <c r="BV124" s="558"/>
      <c r="BW124" s="544"/>
      <c r="BX124" s="544"/>
      <c r="BY124" s="556"/>
      <c r="BZ124" s="545"/>
    </row>
    <row r="125" spans="2:96" s="543" customFormat="1" ht="21.65" customHeight="1">
      <c r="B125" s="736"/>
      <c r="C125" s="739"/>
      <c r="D125" s="739"/>
      <c r="E125" s="739"/>
      <c r="F125" s="739"/>
      <c r="G125" s="739"/>
      <c r="H125" s="739"/>
      <c r="I125" s="739"/>
      <c r="J125" s="739"/>
      <c r="K125" s="739"/>
      <c r="L125" s="739"/>
      <c r="M125" s="739"/>
      <c r="N125" s="739"/>
      <c r="O125" s="739"/>
      <c r="P125" s="739"/>
      <c r="Q125" s="739"/>
      <c r="R125" s="739"/>
      <c r="S125" s="571"/>
      <c r="T125" s="736"/>
      <c r="U125" s="736"/>
      <c r="V125" s="736"/>
      <c r="W125" s="736"/>
      <c r="X125" s="736"/>
      <c r="Y125" s="736"/>
      <c r="Z125" s="736"/>
      <c r="AA125" s="736"/>
      <c r="AB125" s="736"/>
      <c r="AC125" s="736"/>
      <c r="AD125" s="736"/>
      <c r="AE125" s="736"/>
      <c r="AF125" s="736"/>
      <c r="AG125" s="736"/>
      <c r="AH125" s="736"/>
      <c r="AI125" s="736"/>
      <c r="AJ125" s="736"/>
      <c r="AL125" s="558"/>
      <c r="AM125" s="544"/>
      <c r="AN125" s="544"/>
      <c r="AO125" s="556"/>
      <c r="AP125" s="545"/>
      <c r="AR125" s="558"/>
      <c r="AS125" s="544"/>
      <c r="AT125" s="544"/>
      <c r="AU125" s="556"/>
      <c r="AV125" s="545"/>
      <c r="AX125" s="558"/>
      <c r="AY125" s="544"/>
      <c r="AZ125" s="544"/>
      <c r="BA125" s="556"/>
      <c r="BB125" s="545"/>
      <c r="BD125" s="558"/>
      <c r="BE125" s="544"/>
      <c r="BF125" s="544"/>
      <c r="BG125" s="556"/>
      <c r="BH125" s="545"/>
      <c r="BJ125" s="558"/>
      <c r="BK125" s="544"/>
      <c r="BL125" s="544"/>
      <c r="BM125" s="556"/>
      <c r="BN125" s="545"/>
      <c r="BP125" s="558"/>
      <c r="BQ125" s="544"/>
      <c r="BR125" s="544"/>
      <c r="BS125" s="556"/>
      <c r="BT125" s="545"/>
      <c r="BV125" s="558"/>
      <c r="BW125" s="544"/>
      <c r="BX125" s="544"/>
      <c r="BY125" s="556"/>
      <c r="BZ125" s="545"/>
    </row>
    <row r="126" spans="2:96" s="543" customFormat="1" ht="13">
      <c r="B126" s="558"/>
      <c r="C126" s="694">
        <v>2022</v>
      </c>
      <c r="D126" s="694">
        <v>2022</v>
      </c>
      <c r="E126" s="700">
        <v>2023</v>
      </c>
      <c r="F126" s="700">
        <v>2022</v>
      </c>
      <c r="G126" s="700">
        <v>2023</v>
      </c>
      <c r="H126" s="694">
        <v>2023</v>
      </c>
      <c r="I126" s="694">
        <v>2023</v>
      </c>
      <c r="J126" s="694">
        <v>2023</v>
      </c>
      <c r="K126" s="700">
        <v>2021</v>
      </c>
      <c r="L126" s="700">
        <v>2022</v>
      </c>
      <c r="M126" s="700">
        <v>2021</v>
      </c>
      <c r="N126" s="694">
        <v>2022</v>
      </c>
      <c r="O126" s="694">
        <v>2022</v>
      </c>
      <c r="P126" s="694">
        <v>2022</v>
      </c>
      <c r="Q126" s="700">
        <v>2021</v>
      </c>
      <c r="R126" s="694">
        <v>2021</v>
      </c>
      <c r="T126" s="558"/>
      <c r="U126" s="544"/>
      <c r="V126" s="544"/>
      <c r="W126" s="556"/>
      <c r="X126" s="545"/>
      <c r="Z126" s="558"/>
      <c r="AA126" s="544"/>
      <c r="AB126" s="544"/>
      <c r="AC126" s="556"/>
      <c r="AD126" s="705"/>
      <c r="AF126" s="705"/>
      <c r="AG126" s="544"/>
      <c r="AH126" s="544"/>
      <c r="AI126" s="556"/>
      <c r="AJ126" s="545"/>
      <c r="AL126" s="558"/>
      <c r="AM126" s="544"/>
      <c r="AN126" s="544"/>
      <c r="AO126" s="556"/>
      <c r="AP126" s="545"/>
      <c r="AR126" s="558"/>
      <c r="AS126" s="544"/>
      <c r="AT126" s="544"/>
      <c r="AU126" s="556"/>
      <c r="AV126" s="545"/>
      <c r="AX126" s="558"/>
      <c r="AY126" s="544"/>
      <c r="AZ126" s="544"/>
      <c r="BA126" s="556"/>
      <c r="BB126" s="545"/>
      <c r="BD126" s="558"/>
      <c r="BE126" s="544"/>
      <c r="BF126" s="544"/>
      <c r="BG126" s="556"/>
      <c r="BH126" s="545"/>
      <c r="BJ126" s="558"/>
      <c r="BK126" s="544"/>
      <c r="BL126" s="544"/>
      <c r="BM126" s="556"/>
      <c r="BN126" s="545"/>
      <c r="BP126" s="558"/>
      <c r="BQ126" s="544"/>
      <c r="BR126" s="544"/>
      <c r="BS126" s="556"/>
      <c r="BT126" s="545"/>
      <c r="BV126" s="558"/>
      <c r="BW126" s="544"/>
      <c r="BX126" s="544"/>
      <c r="BY126" s="556"/>
      <c r="BZ126" s="545"/>
    </row>
    <row r="127" spans="2:96" ht="90" customHeight="1">
      <c r="B127" s="572" t="s">
        <v>353</v>
      </c>
      <c r="C127" s="573" t="s">
        <v>354</v>
      </c>
      <c r="D127" s="573" t="s">
        <v>356</v>
      </c>
      <c r="E127" s="573" t="s">
        <v>70</v>
      </c>
      <c r="F127" s="573" t="str">
        <f>'Data Alat'!A10</f>
        <v>Wireless Temperature Recorder, Merek : HIOKI, Model : LR 8510, SN : 200936000</v>
      </c>
      <c r="G127" s="573" t="str">
        <f>'Data Alat'!A11</f>
        <v>Wireless Temperature Recorder, Merek : HIOKI, Model : LR 8510, SN : 200936001</v>
      </c>
      <c r="H127" s="573" t="str">
        <f>'Data Alat'!A12</f>
        <v>Wireless Temperature Recorder, Merek : HIOKI, Model : LR 8510, SN : 200821397</v>
      </c>
      <c r="I127" s="573" t="str">
        <f>'Data Alat'!A13</f>
        <v>Wireless Temperature Recorder, Merek : HIOKI, Model : LR 8510, SN : 210411983</v>
      </c>
      <c r="J127" s="573" t="str">
        <f>'Data Alat'!A14</f>
        <v>Wireless Temperature Recorder, Merek : HIOKI, Model : LR 8510, SN : 210411984</v>
      </c>
      <c r="K127" s="573" t="str">
        <f>'Data Alat'!A15</f>
        <v>Wireless Temperature Recorder, Merek : HIOKI, Model : LR 8510, SN : 210411985</v>
      </c>
      <c r="L127" s="573" t="str">
        <f>'Data Alat'!A16</f>
        <v>Wireless Temperature Recorder, Merek : HIOKI, Model : LR 8510, SN : 210746054</v>
      </c>
      <c r="M127" s="573" t="str">
        <f>'Data Alat'!A17</f>
        <v>Wireless Temperature Recorder, Merek : HIOKI, Model : LR 8510, SN : 210746055</v>
      </c>
      <c r="N127" s="573" t="str">
        <f>'Data Alat'!A18</f>
        <v>Wireless Temperature Recorder, Merek : HIOKI, Model : LR 8510, SN : 210746056</v>
      </c>
      <c r="O127" s="573" t="str">
        <f>'Data Alat'!A19</f>
        <v>Wireless Temperature Recorder, Merek : HIOKI, Model : LR 8510, SN : 200821396</v>
      </c>
      <c r="P127" s="602" t="str">
        <f>'Data Alat'!A7</f>
        <v>Reference Thermometer, Merek : APPA, Model : APPA51, SN : 03002948</v>
      </c>
      <c r="Q127" s="602" t="str">
        <f>'Data Alat'!A8</f>
        <v>Reference Thermometer, Merek : FLUKE, Model : 1524, SN : 1803038</v>
      </c>
      <c r="R127" s="602" t="str">
        <f>'Data Alat'!A9</f>
        <v>Reference Thermometer, Merek : FLUKE, Model : 1524, SN : 1803037</v>
      </c>
      <c r="S127" s="543"/>
      <c r="T127" s="572" t="s">
        <v>358</v>
      </c>
      <c r="U127" s="574" t="str">
        <f t="shared" ref="U127:AG127" si="327">C127</f>
        <v>Thermocouple Data Logger, Merek : MADGETECH, Model : OctTemp 2000, SN : P40270</v>
      </c>
      <c r="V127" s="574" t="str">
        <f t="shared" si="327"/>
        <v>Thermocouple Data Logger, Merek : MADGETECH, Model : OctTemp 2000, SN : P41878</v>
      </c>
      <c r="W127" s="574" t="str">
        <f t="shared" si="327"/>
        <v>Mobile Corder, Merek : Yokogawa, Model : GP 10, SN : S5T810599</v>
      </c>
      <c r="X127" s="574" t="str">
        <f t="shared" si="327"/>
        <v>Wireless Temperature Recorder, Merek : HIOKI, Model : LR 8510, SN : 200936000</v>
      </c>
      <c r="Y127" s="574" t="str">
        <f t="shared" si="327"/>
        <v>Wireless Temperature Recorder, Merek : HIOKI, Model : LR 8510, SN : 200936001</v>
      </c>
      <c r="Z127" s="574" t="str">
        <f t="shared" si="327"/>
        <v>Wireless Temperature Recorder, Merek : HIOKI, Model : LR 8510, SN : 200821397</v>
      </c>
      <c r="AA127" s="574" t="str">
        <f t="shared" si="327"/>
        <v>Wireless Temperature Recorder, Merek : HIOKI, Model : LR 8510, SN : 210411983</v>
      </c>
      <c r="AB127" s="574" t="str">
        <f t="shared" si="327"/>
        <v>Wireless Temperature Recorder, Merek : HIOKI, Model : LR 8510, SN : 210411984</v>
      </c>
      <c r="AC127" s="574" t="str">
        <f t="shared" si="327"/>
        <v>Wireless Temperature Recorder, Merek : HIOKI, Model : LR 8510, SN : 210411985</v>
      </c>
      <c r="AD127" s="574" t="str">
        <f t="shared" si="327"/>
        <v>Wireless Temperature Recorder, Merek : HIOKI, Model : LR 8510, SN : 210746054</v>
      </c>
      <c r="AE127" s="574" t="str">
        <f t="shared" si="327"/>
        <v>Wireless Temperature Recorder, Merek : HIOKI, Model : LR 8510, SN : 210746055</v>
      </c>
      <c r="AF127" s="574" t="str">
        <f t="shared" si="327"/>
        <v>Wireless Temperature Recorder, Merek : HIOKI, Model : LR 8510, SN : 210746056</v>
      </c>
      <c r="AG127" s="575" t="str">
        <f t="shared" si="327"/>
        <v>Wireless Temperature Recorder, Merek : HIOKI, Model : LR 8510, SN : 200821396</v>
      </c>
      <c r="AH127" s="603" t="s">
        <v>368</v>
      </c>
      <c r="AI127" s="603" t="s">
        <v>369</v>
      </c>
      <c r="AJ127" s="603" t="s">
        <v>370</v>
      </c>
      <c r="AK127" s="543"/>
      <c r="AX127" s="578"/>
      <c r="AY127" s="579"/>
      <c r="AZ127" s="580"/>
      <c r="BD127" s="578"/>
      <c r="BE127" s="579"/>
      <c r="BF127" s="580"/>
      <c r="BJ127" s="578"/>
      <c r="BK127" s="579"/>
      <c r="BL127" s="580"/>
      <c r="BP127" s="578"/>
      <c r="BQ127" s="579"/>
      <c r="BR127" s="580"/>
      <c r="BV127" s="578"/>
      <c r="BW127" s="579"/>
      <c r="BX127" s="580"/>
    </row>
    <row r="128" spans="2:96" s="581" customFormat="1" ht="6.65" customHeight="1">
      <c r="B128" s="582"/>
      <c r="C128" s="583"/>
      <c r="D128" s="583"/>
      <c r="E128" s="584"/>
      <c r="F128" s="583"/>
      <c r="G128" s="583"/>
      <c r="H128" s="583"/>
      <c r="I128" s="583"/>
      <c r="J128" s="583"/>
      <c r="K128" s="583"/>
      <c r="L128" s="583"/>
      <c r="M128" s="583"/>
      <c r="N128" s="583"/>
      <c r="O128" s="583"/>
      <c r="P128" s="585"/>
      <c r="Q128" s="585"/>
      <c r="R128" s="585"/>
      <c r="T128" s="582"/>
      <c r="U128" s="586"/>
      <c r="V128" s="586"/>
      <c r="W128" s="586"/>
      <c r="X128" s="586"/>
      <c r="Y128" s="586"/>
      <c r="Z128" s="586"/>
      <c r="AA128" s="586"/>
      <c r="AB128" s="586"/>
      <c r="AC128" s="586"/>
      <c r="AD128" s="586"/>
      <c r="AE128" s="586"/>
      <c r="AF128" s="586"/>
      <c r="AG128" s="587"/>
      <c r="AH128" s="585"/>
      <c r="AI128" s="585"/>
      <c r="AJ128" s="585"/>
      <c r="AN128" s="588"/>
      <c r="AP128" s="589"/>
      <c r="AT128" s="588"/>
      <c r="AV128" s="589"/>
      <c r="AX128" s="590"/>
      <c r="AY128" s="591"/>
      <c r="AZ128" s="592"/>
      <c r="BB128" s="589"/>
      <c r="BD128" s="590"/>
      <c r="BE128" s="591"/>
      <c r="BF128" s="592"/>
      <c r="BH128" s="589"/>
      <c r="BJ128" s="590"/>
      <c r="BK128" s="591"/>
      <c r="BL128" s="592"/>
      <c r="BN128" s="589"/>
      <c r="BP128" s="590"/>
      <c r="BQ128" s="591"/>
      <c r="BR128" s="592"/>
      <c r="BT128" s="589"/>
      <c r="BV128" s="590"/>
      <c r="BW128" s="591"/>
      <c r="BX128" s="592"/>
      <c r="BZ128" s="589"/>
    </row>
    <row r="129" spans="2:81" ht="13">
      <c r="B129" s="693">
        <v>-40</v>
      </c>
      <c r="C129" s="542"/>
      <c r="D129" s="542"/>
      <c r="E129" s="594"/>
      <c r="F129" s="695">
        <v>-2.67</v>
      </c>
      <c r="G129" s="695">
        <v>-0.06</v>
      </c>
      <c r="H129" s="695">
        <v>-7.0000000000000007E-2</v>
      </c>
      <c r="I129" s="695">
        <v>0.38</v>
      </c>
      <c r="J129" s="695">
        <v>0.28999999999999998</v>
      </c>
      <c r="K129" s="695"/>
      <c r="L129" s="695">
        <v>-2.98</v>
      </c>
      <c r="M129" s="695"/>
      <c r="N129" s="695">
        <v>-2.52</v>
      </c>
      <c r="O129" s="695">
        <v>-2.7</v>
      </c>
      <c r="P129" s="695">
        <v>-1.7</v>
      </c>
      <c r="Q129" s="695"/>
      <c r="R129" s="695"/>
      <c r="S129" s="543"/>
      <c r="T129" s="693">
        <f>B129</f>
        <v>-40</v>
      </c>
      <c r="U129" s="695"/>
      <c r="V129" s="695"/>
      <c r="W129" s="695"/>
      <c r="X129" s="695">
        <v>-2.65</v>
      </c>
      <c r="Y129" s="695">
        <v>-0.04</v>
      </c>
      <c r="Z129" s="695">
        <v>-0.02</v>
      </c>
      <c r="AA129" s="695">
        <v>0.38</v>
      </c>
      <c r="AB129" s="695">
        <v>0.28999999999999998</v>
      </c>
      <c r="AC129" s="695"/>
      <c r="AD129" s="695">
        <v>-2.59</v>
      </c>
      <c r="AE129" s="695"/>
      <c r="AF129" s="695">
        <v>-2.33</v>
      </c>
      <c r="AG129" s="696">
        <v>-2.75</v>
      </c>
      <c r="AH129" s="695">
        <f t="shared" ref="AH129:AH135" si="328">P129</f>
        <v>-1.7</v>
      </c>
      <c r="AI129" s="695"/>
      <c r="AJ129" s="695"/>
      <c r="AK129" s="543"/>
      <c r="AX129" s="576"/>
      <c r="AY129" s="576"/>
      <c r="BC129" s="595"/>
      <c r="BD129" s="576"/>
      <c r="BE129" s="576"/>
      <c r="BI129" s="595"/>
      <c r="BJ129" s="576"/>
      <c r="BK129" s="576"/>
      <c r="BO129" s="595"/>
      <c r="BP129" s="576"/>
      <c r="BQ129" s="576"/>
      <c r="BU129" s="595"/>
      <c r="BV129" s="576"/>
      <c r="BW129" s="576"/>
      <c r="CA129" s="595"/>
      <c r="CB129" s="595"/>
      <c r="CC129" s="595"/>
    </row>
    <row r="130" spans="2:81" ht="13">
      <c r="B130" s="693">
        <v>-35</v>
      </c>
      <c r="C130" s="542"/>
      <c r="D130" s="542"/>
      <c r="E130" s="594"/>
      <c r="F130" s="695"/>
      <c r="G130" s="695">
        <v>-0.1</v>
      </c>
      <c r="H130" s="695">
        <v>-0.1</v>
      </c>
      <c r="I130" s="695">
        <v>0.36</v>
      </c>
      <c r="J130" s="695">
        <v>0.28000000000000003</v>
      </c>
      <c r="K130" s="695"/>
      <c r="L130" s="695"/>
      <c r="M130" s="695"/>
      <c r="N130" s="695"/>
      <c r="O130" s="695"/>
      <c r="P130" s="695">
        <v>-1.4</v>
      </c>
      <c r="Q130" s="695"/>
      <c r="R130" s="695"/>
      <c r="S130" s="543"/>
      <c r="T130" s="693">
        <f t="shared" ref="T130:T137" si="329">B130</f>
        <v>-35</v>
      </c>
      <c r="U130" s="695"/>
      <c r="V130" s="695"/>
      <c r="W130" s="695"/>
      <c r="X130" s="695"/>
      <c r="Y130" s="695">
        <v>-7.0000000000000007E-2</v>
      </c>
      <c r="Z130" s="695">
        <v>-0.04</v>
      </c>
      <c r="AA130" s="695">
        <v>0.37</v>
      </c>
      <c r="AB130" s="695">
        <v>0.26</v>
      </c>
      <c r="AC130" s="695"/>
      <c r="AD130" s="695"/>
      <c r="AE130" s="695"/>
      <c r="AF130" s="695"/>
      <c r="AG130" s="696"/>
      <c r="AH130" s="695">
        <f t="shared" si="328"/>
        <v>-1.4</v>
      </c>
      <c r="AI130" s="695"/>
      <c r="AJ130" s="695"/>
      <c r="AK130" s="543"/>
      <c r="AX130" s="576"/>
      <c r="AY130" s="576"/>
      <c r="BC130" s="595"/>
      <c r="BD130" s="576"/>
      <c r="BE130" s="576"/>
      <c r="BI130" s="595"/>
      <c r="BJ130" s="576"/>
      <c r="BK130" s="576"/>
      <c r="BO130" s="595"/>
      <c r="BP130" s="576"/>
      <c r="BQ130" s="576"/>
      <c r="BU130" s="595"/>
      <c r="BV130" s="576"/>
      <c r="BW130" s="576"/>
      <c r="CA130" s="595"/>
      <c r="CB130" s="595"/>
      <c r="CC130" s="595"/>
    </row>
    <row r="131" spans="2:81" ht="13">
      <c r="B131" s="693">
        <v>-30</v>
      </c>
      <c r="C131" s="542"/>
      <c r="D131" s="542"/>
      <c r="E131" s="594"/>
      <c r="F131" s="695"/>
      <c r="G131" s="695">
        <v>-0.1</v>
      </c>
      <c r="H131" s="695">
        <v>-0.09</v>
      </c>
      <c r="I131" s="695">
        <v>0.36</v>
      </c>
      <c r="J131" s="695">
        <v>0.28999999999999998</v>
      </c>
      <c r="K131" s="695"/>
      <c r="L131" s="695"/>
      <c r="M131" s="695"/>
      <c r="N131" s="695"/>
      <c r="O131" s="695"/>
      <c r="P131" s="695">
        <v>-1.2</v>
      </c>
      <c r="Q131" s="695"/>
      <c r="R131" s="695"/>
      <c r="S131" s="543"/>
      <c r="T131" s="693">
        <f t="shared" si="329"/>
        <v>-30</v>
      </c>
      <c r="U131" s="695"/>
      <c r="V131" s="695"/>
      <c r="W131" s="695"/>
      <c r="X131" s="695"/>
      <c r="Y131" s="695">
        <v>-0.06</v>
      </c>
      <c r="Z131" s="695">
        <v>-0.04</v>
      </c>
      <c r="AA131" s="695">
        <v>0.38</v>
      </c>
      <c r="AB131" s="695">
        <v>0.26</v>
      </c>
      <c r="AC131" s="695"/>
      <c r="AD131" s="695"/>
      <c r="AE131" s="695"/>
      <c r="AF131" s="695"/>
      <c r="AG131" s="696"/>
      <c r="AH131" s="695">
        <f t="shared" si="328"/>
        <v>-1.2</v>
      </c>
      <c r="AI131" s="695"/>
      <c r="AJ131" s="695"/>
      <c r="AK131" s="543"/>
      <c r="AX131" s="576"/>
      <c r="AY131" s="576"/>
      <c r="BC131" s="595"/>
      <c r="BD131" s="576"/>
      <c r="BE131" s="576"/>
      <c r="BI131" s="595"/>
      <c r="BJ131" s="576"/>
      <c r="BK131" s="576"/>
      <c r="BO131" s="595"/>
      <c r="BP131" s="576"/>
      <c r="BQ131" s="576"/>
      <c r="BU131" s="595"/>
      <c r="BV131" s="576"/>
      <c r="BW131" s="576"/>
      <c r="CA131" s="595"/>
      <c r="CB131" s="595"/>
      <c r="CC131" s="595"/>
    </row>
    <row r="132" spans="2:81" ht="13">
      <c r="B132" s="693">
        <v>-25</v>
      </c>
      <c r="C132" s="542"/>
      <c r="D132" s="542"/>
      <c r="E132" s="594"/>
      <c r="F132" s="695">
        <v>-1.67</v>
      </c>
      <c r="G132" s="695">
        <v>-7.0000000000000007E-2</v>
      </c>
      <c r="H132" s="695">
        <v>-0.06</v>
      </c>
      <c r="I132" s="695">
        <v>0.38</v>
      </c>
      <c r="J132" s="695">
        <v>0.31</v>
      </c>
      <c r="K132" s="695"/>
      <c r="L132" s="695">
        <v>-1.36</v>
      </c>
      <c r="M132" s="695"/>
      <c r="N132" s="695">
        <v>-1.68</v>
      </c>
      <c r="O132" s="695">
        <v>-1.77</v>
      </c>
      <c r="P132" s="695">
        <v>-1.1000000000000001</v>
      </c>
      <c r="Q132" s="695"/>
      <c r="R132" s="695"/>
      <c r="S132" s="543"/>
      <c r="T132" s="693">
        <f t="shared" si="329"/>
        <v>-25</v>
      </c>
      <c r="U132" s="695"/>
      <c r="V132" s="695"/>
      <c r="W132" s="695"/>
      <c r="X132" s="695">
        <v>-1.67</v>
      </c>
      <c r="Y132" s="695">
        <v>-0.03</v>
      </c>
      <c r="Z132" s="695">
        <v>-0.01</v>
      </c>
      <c r="AA132" s="695">
        <v>0.4</v>
      </c>
      <c r="AB132" s="695">
        <v>0.28000000000000003</v>
      </c>
      <c r="AC132" s="695"/>
      <c r="AD132" s="695">
        <v>-1.28</v>
      </c>
      <c r="AE132" s="695"/>
      <c r="AF132" s="695">
        <v>-1.55</v>
      </c>
      <c r="AG132" s="696">
        <v>-1.74</v>
      </c>
      <c r="AH132" s="695">
        <f t="shared" si="328"/>
        <v>-1.1000000000000001</v>
      </c>
      <c r="AI132" s="695"/>
      <c r="AJ132" s="695"/>
      <c r="AK132" s="543"/>
      <c r="AX132" s="576"/>
      <c r="AY132" s="576"/>
      <c r="BC132" s="595"/>
      <c r="BD132" s="576"/>
      <c r="BE132" s="576"/>
      <c r="BI132" s="595"/>
      <c r="BJ132" s="576"/>
      <c r="BK132" s="576"/>
      <c r="BO132" s="595"/>
      <c r="BP132" s="576"/>
      <c r="BQ132" s="576"/>
      <c r="BU132" s="595"/>
      <c r="BV132" s="576"/>
      <c r="BW132" s="576"/>
      <c r="CA132" s="595"/>
      <c r="CB132" s="595"/>
      <c r="CC132" s="595"/>
    </row>
    <row r="133" spans="2:81" ht="13">
      <c r="B133" s="693">
        <v>-20</v>
      </c>
      <c r="C133" s="542">
        <v>-0.77</v>
      </c>
      <c r="D133" s="542">
        <v>-0.62</v>
      </c>
      <c r="E133" s="740">
        <v>-0.57999999999999996</v>
      </c>
      <c r="F133" s="695">
        <v>-1.46</v>
      </c>
      <c r="G133" s="695">
        <v>-0.03</v>
      </c>
      <c r="H133" s="695">
        <v>-0.02</v>
      </c>
      <c r="I133" s="695">
        <v>0.4</v>
      </c>
      <c r="J133" s="695">
        <v>0.33</v>
      </c>
      <c r="K133" s="695">
        <v>0.53</v>
      </c>
      <c r="L133" s="695">
        <v>-1.02</v>
      </c>
      <c r="M133" s="695">
        <v>0.53</v>
      </c>
      <c r="N133" s="695">
        <v>-1.4</v>
      </c>
      <c r="O133" s="695">
        <v>-1.5</v>
      </c>
      <c r="P133" s="695">
        <v>-1.1000000000000001</v>
      </c>
      <c r="Q133" s="695">
        <v>-0.15</v>
      </c>
      <c r="R133" s="695">
        <v>-1.8</v>
      </c>
      <c r="S133" s="543"/>
      <c r="T133" s="693">
        <f t="shared" si="329"/>
        <v>-20</v>
      </c>
      <c r="U133" s="695">
        <v>-0.67</v>
      </c>
      <c r="V133" s="695">
        <v>-0.59</v>
      </c>
      <c r="W133" s="695">
        <v>-0.5</v>
      </c>
      <c r="X133" s="695">
        <v>-1.45</v>
      </c>
      <c r="Y133" s="695">
        <v>0.01</v>
      </c>
      <c r="Z133" s="695">
        <v>0.02</v>
      </c>
      <c r="AA133" s="695">
        <v>0.42</v>
      </c>
      <c r="AB133" s="695">
        <v>0.3</v>
      </c>
      <c r="AC133" s="695">
        <v>0.62</v>
      </c>
      <c r="AD133" s="695">
        <v>-0.97</v>
      </c>
      <c r="AE133" s="695">
        <v>0.62</v>
      </c>
      <c r="AF133" s="695">
        <v>-1.29</v>
      </c>
      <c r="AG133" s="696">
        <v>-1.45</v>
      </c>
      <c r="AH133" s="695">
        <f t="shared" si="328"/>
        <v>-1.1000000000000001</v>
      </c>
      <c r="AI133" s="695">
        <v>-0.15</v>
      </c>
      <c r="AJ133" s="695">
        <v>-1.8</v>
      </c>
      <c r="AK133" s="543"/>
      <c r="AX133" s="576"/>
      <c r="AY133" s="576"/>
      <c r="BD133" s="576"/>
      <c r="BE133" s="576"/>
      <c r="BJ133" s="576"/>
      <c r="BK133" s="576"/>
      <c r="BP133" s="576"/>
      <c r="BQ133" s="576"/>
      <c r="BV133" s="576"/>
      <c r="BW133" s="576"/>
    </row>
    <row r="134" spans="2:81" ht="13">
      <c r="B134" s="693">
        <v>-15</v>
      </c>
      <c r="C134" s="542">
        <v>-0.67</v>
      </c>
      <c r="D134" s="542">
        <v>-0.52</v>
      </c>
      <c r="E134" s="740">
        <v>-0.48</v>
      </c>
      <c r="F134" s="695">
        <v>-1.26</v>
      </c>
      <c r="G134" s="695">
        <v>0.02</v>
      </c>
      <c r="H134" s="695">
        <v>0.01</v>
      </c>
      <c r="I134" s="695">
        <v>0.42</v>
      </c>
      <c r="J134" s="695">
        <v>0.35</v>
      </c>
      <c r="K134" s="695"/>
      <c r="L134" s="695">
        <v>-0.76</v>
      </c>
      <c r="M134" s="695"/>
      <c r="N134" s="695">
        <v>-1.1399999999999999</v>
      </c>
      <c r="O134" s="695">
        <v>-1.24</v>
      </c>
      <c r="P134" s="695">
        <v>-1.1000000000000001</v>
      </c>
      <c r="Q134" s="695">
        <v>-0.1</v>
      </c>
      <c r="R134" s="695">
        <v>-1.52</v>
      </c>
      <c r="S134" s="543"/>
      <c r="T134" s="693">
        <f t="shared" si="329"/>
        <v>-15</v>
      </c>
      <c r="U134" s="695">
        <v>-0.57999999999999996</v>
      </c>
      <c r="V134" s="695">
        <v>-0.51</v>
      </c>
      <c r="W134" s="695">
        <v>-0.41</v>
      </c>
      <c r="X134" s="695">
        <v>-1.23</v>
      </c>
      <c r="Y134" s="695">
        <v>0.05</v>
      </c>
      <c r="Z134" s="695">
        <v>0.05</v>
      </c>
      <c r="AA134" s="695">
        <v>0.44</v>
      </c>
      <c r="AB134" s="695">
        <v>0.33</v>
      </c>
      <c r="AC134" s="695"/>
      <c r="AD134" s="695">
        <v>-0.72</v>
      </c>
      <c r="AE134" s="695"/>
      <c r="AF134" s="695">
        <v>-1.04</v>
      </c>
      <c r="AG134" s="696">
        <v>-1.18</v>
      </c>
      <c r="AH134" s="695">
        <f t="shared" si="328"/>
        <v>-1.1000000000000001</v>
      </c>
      <c r="AI134" s="695">
        <v>-0.1</v>
      </c>
      <c r="AJ134" s="695">
        <v>-1.52</v>
      </c>
      <c r="AK134" s="543"/>
      <c r="AX134" s="576"/>
      <c r="AY134" s="576"/>
      <c r="BD134" s="576"/>
      <c r="BE134" s="576"/>
      <c r="BJ134" s="576"/>
      <c r="BK134" s="576"/>
      <c r="BP134" s="576"/>
      <c r="BQ134" s="576"/>
      <c r="BV134" s="576"/>
      <c r="BW134" s="576"/>
    </row>
    <row r="135" spans="2:81" ht="13">
      <c r="B135" s="693">
        <v>-10</v>
      </c>
      <c r="C135" s="542">
        <v>-0.57999999999999996</v>
      </c>
      <c r="D135" s="542">
        <v>-0.43</v>
      </c>
      <c r="E135" s="740">
        <v>-0.4</v>
      </c>
      <c r="F135" s="695">
        <v>-1.04</v>
      </c>
      <c r="G135" s="695">
        <v>0.05</v>
      </c>
      <c r="H135" s="695">
        <v>0.04</v>
      </c>
      <c r="I135" s="695">
        <v>0.43</v>
      </c>
      <c r="J135" s="695">
        <v>0.36</v>
      </c>
      <c r="K135" s="695">
        <v>0.5</v>
      </c>
      <c r="L135" s="695">
        <v>-0.56999999999999995</v>
      </c>
      <c r="M135" s="695">
        <v>0.5</v>
      </c>
      <c r="N135" s="695">
        <v>-0.91</v>
      </c>
      <c r="O135" s="695">
        <v>-1.01</v>
      </c>
      <c r="P135" s="695">
        <v>-1.2</v>
      </c>
      <c r="Q135" s="695">
        <v>-0.05</v>
      </c>
      <c r="R135" s="695">
        <v>-1.26</v>
      </c>
      <c r="S135" s="543"/>
      <c r="T135" s="693">
        <f t="shared" si="329"/>
        <v>-10</v>
      </c>
      <c r="U135" s="695">
        <v>-0.5</v>
      </c>
      <c r="V135" s="695">
        <v>-0.42</v>
      </c>
      <c r="W135" s="695">
        <v>-0.34</v>
      </c>
      <c r="X135" s="695">
        <v>-0.99</v>
      </c>
      <c r="Y135" s="695">
        <v>0.08</v>
      </c>
      <c r="Z135" s="695">
        <v>0.08</v>
      </c>
      <c r="AA135" s="695">
        <v>0.44</v>
      </c>
      <c r="AB135" s="695">
        <v>0.35</v>
      </c>
      <c r="AC135" s="695">
        <v>0.59</v>
      </c>
      <c r="AD135" s="695">
        <v>-0.52</v>
      </c>
      <c r="AE135" s="695">
        <v>0.59</v>
      </c>
      <c r="AF135" s="695">
        <v>-0.83</v>
      </c>
      <c r="AG135" s="696">
        <v>-0.94</v>
      </c>
      <c r="AH135" s="695">
        <f t="shared" si="328"/>
        <v>-1.2</v>
      </c>
      <c r="AI135" s="695">
        <v>-0.05</v>
      </c>
      <c r="AJ135" s="695">
        <v>-1.26</v>
      </c>
      <c r="AK135" s="543"/>
      <c r="AX135" s="576"/>
      <c r="AY135" s="576"/>
      <c r="BD135" s="576"/>
      <c r="BE135" s="576"/>
      <c r="BJ135" s="576"/>
      <c r="BK135" s="576"/>
      <c r="BP135" s="576"/>
      <c r="BQ135" s="576"/>
      <c r="BV135" s="576"/>
      <c r="BW135" s="576"/>
    </row>
    <row r="136" spans="2:81" ht="13">
      <c r="B136" s="693">
        <v>-5</v>
      </c>
      <c r="C136" s="542"/>
      <c r="D136" s="542"/>
      <c r="E136" s="740"/>
      <c r="F136" s="695"/>
      <c r="G136" s="695">
        <v>0.05</v>
      </c>
      <c r="H136" s="695">
        <v>0.04</v>
      </c>
      <c r="I136" s="695">
        <v>0.42</v>
      </c>
      <c r="J136" s="695">
        <v>0.36</v>
      </c>
      <c r="K136" s="695"/>
      <c r="L136" s="695"/>
      <c r="M136" s="695"/>
      <c r="N136" s="695"/>
      <c r="O136" s="695"/>
      <c r="P136" s="695"/>
      <c r="Q136" s="695"/>
      <c r="R136" s="695"/>
      <c r="S136" s="543"/>
      <c r="T136" s="693">
        <f t="shared" si="329"/>
        <v>-5</v>
      </c>
      <c r="U136" s="695"/>
      <c r="V136" s="695"/>
      <c r="W136" s="695"/>
      <c r="X136" s="695"/>
      <c r="Y136" s="695">
        <v>0.08</v>
      </c>
      <c r="Z136" s="695">
        <v>0.08</v>
      </c>
      <c r="AA136" s="695">
        <v>0.42</v>
      </c>
      <c r="AB136" s="695">
        <v>0.36</v>
      </c>
      <c r="AC136" s="695"/>
      <c r="AD136" s="695"/>
      <c r="AE136" s="695"/>
      <c r="AF136" s="695"/>
      <c r="AG136" s="696"/>
      <c r="AH136" s="695"/>
      <c r="AI136" s="695"/>
      <c r="AJ136" s="695"/>
      <c r="AK136" s="543"/>
      <c r="AX136" s="576"/>
      <c r="AY136" s="576"/>
      <c r="BD136" s="576"/>
      <c r="BE136" s="576"/>
      <c r="BJ136" s="576"/>
      <c r="BK136" s="576"/>
      <c r="BP136" s="576"/>
      <c r="BQ136" s="576"/>
      <c r="BV136" s="576"/>
      <c r="BW136" s="576"/>
    </row>
    <row r="137" spans="2:81" ht="13">
      <c r="B137" s="693">
        <v>0</v>
      </c>
      <c r="C137" s="542">
        <v>-0.39</v>
      </c>
      <c r="D137" s="542">
        <v>-0.26</v>
      </c>
      <c r="E137" s="740">
        <v>-0.26</v>
      </c>
      <c r="F137" s="695">
        <v>-0.38</v>
      </c>
      <c r="G137" s="695">
        <v>0.02</v>
      </c>
      <c r="H137" s="695">
        <v>0.02</v>
      </c>
      <c r="I137" s="695">
        <v>0.38</v>
      </c>
      <c r="J137" s="695">
        <v>0.34</v>
      </c>
      <c r="K137" s="695">
        <v>0.48</v>
      </c>
      <c r="L137" s="695">
        <v>-0.31</v>
      </c>
      <c r="M137" s="695">
        <v>0.48</v>
      </c>
      <c r="N137" s="695">
        <v>-0.63</v>
      </c>
      <c r="O137" s="695">
        <v>-0.6</v>
      </c>
      <c r="P137" s="695">
        <v>-1.4</v>
      </c>
      <c r="Q137" s="695">
        <v>0.03</v>
      </c>
      <c r="R137" s="695">
        <v>-0.79</v>
      </c>
      <c r="S137" s="543"/>
      <c r="T137" s="693">
        <f t="shared" si="329"/>
        <v>0</v>
      </c>
      <c r="U137" s="695">
        <v>-0.34</v>
      </c>
      <c r="V137" s="695">
        <v>-0.26</v>
      </c>
      <c r="W137" s="695">
        <v>-0.21</v>
      </c>
      <c r="X137" s="695">
        <v>-0.34</v>
      </c>
      <c r="Y137" s="695">
        <v>0.05</v>
      </c>
      <c r="Z137" s="695">
        <v>0.06</v>
      </c>
      <c r="AA137" s="695">
        <v>0.38</v>
      </c>
      <c r="AB137" s="695">
        <v>0.35</v>
      </c>
      <c r="AC137" s="695">
        <v>0.56000000000000005</v>
      </c>
      <c r="AD137" s="695">
        <v>-0.28000000000000003</v>
      </c>
      <c r="AE137" s="695">
        <v>0.56000000000000005</v>
      </c>
      <c r="AF137" s="695">
        <v>-0.56999999999999995</v>
      </c>
      <c r="AG137" s="696">
        <v>-0.56000000000000005</v>
      </c>
      <c r="AH137" s="695">
        <f>P137</f>
        <v>-1.4</v>
      </c>
      <c r="AI137" s="695">
        <v>0.03</v>
      </c>
      <c r="AJ137" s="695">
        <v>-0.79</v>
      </c>
      <c r="AK137" s="543"/>
      <c r="AX137" s="576"/>
      <c r="AY137" s="576"/>
      <c r="BD137" s="576"/>
      <c r="BE137" s="576"/>
      <c r="BJ137" s="576"/>
      <c r="BK137" s="576"/>
      <c r="BP137" s="576"/>
      <c r="BQ137" s="576"/>
      <c r="BV137" s="576"/>
      <c r="BW137" s="576"/>
    </row>
    <row r="138" spans="2:81" s="743" customFormat="1" ht="13">
      <c r="B138" s="706" t="s">
        <v>371</v>
      </c>
      <c r="C138" s="706">
        <v>0.34</v>
      </c>
      <c r="D138" s="706">
        <v>0.56000000000000005</v>
      </c>
      <c r="E138" s="703">
        <v>0.28000000000000003</v>
      </c>
      <c r="F138" s="703">
        <v>0.16</v>
      </c>
      <c r="G138" s="703">
        <v>0.1</v>
      </c>
      <c r="H138" s="703">
        <v>0.1</v>
      </c>
      <c r="I138" s="703">
        <v>7.0000000000000007E-2</v>
      </c>
      <c r="J138" s="703">
        <v>0.09</v>
      </c>
      <c r="K138" s="703">
        <v>0.79</v>
      </c>
      <c r="L138" s="703">
        <v>0.09</v>
      </c>
      <c r="M138" s="703">
        <v>0.79</v>
      </c>
      <c r="N138" s="703">
        <v>0.08</v>
      </c>
      <c r="O138" s="703">
        <v>0.1</v>
      </c>
      <c r="P138" s="703">
        <v>0.2</v>
      </c>
      <c r="Q138" s="703">
        <v>0.22</v>
      </c>
      <c r="R138" s="703">
        <v>0.77</v>
      </c>
      <c r="T138" s="706" t="s">
        <v>371</v>
      </c>
      <c r="U138" s="703">
        <v>0.34</v>
      </c>
      <c r="V138" s="703">
        <v>0.56000000000000005</v>
      </c>
      <c r="W138" s="703">
        <v>0.28000000000000003</v>
      </c>
      <c r="X138" s="703">
        <v>0.14000000000000001</v>
      </c>
      <c r="Y138" s="703">
        <v>0.09</v>
      </c>
      <c r="Z138" s="703">
        <v>0.11</v>
      </c>
      <c r="AA138" s="703">
        <v>0.08</v>
      </c>
      <c r="AB138" s="703">
        <v>0.09</v>
      </c>
      <c r="AC138" s="703">
        <v>0.79</v>
      </c>
      <c r="AD138" s="703">
        <v>0.06</v>
      </c>
      <c r="AE138" s="703">
        <v>0.79</v>
      </c>
      <c r="AF138" s="703">
        <v>0.08</v>
      </c>
      <c r="AG138" s="703">
        <v>0.1</v>
      </c>
      <c r="AH138" s="703">
        <f>P138</f>
        <v>0.2</v>
      </c>
      <c r="AI138" s="703">
        <v>0.22</v>
      </c>
      <c r="AJ138" s="703">
        <v>0.77</v>
      </c>
      <c r="AN138" s="744"/>
      <c r="AP138" s="745"/>
      <c r="AT138" s="744"/>
      <c r="AV138" s="745"/>
      <c r="AX138" s="746"/>
      <c r="AY138" s="746"/>
      <c r="AZ138" s="746"/>
      <c r="BB138" s="745"/>
      <c r="BD138" s="746"/>
      <c r="BE138" s="746"/>
      <c r="BF138" s="746"/>
      <c r="BH138" s="745"/>
      <c r="BJ138" s="746"/>
      <c r="BK138" s="746"/>
      <c r="BL138" s="746"/>
      <c r="BN138" s="745"/>
      <c r="BP138" s="746"/>
      <c r="BQ138" s="746"/>
      <c r="BR138" s="746"/>
      <c r="BT138" s="745"/>
      <c r="BV138" s="746"/>
      <c r="BW138" s="746"/>
      <c r="BX138" s="746"/>
      <c r="BZ138" s="745"/>
    </row>
    <row r="139" spans="2:81" s="543" customFormat="1" ht="13">
      <c r="F139" s="597"/>
      <c r="V139" s="556"/>
      <c r="W139" s="556"/>
      <c r="X139" s="556"/>
      <c r="Y139" s="556"/>
      <c r="Z139" s="556"/>
      <c r="AA139" s="556"/>
      <c r="AB139" s="556"/>
      <c r="AC139" s="556"/>
      <c r="AD139" s="556"/>
      <c r="AF139" s="598"/>
      <c r="AG139" s="697"/>
      <c r="AI139" s="545"/>
      <c r="AZ139" s="544"/>
      <c r="BB139" s="545"/>
      <c r="BF139" s="544"/>
      <c r="BH139" s="545"/>
      <c r="BL139" s="544"/>
      <c r="BN139" s="545"/>
      <c r="BR139" s="544"/>
      <c r="BT139" s="545"/>
      <c r="BX139" s="544"/>
      <c r="BZ139" s="545"/>
    </row>
    <row r="140" spans="2:81" s="543" customFormat="1">
      <c r="V140" s="544"/>
      <c r="W140" s="544"/>
      <c r="X140" s="544"/>
      <c r="Y140" s="544"/>
      <c r="Z140" s="544"/>
      <c r="AA140" s="544"/>
      <c r="AB140" s="544"/>
      <c r="AC140" s="544"/>
      <c r="AD140" s="544"/>
      <c r="AG140" s="697"/>
      <c r="AI140" s="545"/>
      <c r="AZ140" s="544"/>
      <c r="BB140" s="545"/>
      <c r="BF140" s="544"/>
      <c r="BH140" s="545"/>
      <c r="BL140" s="544"/>
      <c r="BN140" s="545"/>
      <c r="BR140" s="544"/>
      <c r="BT140" s="545"/>
      <c r="BX140" s="544"/>
      <c r="BZ140" s="545"/>
    </row>
    <row r="141" spans="2:81" ht="97.75" customHeight="1">
      <c r="B141" s="599" t="s">
        <v>359</v>
      </c>
      <c r="C141" s="600" t="str">
        <f>U127</f>
        <v>Thermocouple Data Logger, Merek : MADGETECH, Model : OctTemp 2000, SN : P40270</v>
      </c>
      <c r="D141" s="575" t="str">
        <f>V127</f>
        <v>Thermocouple Data Logger, Merek : MADGETECH, Model : OctTemp 2000, SN : P41878</v>
      </c>
      <c r="E141" s="601" t="str">
        <f>W127</f>
        <v>Mobile Corder, Merek : Yokogawa, Model : GP 10, SN : S5T810599</v>
      </c>
      <c r="F141" s="602" t="str">
        <f t="shared" ref="F141:O141" si="330">F127</f>
        <v>Wireless Temperature Recorder, Merek : HIOKI, Model : LR 8510, SN : 200936000</v>
      </c>
      <c r="G141" s="602" t="str">
        <f t="shared" si="330"/>
        <v>Wireless Temperature Recorder, Merek : HIOKI, Model : LR 8510, SN : 200936001</v>
      </c>
      <c r="H141" s="602" t="str">
        <f t="shared" si="330"/>
        <v>Wireless Temperature Recorder, Merek : HIOKI, Model : LR 8510, SN : 200821397</v>
      </c>
      <c r="I141" s="602" t="str">
        <f t="shared" si="330"/>
        <v>Wireless Temperature Recorder, Merek : HIOKI, Model : LR 8510, SN : 210411983</v>
      </c>
      <c r="J141" s="602" t="str">
        <f t="shared" si="330"/>
        <v>Wireless Temperature Recorder, Merek : HIOKI, Model : LR 8510, SN : 210411984</v>
      </c>
      <c r="K141" s="602" t="str">
        <f t="shared" si="330"/>
        <v>Wireless Temperature Recorder, Merek : HIOKI, Model : LR 8510, SN : 210411985</v>
      </c>
      <c r="L141" s="602" t="str">
        <f t="shared" si="330"/>
        <v>Wireless Temperature Recorder, Merek : HIOKI, Model : LR 8510, SN : 210746054</v>
      </c>
      <c r="M141" s="602" t="str">
        <f t="shared" si="330"/>
        <v>Wireless Temperature Recorder, Merek : HIOKI, Model : LR 8510, SN : 210746055</v>
      </c>
      <c r="N141" s="602" t="str">
        <f t="shared" si="330"/>
        <v>Wireless Temperature Recorder, Merek : HIOKI, Model : LR 8510, SN : 210746056</v>
      </c>
      <c r="O141" s="603" t="str">
        <f t="shared" si="330"/>
        <v>Wireless Temperature Recorder, Merek : HIOKI, Model : LR 8510, SN : 200821396</v>
      </c>
      <c r="P141" s="602" t="s">
        <v>368</v>
      </c>
      <c r="Q141" s="602" t="s">
        <v>369</v>
      </c>
      <c r="R141" s="602" t="s">
        <v>370</v>
      </c>
      <c r="S141" s="543"/>
      <c r="T141" s="599" t="s">
        <v>360</v>
      </c>
      <c r="U141" s="600" t="str">
        <f>C141</f>
        <v>Thermocouple Data Logger, Merek : MADGETECH, Model : OctTemp 2000, SN : P40270</v>
      </c>
      <c r="V141" s="575" t="str">
        <f>D141</f>
        <v>Thermocouple Data Logger, Merek : MADGETECH, Model : OctTemp 2000, SN : P41878</v>
      </c>
      <c r="W141" s="604" t="str">
        <f>E141</f>
        <v>Mobile Corder, Merek : Yokogawa, Model : GP 10, SN : S5T810599</v>
      </c>
      <c r="X141" s="575" t="str">
        <f t="shared" ref="X141:AG141" si="331">X127</f>
        <v>Wireless Temperature Recorder, Merek : HIOKI, Model : LR 8510, SN : 200936000</v>
      </c>
      <c r="Y141" s="575" t="str">
        <f t="shared" si="331"/>
        <v>Wireless Temperature Recorder, Merek : HIOKI, Model : LR 8510, SN : 200936001</v>
      </c>
      <c r="Z141" s="575" t="str">
        <f t="shared" si="331"/>
        <v>Wireless Temperature Recorder, Merek : HIOKI, Model : LR 8510, SN : 200821397</v>
      </c>
      <c r="AA141" s="575" t="str">
        <f t="shared" si="331"/>
        <v>Wireless Temperature Recorder, Merek : HIOKI, Model : LR 8510, SN : 210411983</v>
      </c>
      <c r="AB141" s="575" t="str">
        <f t="shared" si="331"/>
        <v>Wireless Temperature Recorder, Merek : HIOKI, Model : LR 8510, SN : 210411984</v>
      </c>
      <c r="AC141" s="575" t="str">
        <f t="shared" si="331"/>
        <v>Wireless Temperature Recorder, Merek : HIOKI, Model : LR 8510, SN : 210411985</v>
      </c>
      <c r="AD141" s="575" t="str">
        <f t="shared" si="331"/>
        <v>Wireless Temperature Recorder, Merek : HIOKI, Model : LR 8510, SN : 210746054</v>
      </c>
      <c r="AE141" s="575" t="str">
        <f t="shared" si="331"/>
        <v>Wireless Temperature Recorder, Merek : HIOKI, Model : LR 8510, SN : 210746055</v>
      </c>
      <c r="AF141" s="575" t="str">
        <f t="shared" si="331"/>
        <v>Wireless Temperature Recorder, Merek : HIOKI, Model : LR 8510, SN : 210746056</v>
      </c>
      <c r="AG141" s="603" t="str">
        <f t="shared" si="331"/>
        <v>Wireless Temperature Recorder, Merek : HIOKI, Model : LR 8510, SN : 200821396</v>
      </c>
      <c r="AH141" s="602" t="s">
        <v>368</v>
      </c>
      <c r="AI141" s="602" t="s">
        <v>369</v>
      </c>
      <c r="AJ141" s="602" t="s">
        <v>370</v>
      </c>
      <c r="AK141" s="543"/>
      <c r="AX141" s="578"/>
      <c r="AY141" s="579"/>
      <c r="AZ141" s="580"/>
      <c r="BD141" s="578"/>
      <c r="BE141" s="579"/>
      <c r="BF141" s="580"/>
      <c r="BJ141" s="578"/>
      <c r="BK141" s="579"/>
      <c r="BL141" s="580"/>
      <c r="BP141" s="578"/>
      <c r="BQ141" s="579"/>
      <c r="BR141" s="580"/>
      <c r="BV141" s="578"/>
      <c r="BW141" s="579"/>
      <c r="BX141" s="580"/>
    </row>
    <row r="142" spans="2:81" s="581" customFormat="1" ht="6" customHeight="1">
      <c r="B142" s="605"/>
      <c r="C142" s="606"/>
      <c r="D142" s="587"/>
      <c r="E142" s="607"/>
      <c r="F142" s="608"/>
      <c r="G142" s="608"/>
      <c r="H142" s="608"/>
      <c r="I142" s="608"/>
      <c r="J142" s="608"/>
      <c r="K142" s="608"/>
      <c r="L142" s="608"/>
      <c r="M142" s="608"/>
      <c r="N142" s="608"/>
      <c r="O142" s="609"/>
      <c r="P142" s="585"/>
      <c r="Q142" s="585"/>
      <c r="R142" s="585"/>
      <c r="T142" s="605"/>
      <c r="U142" s="606"/>
      <c r="V142" s="587"/>
      <c r="W142" s="610"/>
      <c r="X142" s="587"/>
      <c r="Y142" s="587"/>
      <c r="Z142" s="587"/>
      <c r="AA142" s="587"/>
      <c r="AB142" s="587"/>
      <c r="AC142" s="587"/>
      <c r="AD142" s="587"/>
      <c r="AE142" s="587"/>
      <c r="AF142" s="587"/>
      <c r="AG142" s="609"/>
      <c r="AH142" s="585"/>
      <c r="AI142" s="585"/>
      <c r="AJ142" s="585"/>
      <c r="AN142" s="588"/>
      <c r="AP142" s="589"/>
      <c r="AT142" s="588"/>
      <c r="AV142" s="589"/>
      <c r="AX142" s="590"/>
      <c r="AY142" s="591"/>
      <c r="AZ142" s="592"/>
      <c r="BB142" s="589"/>
      <c r="BD142" s="590"/>
      <c r="BE142" s="591"/>
      <c r="BF142" s="592"/>
      <c r="BH142" s="589"/>
      <c r="BJ142" s="590"/>
      <c r="BK142" s="591"/>
      <c r="BL142" s="592"/>
      <c r="BN142" s="589"/>
      <c r="BP142" s="590"/>
      <c r="BQ142" s="591"/>
      <c r="BR142" s="592"/>
      <c r="BT142" s="589"/>
      <c r="BV142" s="590"/>
      <c r="BW142" s="591"/>
      <c r="BX142" s="592"/>
      <c r="BZ142" s="589"/>
    </row>
    <row r="143" spans="2:81" ht="13">
      <c r="B143" s="693">
        <f t="shared" ref="B143:B151" si="332">B129</f>
        <v>-40</v>
      </c>
      <c r="C143" s="666"/>
      <c r="D143" s="666"/>
      <c r="E143" s="666"/>
      <c r="F143" s="695">
        <v>-2.67</v>
      </c>
      <c r="G143" s="695">
        <v>0.05</v>
      </c>
      <c r="H143" s="695">
        <v>0.02</v>
      </c>
      <c r="I143" s="695">
        <v>0.4</v>
      </c>
      <c r="J143" s="695">
        <v>0.32</v>
      </c>
      <c r="K143" s="695"/>
      <c r="L143" s="695">
        <v>-3.34</v>
      </c>
      <c r="M143" s="695"/>
      <c r="N143" s="695">
        <v>-2.44</v>
      </c>
      <c r="O143" s="695">
        <v>-2.71</v>
      </c>
      <c r="P143" s="695">
        <f t="shared" ref="P143:P149" si="333">P129</f>
        <v>-1.7</v>
      </c>
      <c r="Q143" s="695"/>
      <c r="R143" s="695"/>
      <c r="S143" s="543"/>
      <c r="T143" s="693">
        <f t="shared" ref="T143:T151" si="334">T129</f>
        <v>-40</v>
      </c>
      <c r="U143" s="695"/>
      <c r="V143" s="695"/>
      <c r="W143" s="695"/>
      <c r="X143" s="695">
        <v>-2.61</v>
      </c>
      <c r="Y143" s="695">
        <v>0.06</v>
      </c>
      <c r="Z143" s="695">
        <v>7.0000000000000007E-2</v>
      </c>
      <c r="AA143" s="695">
        <v>0.4</v>
      </c>
      <c r="AB143" s="695">
        <v>0.27</v>
      </c>
      <c r="AC143" s="695"/>
      <c r="AD143" s="695">
        <v>-2.34</v>
      </c>
      <c r="AE143" s="695"/>
      <c r="AF143" s="695">
        <v>-2.4500000000000002</v>
      </c>
      <c r="AG143" s="696">
        <v>-2.71</v>
      </c>
      <c r="AH143" s="695">
        <f t="shared" ref="AH143:AH149" si="335">AH129</f>
        <v>-1.7</v>
      </c>
      <c r="AI143" s="695"/>
      <c r="AJ143" s="695"/>
      <c r="AK143" s="543"/>
      <c r="AX143" s="576"/>
      <c r="AY143" s="576"/>
      <c r="BD143" s="576"/>
      <c r="BE143" s="576"/>
      <c r="BJ143" s="576"/>
      <c r="BK143" s="576"/>
      <c r="BP143" s="576"/>
      <c r="BQ143" s="576"/>
      <c r="BV143" s="576"/>
      <c r="BW143" s="576"/>
    </row>
    <row r="144" spans="2:81" ht="13">
      <c r="B144" s="693">
        <f t="shared" si="332"/>
        <v>-35</v>
      </c>
      <c r="C144" s="666"/>
      <c r="D144" s="666"/>
      <c r="E144" s="666"/>
      <c r="F144" s="695"/>
      <c r="G144" s="695">
        <v>-0.01</v>
      </c>
      <c r="H144" s="695">
        <v>-0.01</v>
      </c>
      <c r="I144" s="695">
        <v>0.38</v>
      </c>
      <c r="J144" s="695">
        <v>0.3</v>
      </c>
      <c r="K144" s="695"/>
      <c r="L144" s="695"/>
      <c r="M144" s="695"/>
      <c r="N144" s="695"/>
      <c r="O144" s="695"/>
      <c r="P144" s="695">
        <f t="shared" si="333"/>
        <v>-1.4</v>
      </c>
      <c r="Q144" s="695"/>
      <c r="R144" s="695"/>
      <c r="S144" s="543"/>
      <c r="T144" s="693">
        <f t="shared" si="334"/>
        <v>-35</v>
      </c>
      <c r="U144" s="695"/>
      <c r="V144" s="695"/>
      <c r="W144" s="695"/>
      <c r="X144" s="695"/>
      <c r="Y144" s="695">
        <v>0.03</v>
      </c>
      <c r="Z144" s="695">
        <v>0.02</v>
      </c>
      <c r="AA144" s="695">
        <v>0.4</v>
      </c>
      <c r="AB144" s="695">
        <v>0.28999999999999998</v>
      </c>
      <c r="AC144" s="695"/>
      <c r="AD144" s="695"/>
      <c r="AE144" s="695"/>
      <c r="AF144" s="695"/>
      <c r="AG144" s="696"/>
      <c r="AH144" s="695">
        <f t="shared" si="335"/>
        <v>-1.4</v>
      </c>
      <c r="AI144" s="695"/>
      <c r="AJ144" s="695"/>
      <c r="AK144" s="543"/>
      <c r="AX144" s="576"/>
      <c r="AY144" s="576"/>
      <c r="BD144" s="576"/>
      <c r="BE144" s="576"/>
      <c r="BJ144" s="576"/>
      <c r="BK144" s="576"/>
      <c r="BP144" s="576"/>
      <c r="BQ144" s="576"/>
      <c r="BV144" s="576"/>
      <c r="BW144" s="576"/>
    </row>
    <row r="145" spans="2:78" ht="13">
      <c r="B145" s="693">
        <f t="shared" si="332"/>
        <v>-30</v>
      </c>
      <c r="C145" s="666"/>
      <c r="D145" s="666"/>
      <c r="E145" s="666"/>
      <c r="F145" s="695"/>
      <c r="G145" s="695">
        <v>-0.02</v>
      </c>
      <c r="H145" s="695">
        <v>-0.01</v>
      </c>
      <c r="I145" s="695">
        <v>0.38</v>
      </c>
      <c r="J145" s="695">
        <v>0.3</v>
      </c>
      <c r="K145" s="695"/>
      <c r="L145" s="695"/>
      <c r="M145" s="695"/>
      <c r="N145" s="695"/>
      <c r="O145" s="695"/>
      <c r="P145" s="695">
        <f t="shared" si="333"/>
        <v>-1.2</v>
      </c>
      <c r="Q145" s="695"/>
      <c r="R145" s="695"/>
      <c r="S145" s="543"/>
      <c r="T145" s="693">
        <f t="shared" si="334"/>
        <v>-30</v>
      </c>
      <c r="U145" s="695"/>
      <c r="V145" s="695"/>
      <c r="W145" s="695"/>
      <c r="X145" s="695"/>
      <c r="Y145" s="695">
        <v>0.02</v>
      </c>
      <c r="Z145" s="695">
        <v>0.01</v>
      </c>
      <c r="AA145" s="695">
        <v>0.41</v>
      </c>
      <c r="AB145" s="695">
        <v>0.3</v>
      </c>
      <c r="AC145" s="695"/>
      <c r="AD145" s="695"/>
      <c r="AE145" s="695"/>
      <c r="AF145" s="695"/>
      <c r="AG145" s="696"/>
      <c r="AH145" s="695">
        <f t="shared" si="335"/>
        <v>-1.2</v>
      </c>
      <c r="AI145" s="695"/>
      <c r="AJ145" s="695"/>
      <c r="AK145" s="543"/>
      <c r="AX145" s="576"/>
      <c r="AY145" s="576"/>
      <c r="BD145" s="576"/>
      <c r="BE145" s="576"/>
      <c r="BJ145" s="576"/>
      <c r="BK145" s="576"/>
      <c r="BP145" s="576"/>
      <c r="BQ145" s="576"/>
      <c r="BV145" s="576"/>
      <c r="BW145" s="576"/>
    </row>
    <row r="146" spans="2:78" ht="13">
      <c r="B146" s="693">
        <f t="shared" si="332"/>
        <v>-25</v>
      </c>
      <c r="C146" s="666"/>
      <c r="D146" s="666"/>
      <c r="E146" s="666"/>
      <c r="F146" s="695">
        <v>-1.68</v>
      </c>
      <c r="G146" s="695">
        <v>0</v>
      </c>
      <c r="H146" s="695">
        <v>0.01</v>
      </c>
      <c r="I146" s="695">
        <v>0.4</v>
      </c>
      <c r="J146" s="695">
        <v>0.31</v>
      </c>
      <c r="K146" s="695"/>
      <c r="L146" s="695">
        <v>-1.28</v>
      </c>
      <c r="M146" s="695"/>
      <c r="N146" s="695">
        <v>-1.6</v>
      </c>
      <c r="O146" s="695">
        <v>-1.75</v>
      </c>
      <c r="P146" s="695">
        <f t="shared" si="333"/>
        <v>-1.1000000000000001</v>
      </c>
      <c r="Q146" s="695"/>
      <c r="R146" s="695"/>
      <c r="S146" s="543"/>
      <c r="T146" s="693">
        <f t="shared" si="334"/>
        <v>-25</v>
      </c>
      <c r="U146" s="695"/>
      <c r="V146" s="695"/>
      <c r="W146" s="695"/>
      <c r="X146" s="695">
        <v>-1.69</v>
      </c>
      <c r="Y146" s="695">
        <v>0.04</v>
      </c>
      <c r="Z146" s="695">
        <v>0.03</v>
      </c>
      <c r="AA146" s="695">
        <v>0.43</v>
      </c>
      <c r="AB146" s="695">
        <v>0.32</v>
      </c>
      <c r="AC146" s="695"/>
      <c r="AD146" s="695">
        <v>-1.2</v>
      </c>
      <c r="AE146" s="695"/>
      <c r="AF146" s="695">
        <v>-1.57</v>
      </c>
      <c r="AG146" s="696">
        <v>-1.71</v>
      </c>
      <c r="AH146" s="695">
        <f t="shared" si="335"/>
        <v>-1.1000000000000001</v>
      </c>
      <c r="AI146" s="695"/>
      <c r="AJ146" s="695"/>
      <c r="AK146" s="543"/>
      <c r="AX146" s="576"/>
      <c r="AY146" s="576"/>
      <c r="BD146" s="576"/>
      <c r="BE146" s="576"/>
      <c r="BJ146" s="576"/>
      <c r="BK146" s="576"/>
      <c r="BP146" s="576"/>
      <c r="BQ146" s="576"/>
      <c r="BV146" s="576"/>
      <c r="BW146" s="576"/>
    </row>
    <row r="147" spans="2:78" ht="13">
      <c r="B147" s="693">
        <f t="shared" si="332"/>
        <v>-20</v>
      </c>
      <c r="C147" s="666">
        <v>-0.6</v>
      </c>
      <c r="D147" s="666">
        <v>-0.48</v>
      </c>
      <c r="E147" s="695">
        <v>-0.47</v>
      </c>
      <c r="F147" s="695">
        <v>-1.45</v>
      </c>
      <c r="G147" s="695">
        <v>0.05</v>
      </c>
      <c r="H147" s="695">
        <v>0.05</v>
      </c>
      <c r="I147" s="695">
        <v>0.43</v>
      </c>
      <c r="J147" s="695">
        <v>0.33</v>
      </c>
      <c r="K147" s="695">
        <v>0.57999999999999996</v>
      </c>
      <c r="L147" s="696">
        <v>-0.93</v>
      </c>
      <c r="M147" s="695">
        <v>0.57999999999999996</v>
      </c>
      <c r="N147" s="695">
        <v>-1.33</v>
      </c>
      <c r="O147" s="695">
        <v>-1.47</v>
      </c>
      <c r="P147" s="695">
        <f t="shared" si="333"/>
        <v>-1.1000000000000001</v>
      </c>
      <c r="Q147" s="695">
        <v>-0.15</v>
      </c>
      <c r="R147" s="695">
        <v>-1.8</v>
      </c>
      <c r="S147" s="543"/>
      <c r="T147" s="693">
        <f t="shared" si="334"/>
        <v>-20</v>
      </c>
      <c r="U147" s="695">
        <v>-0.59</v>
      </c>
      <c r="V147" s="695">
        <v>-0.42</v>
      </c>
      <c r="W147" s="695">
        <v>-0.5</v>
      </c>
      <c r="X147" s="695">
        <v>-1.47</v>
      </c>
      <c r="Y147" s="695">
        <v>7.0000000000000007E-2</v>
      </c>
      <c r="Z147" s="695">
        <v>7.0000000000000007E-2</v>
      </c>
      <c r="AA147" s="695">
        <v>0.46</v>
      </c>
      <c r="AB147" s="695">
        <v>0.33</v>
      </c>
      <c r="AC147" s="695">
        <v>0.64</v>
      </c>
      <c r="AD147" s="695">
        <v>-0.91</v>
      </c>
      <c r="AE147" s="695">
        <v>0.64</v>
      </c>
      <c r="AF147" s="695">
        <v>-1.29</v>
      </c>
      <c r="AG147" s="696">
        <v>-1.41</v>
      </c>
      <c r="AH147" s="695">
        <f t="shared" si="335"/>
        <v>-1.1000000000000001</v>
      </c>
      <c r="AI147" s="695">
        <v>-0.15</v>
      </c>
      <c r="AJ147" s="695">
        <v>-1.8</v>
      </c>
      <c r="AK147" s="543"/>
      <c r="AX147" s="576"/>
      <c r="AY147" s="576"/>
      <c r="BD147" s="576"/>
      <c r="BE147" s="576"/>
      <c r="BJ147" s="576"/>
      <c r="BK147" s="576"/>
      <c r="BP147" s="576"/>
      <c r="BQ147" s="576"/>
      <c r="BV147" s="576"/>
      <c r="BW147" s="576"/>
    </row>
    <row r="148" spans="2:78" ht="13">
      <c r="B148" s="693">
        <f t="shared" si="332"/>
        <v>-15</v>
      </c>
      <c r="C148" s="666">
        <v>-0.53</v>
      </c>
      <c r="D148" s="666">
        <v>-0.41</v>
      </c>
      <c r="E148" s="695">
        <v>-0.38</v>
      </c>
      <c r="F148" s="695">
        <v>-1.23</v>
      </c>
      <c r="G148" s="695">
        <v>0.1</v>
      </c>
      <c r="H148" s="695">
        <v>0.09</v>
      </c>
      <c r="I148" s="695">
        <v>0.45</v>
      </c>
      <c r="J148" s="695">
        <v>0.36</v>
      </c>
      <c r="K148" s="695"/>
      <c r="L148" s="695">
        <v>-0.69</v>
      </c>
      <c r="M148" s="695"/>
      <c r="N148" s="695">
        <v>-1.08</v>
      </c>
      <c r="O148" s="695">
        <v>-1.22</v>
      </c>
      <c r="P148" s="695">
        <f t="shared" si="333"/>
        <v>-1.1000000000000001</v>
      </c>
      <c r="Q148" s="695">
        <v>-0.1</v>
      </c>
      <c r="R148" s="695">
        <v>-1.52</v>
      </c>
      <c r="S148" s="543"/>
      <c r="T148" s="693">
        <f t="shared" si="334"/>
        <v>-15</v>
      </c>
      <c r="U148" s="695">
        <v>-0.53</v>
      </c>
      <c r="V148" s="695">
        <v>-0.37</v>
      </c>
      <c r="W148" s="695">
        <v>-0.41</v>
      </c>
      <c r="X148" s="695">
        <v>-1.25</v>
      </c>
      <c r="Y148" s="695">
        <v>0.11</v>
      </c>
      <c r="Z148" s="695">
        <v>0.11</v>
      </c>
      <c r="AA148" s="695">
        <v>0.48</v>
      </c>
      <c r="AB148" s="695">
        <v>0.35</v>
      </c>
      <c r="AC148" s="695"/>
      <c r="AD148" s="695">
        <v>-0.67</v>
      </c>
      <c r="AE148" s="695"/>
      <c r="AF148" s="695">
        <v>-1.04</v>
      </c>
      <c r="AG148" s="696">
        <v>-1.1399999999999999</v>
      </c>
      <c r="AH148" s="695">
        <f t="shared" si="335"/>
        <v>-1.1000000000000001</v>
      </c>
      <c r="AI148" s="695">
        <v>-0.1</v>
      </c>
      <c r="AJ148" s="695">
        <v>-1.52</v>
      </c>
      <c r="AK148" s="543"/>
      <c r="AX148" s="611"/>
      <c r="AY148" s="576"/>
      <c r="BD148" s="611"/>
      <c r="BE148" s="576"/>
      <c r="BJ148" s="611"/>
      <c r="BK148" s="576"/>
      <c r="BP148" s="611"/>
      <c r="BQ148" s="576"/>
      <c r="BV148" s="611"/>
      <c r="BW148" s="576"/>
    </row>
    <row r="149" spans="2:78" ht="13">
      <c r="B149" s="693">
        <f t="shared" si="332"/>
        <v>-10</v>
      </c>
      <c r="C149" s="666">
        <v>-0.46</v>
      </c>
      <c r="D149" s="666">
        <v>-0.35</v>
      </c>
      <c r="E149" s="695">
        <v>-0.32</v>
      </c>
      <c r="F149" s="695">
        <v>-0.98</v>
      </c>
      <c r="G149" s="695">
        <v>0.13</v>
      </c>
      <c r="H149" s="695">
        <v>0.12</v>
      </c>
      <c r="I149" s="695">
        <v>0.46</v>
      </c>
      <c r="J149" s="695">
        <v>0.37</v>
      </c>
      <c r="K149" s="695">
        <v>0.55000000000000004</v>
      </c>
      <c r="L149" s="695">
        <v>-0.52</v>
      </c>
      <c r="M149" s="695">
        <v>0.55000000000000004</v>
      </c>
      <c r="N149" s="695">
        <v>-0.86</v>
      </c>
      <c r="O149" s="695">
        <v>-0.99</v>
      </c>
      <c r="P149" s="695">
        <f t="shared" si="333"/>
        <v>-1.2</v>
      </c>
      <c r="Q149" s="695">
        <v>-0.05</v>
      </c>
      <c r="R149" s="695">
        <v>-1.26</v>
      </c>
      <c r="S149" s="543"/>
      <c r="T149" s="693">
        <f t="shared" si="334"/>
        <v>-10</v>
      </c>
      <c r="U149" s="695">
        <v>-0.47</v>
      </c>
      <c r="V149" s="695">
        <v>-0.31</v>
      </c>
      <c r="W149" s="695">
        <v>-0.33</v>
      </c>
      <c r="X149" s="695">
        <v>-1</v>
      </c>
      <c r="Y149" s="695">
        <v>0.13</v>
      </c>
      <c r="Z149" s="695">
        <v>0.15</v>
      </c>
      <c r="AA149" s="695">
        <v>0.48</v>
      </c>
      <c r="AB149" s="695">
        <v>0.36</v>
      </c>
      <c r="AC149" s="695">
        <v>0.6</v>
      </c>
      <c r="AD149" s="695">
        <v>-0.48</v>
      </c>
      <c r="AE149" s="695">
        <v>0.6</v>
      </c>
      <c r="AF149" s="695">
        <v>-0.84</v>
      </c>
      <c r="AG149" s="696">
        <v>-0.9</v>
      </c>
      <c r="AH149" s="695">
        <f t="shared" si="335"/>
        <v>-1.2</v>
      </c>
      <c r="AI149" s="695">
        <v>-0.05</v>
      </c>
      <c r="AJ149" s="695">
        <v>-1.26</v>
      </c>
      <c r="AK149" s="543"/>
      <c r="AX149" s="576"/>
      <c r="AY149" s="576"/>
      <c r="BD149" s="576"/>
      <c r="BE149" s="576"/>
      <c r="BJ149" s="576"/>
      <c r="BK149" s="576"/>
      <c r="BP149" s="576"/>
      <c r="BQ149" s="576"/>
      <c r="BV149" s="576"/>
      <c r="BW149" s="576"/>
    </row>
    <row r="150" spans="2:78" ht="13">
      <c r="B150" s="693">
        <f t="shared" si="332"/>
        <v>-5</v>
      </c>
      <c r="C150" s="666"/>
      <c r="D150" s="666"/>
      <c r="E150" s="695"/>
      <c r="F150" s="695"/>
      <c r="G150" s="695">
        <v>0.14000000000000001</v>
      </c>
      <c r="H150" s="695">
        <v>0.13</v>
      </c>
      <c r="I150" s="695">
        <v>0.44</v>
      </c>
      <c r="J150" s="695">
        <v>0.38</v>
      </c>
      <c r="K150" s="695"/>
      <c r="L150" s="695"/>
      <c r="M150" s="695"/>
      <c r="N150" s="695"/>
      <c r="O150" s="695"/>
      <c r="P150" s="695"/>
      <c r="Q150" s="695"/>
      <c r="R150" s="695"/>
      <c r="S150" s="543"/>
      <c r="T150" s="693">
        <f t="shared" si="334"/>
        <v>-5</v>
      </c>
      <c r="U150" s="695"/>
      <c r="V150" s="695"/>
      <c r="W150" s="695"/>
      <c r="X150" s="695"/>
      <c r="Y150" s="695">
        <v>0.14000000000000001</v>
      </c>
      <c r="Z150" s="695">
        <v>0.15</v>
      </c>
      <c r="AA150" s="695">
        <v>0.47</v>
      </c>
      <c r="AB150" s="695">
        <v>0.37</v>
      </c>
      <c r="AC150" s="695"/>
      <c r="AD150" s="695"/>
      <c r="AE150" s="695"/>
      <c r="AF150" s="695"/>
      <c r="AG150" s="696"/>
      <c r="AH150" s="695"/>
      <c r="AI150" s="695"/>
      <c r="AJ150" s="695"/>
      <c r="AK150" s="543"/>
      <c r="AX150" s="576"/>
      <c r="AY150" s="576"/>
      <c r="BD150" s="576"/>
      <c r="BE150" s="576"/>
      <c r="BJ150" s="576"/>
      <c r="BK150" s="576"/>
      <c r="BP150" s="576"/>
      <c r="BQ150" s="576"/>
      <c r="BV150" s="576"/>
      <c r="BW150" s="576"/>
    </row>
    <row r="151" spans="2:78" ht="13">
      <c r="B151" s="693">
        <f t="shared" si="332"/>
        <v>0</v>
      </c>
      <c r="C151" s="666">
        <v>-0.32</v>
      </c>
      <c r="D151" s="666">
        <v>-0.23</v>
      </c>
      <c r="E151" s="695">
        <v>-0.2</v>
      </c>
      <c r="F151" s="695">
        <v>-0.32</v>
      </c>
      <c r="G151" s="695">
        <v>0.1</v>
      </c>
      <c r="H151" s="695">
        <v>0.1</v>
      </c>
      <c r="I151" s="695">
        <v>0.4</v>
      </c>
      <c r="J151" s="695">
        <v>0.37</v>
      </c>
      <c r="K151" s="695">
        <v>0.52</v>
      </c>
      <c r="L151" s="695">
        <v>-0.26</v>
      </c>
      <c r="M151" s="695">
        <v>0.52</v>
      </c>
      <c r="N151" s="695">
        <v>-0.59</v>
      </c>
      <c r="O151" s="695">
        <v>-0.6</v>
      </c>
      <c r="P151" s="695">
        <f>P137</f>
        <v>-1.4</v>
      </c>
      <c r="Q151" s="695">
        <v>0.03</v>
      </c>
      <c r="R151" s="695">
        <v>-0.79</v>
      </c>
      <c r="S151" s="543"/>
      <c r="T151" s="693">
        <f t="shared" si="334"/>
        <v>0</v>
      </c>
      <c r="U151" s="702">
        <v>-0.34</v>
      </c>
      <c r="V151" s="695">
        <v>-0.2</v>
      </c>
      <c r="W151" s="695">
        <v>-0.2</v>
      </c>
      <c r="X151" s="695">
        <v>-0.28999999999999998</v>
      </c>
      <c r="Y151" s="695">
        <v>0.12</v>
      </c>
      <c r="Z151" s="695">
        <v>0.12</v>
      </c>
      <c r="AA151" s="695">
        <v>0.43</v>
      </c>
      <c r="AB151" s="695">
        <v>0.38</v>
      </c>
      <c r="AC151" s="695">
        <v>0.56999999999999995</v>
      </c>
      <c r="AD151" s="695">
        <v>-0.26</v>
      </c>
      <c r="AE151" s="695">
        <v>0.56999999999999995</v>
      </c>
      <c r="AF151" s="695">
        <v>-0.56999999999999995</v>
      </c>
      <c r="AG151" s="696">
        <v>-0.52</v>
      </c>
      <c r="AH151" s="695">
        <f>AH137</f>
        <v>-1.4</v>
      </c>
      <c r="AI151" s="695">
        <v>0.03</v>
      </c>
      <c r="AJ151" s="695">
        <v>-0.79</v>
      </c>
      <c r="AK151" s="543"/>
      <c r="AX151" s="576"/>
      <c r="AY151" s="576"/>
      <c r="BD151" s="576"/>
      <c r="BE151" s="576"/>
      <c r="BJ151" s="576"/>
      <c r="BK151" s="576"/>
      <c r="BP151" s="576"/>
      <c r="BQ151" s="576"/>
      <c r="BV151" s="576"/>
      <c r="BW151" s="576"/>
    </row>
    <row r="152" spans="2:78" s="743" customFormat="1" ht="13">
      <c r="B152" s="706" t="s">
        <v>371</v>
      </c>
      <c r="C152" s="701">
        <v>0.34</v>
      </c>
      <c r="D152" s="701">
        <v>0.56000000000000005</v>
      </c>
      <c r="E152" s="703">
        <v>0.28000000000000003</v>
      </c>
      <c r="F152" s="703">
        <v>0.14000000000000001</v>
      </c>
      <c r="G152" s="703">
        <v>0.08</v>
      </c>
      <c r="H152" s="703">
        <v>0.13</v>
      </c>
      <c r="I152" s="703">
        <v>0.09</v>
      </c>
      <c r="J152" s="703">
        <v>0.09</v>
      </c>
      <c r="K152" s="703">
        <v>0.79</v>
      </c>
      <c r="L152" s="703">
        <v>0.08</v>
      </c>
      <c r="M152" s="703">
        <v>0.79</v>
      </c>
      <c r="N152" s="703">
        <v>7.0000000000000007E-2</v>
      </c>
      <c r="O152" s="703">
        <v>0.1</v>
      </c>
      <c r="P152" s="703">
        <f>P138</f>
        <v>0.2</v>
      </c>
      <c r="Q152" s="703">
        <v>0.22</v>
      </c>
      <c r="R152" s="703">
        <v>0.77</v>
      </c>
      <c r="T152" s="742" t="s">
        <v>371</v>
      </c>
      <c r="U152" s="703">
        <v>0.34</v>
      </c>
      <c r="V152" s="703">
        <v>0.56000000000000005</v>
      </c>
      <c r="W152" s="703">
        <v>0.28000000000000003</v>
      </c>
      <c r="X152" s="703">
        <v>0.11</v>
      </c>
      <c r="Y152" s="703">
        <v>0.08</v>
      </c>
      <c r="Z152" s="703">
        <v>0.12</v>
      </c>
      <c r="AA152" s="703">
        <v>0.09</v>
      </c>
      <c r="AB152" s="703">
        <v>0.1</v>
      </c>
      <c r="AC152" s="703">
        <v>0.79</v>
      </c>
      <c r="AD152" s="703">
        <v>0.08</v>
      </c>
      <c r="AE152" s="703">
        <v>0.79</v>
      </c>
      <c r="AF152" s="703">
        <v>7.0000000000000007E-2</v>
      </c>
      <c r="AG152" s="703">
        <v>0.1</v>
      </c>
      <c r="AH152" s="703">
        <f>AH138</f>
        <v>0.2</v>
      </c>
      <c r="AI152" s="703">
        <v>0.22</v>
      </c>
      <c r="AJ152" s="703">
        <v>0.77</v>
      </c>
      <c r="AN152" s="744"/>
      <c r="AP152" s="745"/>
      <c r="AT152" s="744"/>
      <c r="AV152" s="745"/>
      <c r="AX152" s="746"/>
      <c r="AY152" s="746"/>
      <c r="AZ152" s="744"/>
      <c r="BD152" s="746"/>
      <c r="BE152" s="746"/>
      <c r="BF152" s="744"/>
      <c r="BJ152" s="746"/>
      <c r="BK152" s="746"/>
      <c r="BL152" s="744"/>
      <c r="BP152" s="746"/>
      <c r="BQ152" s="746"/>
      <c r="BR152" s="744"/>
      <c r="BV152" s="746"/>
      <c r="BW152" s="746"/>
      <c r="BX152" s="744"/>
      <c r="BZ152" s="745"/>
    </row>
    <row r="153" spans="2:78" s="543" customFormat="1">
      <c r="V153" s="544"/>
      <c r="W153" s="544"/>
      <c r="X153" s="544"/>
      <c r="Y153" s="544"/>
      <c r="Z153" s="544"/>
      <c r="AA153" s="544"/>
      <c r="AB153" s="544"/>
      <c r="AC153" s="544"/>
      <c r="AD153" s="544"/>
      <c r="AG153" s="697"/>
      <c r="AZ153" s="544"/>
      <c r="BF153" s="544"/>
      <c r="BL153" s="544"/>
      <c r="BR153" s="544"/>
      <c r="BX153" s="544"/>
    </row>
    <row r="154" spans="2:78" s="543" customFormat="1">
      <c r="V154" s="544"/>
      <c r="W154" s="544"/>
      <c r="X154" s="544"/>
      <c r="Y154" s="544"/>
      <c r="Z154" s="544"/>
      <c r="AA154" s="544"/>
      <c r="AB154" s="544"/>
      <c r="AC154" s="544"/>
      <c r="AD154" s="544"/>
      <c r="AG154" s="697"/>
      <c r="AZ154" s="544"/>
      <c r="BF154" s="544"/>
      <c r="BL154" s="544"/>
      <c r="BR154" s="544"/>
      <c r="BX154" s="544"/>
    </row>
    <row r="155" spans="2:78" ht="92.25" customHeight="1">
      <c r="B155" s="599" t="s">
        <v>361</v>
      </c>
      <c r="C155" s="600" t="str">
        <f>U141</f>
        <v>Thermocouple Data Logger, Merek : MADGETECH, Model : OctTemp 2000, SN : P40270</v>
      </c>
      <c r="D155" s="575" t="str">
        <f>V141</f>
        <v>Thermocouple Data Logger, Merek : MADGETECH, Model : OctTemp 2000, SN : P41878</v>
      </c>
      <c r="E155" s="601" t="str">
        <f>W141</f>
        <v>Mobile Corder, Merek : Yokogawa, Model : GP 10, SN : S5T810599</v>
      </c>
      <c r="F155" s="602" t="str">
        <f t="shared" ref="F155:O155" si="336">F141</f>
        <v>Wireless Temperature Recorder, Merek : HIOKI, Model : LR 8510, SN : 200936000</v>
      </c>
      <c r="G155" s="602" t="str">
        <f t="shared" si="336"/>
        <v>Wireless Temperature Recorder, Merek : HIOKI, Model : LR 8510, SN : 200936001</v>
      </c>
      <c r="H155" s="602" t="str">
        <f t="shared" si="336"/>
        <v>Wireless Temperature Recorder, Merek : HIOKI, Model : LR 8510, SN : 200821397</v>
      </c>
      <c r="I155" s="602" t="str">
        <f t="shared" si="336"/>
        <v>Wireless Temperature Recorder, Merek : HIOKI, Model : LR 8510, SN : 210411983</v>
      </c>
      <c r="J155" s="602" t="str">
        <f t="shared" si="336"/>
        <v>Wireless Temperature Recorder, Merek : HIOKI, Model : LR 8510, SN : 210411984</v>
      </c>
      <c r="K155" s="602" t="str">
        <f t="shared" si="336"/>
        <v>Wireless Temperature Recorder, Merek : HIOKI, Model : LR 8510, SN : 210411985</v>
      </c>
      <c r="L155" s="602" t="str">
        <f t="shared" si="336"/>
        <v>Wireless Temperature Recorder, Merek : HIOKI, Model : LR 8510, SN : 210746054</v>
      </c>
      <c r="M155" s="602" t="str">
        <f t="shared" si="336"/>
        <v>Wireless Temperature Recorder, Merek : HIOKI, Model : LR 8510, SN : 210746055</v>
      </c>
      <c r="N155" s="602" t="str">
        <f t="shared" si="336"/>
        <v>Wireless Temperature Recorder, Merek : HIOKI, Model : LR 8510, SN : 210746056</v>
      </c>
      <c r="O155" s="603" t="str">
        <f t="shared" si="336"/>
        <v>Wireless Temperature Recorder, Merek : HIOKI, Model : LR 8510, SN : 200821396</v>
      </c>
      <c r="P155" s="602" t="s">
        <v>368</v>
      </c>
      <c r="Q155" s="602" t="s">
        <v>369</v>
      </c>
      <c r="R155" s="602" t="s">
        <v>370</v>
      </c>
      <c r="S155" s="543"/>
      <c r="T155" s="599" t="s">
        <v>362</v>
      </c>
      <c r="U155" s="613" t="str">
        <f>C155</f>
        <v>Thermocouple Data Logger, Merek : MADGETECH, Model : OctTemp 2000, SN : P40270</v>
      </c>
      <c r="V155" s="613" t="str">
        <f>D155</f>
        <v>Thermocouple Data Logger, Merek : MADGETECH, Model : OctTemp 2000, SN : P41878</v>
      </c>
      <c r="W155" s="613" t="str">
        <f>E155</f>
        <v>Mobile Corder, Merek : Yokogawa, Model : GP 10, SN : S5T810599</v>
      </c>
      <c r="X155" s="613" t="str">
        <f t="shared" ref="X155:AG155" si="337">X141</f>
        <v>Wireless Temperature Recorder, Merek : HIOKI, Model : LR 8510, SN : 200936000</v>
      </c>
      <c r="Y155" s="613" t="str">
        <f t="shared" si="337"/>
        <v>Wireless Temperature Recorder, Merek : HIOKI, Model : LR 8510, SN : 200936001</v>
      </c>
      <c r="Z155" s="613" t="str">
        <f t="shared" si="337"/>
        <v>Wireless Temperature Recorder, Merek : HIOKI, Model : LR 8510, SN : 200821397</v>
      </c>
      <c r="AA155" s="613" t="str">
        <f t="shared" si="337"/>
        <v>Wireless Temperature Recorder, Merek : HIOKI, Model : LR 8510, SN : 210411983</v>
      </c>
      <c r="AB155" s="613" t="str">
        <f t="shared" si="337"/>
        <v>Wireless Temperature Recorder, Merek : HIOKI, Model : LR 8510, SN : 210411984</v>
      </c>
      <c r="AC155" s="613" t="str">
        <f t="shared" si="337"/>
        <v>Wireless Temperature Recorder, Merek : HIOKI, Model : LR 8510, SN : 210411985</v>
      </c>
      <c r="AD155" s="613" t="str">
        <f t="shared" si="337"/>
        <v>Wireless Temperature Recorder, Merek : HIOKI, Model : LR 8510, SN : 210746054</v>
      </c>
      <c r="AE155" s="613" t="str">
        <f t="shared" si="337"/>
        <v>Wireless Temperature Recorder, Merek : HIOKI, Model : LR 8510, SN : 210746055</v>
      </c>
      <c r="AF155" s="613" t="str">
        <f t="shared" si="337"/>
        <v>Wireless Temperature Recorder, Merek : HIOKI, Model : LR 8510, SN : 210746056</v>
      </c>
      <c r="AG155" s="603" t="str">
        <f t="shared" si="337"/>
        <v>Wireless Temperature Recorder, Merek : HIOKI, Model : LR 8510, SN : 200821396</v>
      </c>
      <c r="AH155" s="602" t="s">
        <v>368</v>
      </c>
      <c r="AI155" s="602" t="s">
        <v>369</v>
      </c>
      <c r="AJ155" s="602" t="s">
        <v>370</v>
      </c>
      <c r="AK155" s="543"/>
      <c r="AX155" s="578"/>
      <c r="AY155" s="579"/>
      <c r="AZ155" s="580"/>
      <c r="BB155" s="548"/>
      <c r="BD155" s="578"/>
      <c r="BE155" s="579"/>
      <c r="BF155" s="580"/>
      <c r="BH155" s="548"/>
      <c r="BJ155" s="578"/>
      <c r="BK155" s="579"/>
      <c r="BL155" s="580"/>
      <c r="BN155" s="548"/>
      <c r="BP155" s="578"/>
      <c r="BQ155" s="579"/>
      <c r="BR155" s="580"/>
      <c r="BT155" s="548"/>
      <c r="BV155" s="578"/>
      <c r="BW155" s="579"/>
      <c r="BX155" s="580"/>
    </row>
    <row r="156" spans="2:78" s="581" customFormat="1" ht="6.65" customHeight="1">
      <c r="B156" s="605"/>
      <c r="C156" s="606"/>
      <c r="D156" s="587"/>
      <c r="E156" s="607"/>
      <c r="F156" s="608"/>
      <c r="G156" s="608"/>
      <c r="H156" s="608"/>
      <c r="I156" s="608"/>
      <c r="J156" s="608"/>
      <c r="K156" s="608"/>
      <c r="L156" s="608"/>
      <c r="M156" s="608"/>
      <c r="N156" s="608"/>
      <c r="O156" s="609"/>
      <c r="P156" s="585"/>
      <c r="Q156" s="585"/>
      <c r="R156" s="585"/>
      <c r="T156" s="605"/>
      <c r="U156" s="614"/>
      <c r="V156" s="614"/>
      <c r="W156" s="614"/>
      <c r="X156" s="614"/>
      <c r="Y156" s="614"/>
      <c r="Z156" s="614"/>
      <c r="AA156" s="614"/>
      <c r="AB156" s="614"/>
      <c r="AC156" s="614"/>
      <c r="AD156" s="614"/>
      <c r="AE156" s="614"/>
      <c r="AF156" s="614"/>
      <c r="AG156" s="609"/>
      <c r="AH156" s="585"/>
      <c r="AI156" s="585"/>
      <c r="AJ156" s="585"/>
      <c r="AN156" s="588"/>
      <c r="AP156" s="589"/>
      <c r="AT156" s="588"/>
      <c r="AV156" s="589"/>
      <c r="AX156" s="590"/>
      <c r="AY156" s="591"/>
      <c r="AZ156" s="592"/>
      <c r="BD156" s="590"/>
      <c r="BE156" s="591"/>
      <c r="BF156" s="592"/>
      <c r="BJ156" s="590"/>
      <c r="BK156" s="591"/>
      <c r="BL156" s="592"/>
      <c r="BP156" s="590"/>
      <c r="BQ156" s="591"/>
      <c r="BR156" s="592"/>
      <c r="BV156" s="590"/>
      <c r="BW156" s="591"/>
      <c r="BX156" s="592"/>
      <c r="BZ156" s="589"/>
    </row>
    <row r="157" spans="2:78" ht="13">
      <c r="B157" s="693">
        <f t="shared" ref="B157:B165" si="338">B143</f>
        <v>-40</v>
      </c>
      <c r="C157" s="615"/>
      <c r="D157" s="542"/>
      <c r="E157" s="615"/>
      <c r="F157" s="695">
        <v>-2.58</v>
      </c>
      <c r="G157" s="695">
        <v>0.06</v>
      </c>
      <c r="H157" s="695">
        <v>0.11</v>
      </c>
      <c r="I157" s="695">
        <v>0.42</v>
      </c>
      <c r="J157" s="695">
        <v>0.28999999999999998</v>
      </c>
      <c r="K157" s="695"/>
      <c r="L157" s="695">
        <v>-2.62</v>
      </c>
      <c r="M157" s="695"/>
      <c r="N157" s="695">
        <v>-2.46</v>
      </c>
      <c r="O157" s="695">
        <v>-2.71</v>
      </c>
      <c r="P157" s="695">
        <f t="shared" ref="P157:P163" si="339">P143</f>
        <v>-1.7</v>
      </c>
      <c r="Q157" s="695"/>
      <c r="R157" s="695"/>
      <c r="S157" s="543"/>
      <c r="T157" s="693">
        <f t="shared" ref="T157:T165" si="340">T143</f>
        <v>-40</v>
      </c>
      <c r="U157" s="695"/>
      <c r="V157" s="695"/>
      <c r="W157" s="695"/>
      <c r="X157" s="695">
        <v>-2.54</v>
      </c>
      <c r="Y157" s="695">
        <v>0.11</v>
      </c>
      <c r="Z157" s="695">
        <v>0.11</v>
      </c>
      <c r="AA157" s="695">
        <v>0.42</v>
      </c>
      <c r="AB157" s="695">
        <v>0.31</v>
      </c>
      <c r="AC157" s="695"/>
      <c r="AD157" s="695">
        <v>-2.41</v>
      </c>
      <c r="AE157" s="695"/>
      <c r="AF157" s="695">
        <v>-2.44</v>
      </c>
      <c r="AG157" s="696">
        <v>-2.68</v>
      </c>
      <c r="AH157" s="695">
        <f t="shared" ref="AH157:AH163" si="341">AH143</f>
        <v>-1.7</v>
      </c>
      <c r="AI157" s="695"/>
      <c r="AJ157" s="695"/>
      <c r="AK157" s="543"/>
      <c r="AX157" s="576"/>
      <c r="AY157" s="576"/>
      <c r="BB157" s="548"/>
      <c r="BD157" s="576"/>
      <c r="BE157" s="576"/>
      <c r="BH157" s="548"/>
      <c r="BJ157" s="576"/>
      <c r="BK157" s="576"/>
      <c r="BN157" s="548"/>
      <c r="BP157" s="576"/>
      <c r="BQ157" s="576"/>
      <c r="BT157" s="548"/>
      <c r="BV157" s="576"/>
      <c r="BW157" s="576"/>
    </row>
    <row r="158" spans="2:78" ht="13">
      <c r="B158" s="693">
        <f t="shared" si="338"/>
        <v>-35</v>
      </c>
      <c r="C158" s="615"/>
      <c r="D158" s="542"/>
      <c r="E158" s="615"/>
      <c r="F158" s="695"/>
      <c r="G158" s="695">
        <v>0</v>
      </c>
      <c r="H158" s="695">
        <v>0.06</v>
      </c>
      <c r="I158" s="695">
        <v>0.41</v>
      </c>
      <c r="J158" s="695">
        <v>0.28999999999999998</v>
      </c>
      <c r="K158" s="695"/>
      <c r="L158" s="695"/>
      <c r="M158" s="695"/>
      <c r="N158" s="695"/>
      <c r="O158" s="695"/>
      <c r="P158" s="695">
        <f t="shared" si="339"/>
        <v>-1.4</v>
      </c>
      <c r="Q158" s="695"/>
      <c r="R158" s="695"/>
      <c r="S158" s="543"/>
      <c r="T158" s="693">
        <f t="shared" si="340"/>
        <v>-35</v>
      </c>
      <c r="U158" s="695"/>
      <c r="V158" s="695"/>
      <c r="W158" s="695"/>
      <c r="X158" s="695"/>
      <c r="Y158" s="695">
        <v>0.06</v>
      </c>
      <c r="Z158" s="695">
        <v>0.1</v>
      </c>
      <c r="AA158" s="695">
        <v>0.42</v>
      </c>
      <c r="AB158" s="695">
        <v>0.3</v>
      </c>
      <c r="AC158" s="695"/>
      <c r="AD158" s="695"/>
      <c r="AE158" s="695"/>
      <c r="AF158" s="695"/>
      <c r="AG158" s="696"/>
      <c r="AH158" s="695">
        <f t="shared" si="341"/>
        <v>-1.4</v>
      </c>
      <c r="AI158" s="695"/>
      <c r="AJ158" s="695"/>
      <c r="AK158" s="543"/>
      <c r="AX158" s="576"/>
      <c r="AY158" s="576"/>
      <c r="BB158" s="548"/>
      <c r="BD158" s="576"/>
      <c r="BE158" s="576"/>
      <c r="BH158" s="548"/>
      <c r="BJ158" s="576"/>
      <c r="BK158" s="576"/>
      <c r="BN158" s="548"/>
      <c r="BP158" s="576"/>
      <c r="BQ158" s="576"/>
      <c r="BT158" s="548"/>
      <c r="BV158" s="576"/>
      <c r="BW158" s="576"/>
    </row>
    <row r="159" spans="2:78" ht="13">
      <c r="B159" s="693">
        <f t="shared" si="338"/>
        <v>-30</v>
      </c>
      <c r="C159" s="615"/>
      <c r="D159" s="542"/>
      <c r="E159" s="615"/>
      <c r="F159" s="695"/>
      <c r="G159" s="695">
        <v>-0.01</v>
      </c>
      <c r="H159" s="695">
        <v>0.06</v>
      </c>
      <c r="I159" s="695">
        <v>0.42</v>
      </c>
      <c r="J159" s="695">
        <v>0.31</v>
      </c>
      <c r="K159" s="695"/>
      <c r="L159" s="695"/>
      <c r="M159" s="695"/>
      <c r="N159" s="695"/>
      <c r="O159" s="695"/>
      <c r="P159" s="695">
        <f t="shared" si="339"/>
        <v>-1.2</v>
      </c>
      <c r="Q159" s="695"/>
      <c r="R159" s="695"/>
      <c r="S159" s="543"/>
      <c r="T159" s="693">
        <f t="shared" si="340"/>
        <v>-30</v>
      </c>
      <c r="U159" s="695"/>
      <c r="V159" s="695"/>
      <c r="W159" s="695"/>
      <c r="X159" s="695"/>
      <c r="Y159" s="695">
        <v>0.05</v>
      </c>
      <c r="Z159" s="695">
        <v>0.1</v>
      </c>
      <c r="AA159" s="695">
        <v>0.44</v>
      </c>
      <c r="AB159" s="695">
        <v>0.3</v>
      </c>
      <c r="AC159" s="695"/>
      <c r="AD159" s="695"/>
      <c r="AE159" s="695"/>
      <c r="AF159" s="695"/>
      <c r="AG159" s="696"/>
      <c r="AH159" s="695">
        <f t="shared" si="341"/>
        <v>-1.2</v>
      </c>
      <c r="AI159" s="695"/>
      <c r="AJ159" s="695"/>
      <c r="AK159" s="543"/>
      <c r="AX159" s="576"/>
      <c r="AY159" s="576"/>
      <c r="BB159" s="548"/>
      <c r="BD159" s="576"/>
      <c r="BE159" s="576"/>
      <c r="BH159" s="548"/>
      <c r="BJ159" s="576"/>
      <c r="BK159" s="576"/>
      <c r="BN159" s="548"/>
      <c r="BP159" s="576"/>
      <c r="BQ159" s="576"/>
      <c r="BT159" s="548"/>
      <c r="BV159" s="576"/>
      <c r="BW159" s="576"/>
    </row>
    <row r="160" spans="2:78" ht="13">
      <c r="B160" s="693">
        <f t="shared" si="338"/>
        <v>-25</v>
      </c>
      <c r="C160" s="615"/>
      <c r="D160" s="542"/>
      <c r="E160" s="615"/>
      <c r="F160" s="695">
        <v>-1.65</v>
      </c>
      <c r="G160" s="695">
        <v>0.02</v>
      </c>
      <c r="H160" s="695">
        <v>0.08</v>
      </c>
      <c r="I160" s="695">
        <v>0.44</v>
      </c>
      <c r="J160" s="695">
        <v>0.32</v>
      </c>
      <c r="K160" s="695"/>
      <c r="L160" s="695">
        <v>-1.25</v>
      </c>
      <c r="M160" s="695"/>
      <c r="N160" s="695">
        <v>-1.57</v>
      </c>
      <c r="O160" s="695">
        <v>-1.69</v>
      </c>
      <c r="P160" s="695">
        <f t="shared" si="339"/>
        <v>-1.1000000000000001</v>
      </c>
      <c r="Q160" s="695"/>
      <c r="R160" s="695"/>
      <c r="S160" s="543"/>
      <c r="T160" s="693">
        <f t="shared" si="340"/>
        <v>-25</v>
      </c>
      <c r="U160" s="695"/>
      <c r="V160" s="695"/>
      <c r="W160" s="695"/>
      <c r="X160" s="695">
        <v>-1.6</v>
      </c>
      <c r="Y160" s="695">
        <v>7.0000000000000007E-2</v>
      </c>
      <c r="Z160" s="695">
        <v>0.12</v>
      </c>
      <c r="AA160" s="695">
        <v>0.46</v>
      </c>
      <c r="AB160" s="695">
        <v>0.33</v>
      </c>
      <c r="AC160" s="695"/>
      <c r="AD160" s="695">
        <v>-1.21</v>
      </c>
      <c r="AE160" s="695"/>
      <c r="AF160" s="695">
        <v>-1.56</v>
      </c>
      <c r="AG160" s="696">
        <v>-1.71</v>
      </c>
      <c r="AH160" s="695">
        <f t="shared" si="341"/>
        <v>-1.1000000000000001</v>
      </c>
      <c r="AI160" s="695"/>
      <c r="AJ160" s="695"/>
      <c r="AK160" s="543"/>
      <c r="AX160" s="576"/>
      <c r="AY160" s="576"/>
      <c r="BB160" s="548"/>
      <c r="BD160" s="576"/>
      <c r="BE160" s="576"/>
      <c r="BH160" s="548"/>
      <c r="BJ160" s="576"/>
      <c r="BK160" s="576"/>
      <c r="BN160" s="548"/>
      <c r="BP160" s="576"/>
      <c r="BQ160" s="576"/>
      <c r="BT160" s="548"/>
      <c r="BV160" s="576"/>
      <c r="BW160" s="576"/>
    </row>
    <row r="161" spans="2:78" ht="13">
      <c r="B161" s="693">
        <f t="shared" si="338"/>
        <v>-20</v>
      </c>
      <c r="C161" s="615">
        <v>-0.56999999999999995</v>
      </c>
      <c r="D161" s="542">
        <v>-0.47</v>
      </c>
      <c r="E161" s="741">
        <v>-0.41</v>
      </c>
      <c r="F161" s="695">
        <v>-1.42</v>
      </c>
      <c r="G161" s="695">
        <v>7.0000000000000007E-2</v>
      </c>
      <c r="H161" s="695">
        <v>0.11</v>
      </c>
      <c r="I161" s="695">
        <v>0.46</v>
      </c>
      <c r="J161" s="695">
        <v>0.34</v>
      </c>
      <c r="K161" s="695">
        <v>0.54</v>
      </c>
      <c r="L161" s="695">
        <v>-0.94</v>
      </c>
      <c r="M161" s="695">
        <v>0.54</v>
      </c>
      <c r="N161" s="695">
        <v>-1.29</v>
      </c>
      <c r="O161" s="695">
        <v>-1.4</v>
      </c>
      <c r="P161" s="695">
        <f t="shared" si="339"/>
        <v>-1.1000000000000001</v>
      </c>
      <c r="Q161" s="695">
        <v>-0.15</v>
      </c>
      <c r="R161" s="695">
        <v>-1.8</v>
      </c>
      <c r="S161" s="543"/>
      <c r="T161" s="693">
        <f t="shared" si="340"/>
        <v>-20</v>
      </c>
      <c r="U161" s="695">
        <v>-0.63</v>
      </c>
      <c r="V161" s="695">
        <v>-0.43</v>
      </c>
      <c r="W161" s="695">
        <v>-0.45</v>
      </c>
      <c r="X161" s="695">
        <v>-1.37</v>
      </c>
      <c r="Y161" s="695">
        <v>1.0999999999999999E-2</v>
      </c>
      <c r="Z161" s="695">
        <v>0.15</v>
      </c>
      <c r="AA161" s="695">
        <v>0.48</v>
      </c>
      <c r="AB161" s="695">
        <v>0.35</v>
      </c>
      <c r="AC161" s="695">
        <v>0.57999999999999996</v>
      </c>
      <c r="AD161" s="695">
        <v>-0.91</v>
      </c>
      <c r="AE161" s="695">
        <v>0.57999999999999996</v>
      </c>
      <c r="AF161" s="695">
        <v>-1.27</v>
      </c>
      <c r="AG161" s="696">
        <v>-1.43</v>
      </c>
      <c r="AH161" s="695">
        <f t="shared" si="341"/>
        <v>-1.1000000000000001</v>
      </c>
      <c r="AI161" s="695">
        <v>-0.15</v>
      </c>
      <c r="AJ161" s="695">
        <v>-1.8</v>
      </c>
      <c r="AK161" s="543"/>
      <c r="AX161" s="576"/>
      <c r="AY161" s="576"/>
      <c r="BB161" s="548"/>
      <c r="BD161" s="576"/>
      <c r="BE161" s="576"/>
      <c r="BH161" s="548"/>
      <c r="BJ161" s="576"/>
      <c r="BK161" s="576"/>
      <c r="BN161" s="548"/>
      <c r="BP161" s="576"/>
      <c r="BQ161" s="576"/>
      <c r="BT161" s="548"/>
      <c r="BV161" s="576"/>
      <c r="BW161" s="576"/>
    </row>
    <row r="162" spans="2:78" ht="13">
      <c r="B162" s="693">
        <f t="shared" si="338"/>
        <v>-15</v>
      </c>
      <c r="C162" s="615">
        <v>-0.52</v>
      </c>
      <c r="D162" s="542">
        <v>-0.4</v>
      </c>
      <c r="E162" s="741">
        <v>-0.34</v>
      </c>
      <c r="F162" s="695">
        <v>-1.19</v>
      </c>
      <c r="G162" s="695">
        <v>0.12</v>
      </c>
      <c r="H162" s="695">
        <v>0.15</v>
      </c>
      <c r="I162" s="695">
        <v>0.48</v>
      </c>
      <c r="J162" s="695">
        <v>0.36</v>
      </c>
      <c r="K162" s="695"/>
      <c r="L162" s="695">
        <v>-0.7</v>
      </c>
      <c r="M162" s="695"/>
      <c r="N162" s="695">
        <v>-1.04</v>
      </c>
      <c r="O162" s="695">
        <v>-1.1399999999999999</v>
      </c>
      <c r="P162" s="695">
        <f t="shared" si="339"/>
        <v>-1.1000000000000001</v>
      </c>
      <c r="Q162" s="695">
        <v>-0.1</v>
      </c>
      <c r="R162" s="695">
        <v>-1.52</v>
      </c>
      <c r="S162" s="543"/>
      <c r="T162" s="693">
        <f t="shared" si="340"/>
        <v>-15</v>
      </c>
      <c r="U162" s="695">
        <v>-0.56000000000000005</v>
      </c>
      <c r="V162" s="695">
        <v>-0.37</v>
      </c>
      <c r="W162" s="695">
        <v>-0.35</v>
      </c>
      <c r="X162" s="695">
        <v>-1.1399999999999999</v>
      </c>
      <c r="Y162" s="695">
        <v>0.15</v>
      </c>
      <c r="Z162" s="695">
        <v>0.18</v>
      </c>
      <c r="AA162" s="695">
        <v>0.49</v>
      </c>
      <c r="AB162" s="695">
        <v>0.38</v>
      </c>
      <c r="AC162" s="695"/>
      <c r="AD162" s="695">
        <v>-0.65</v>
      </c>
      <c r="AE162" s="695"/>
      <c r="AF162" s="695">
        <v>-1.01</v>
      </c>
      <c r="AG162" s="696">
        <v>-1.17</v>
      </c>
      <c r="AH162" s="695">
        <f t="shared" si="341"/>
        <v>-1.1000000000000001</v>
      </c>
      <c r="AI162" s="695">
        <v>-0.1</v>
      </c>
      <c r="AJ162" s="695">
        <v>-1.52</v>
      </c>
      <c r="AK162" s="543"/>
      <c r="AX162" s="576"/>
      <c r="AY162" s="576"/>
      <c r="BB162" s="548"/>
      <c r="BD162" s="576"/>
      <c r="BE162" s="576"/>
      <c r="BH162" s="548"/>
      <c r="BJ162" s="576"/>
      <c r="BK162" s="576"/>
      <c r="BN162" s="548"/>
      <c r="BP162" s="576"/>
      <c r="BQ162" s="576"/>
      <c r="BT162" s="548"/>
      <c r="BV162" s="576"/>
      <c r="BW162" s="576"/>
    </row>
    <row r="163" spans="2:78" ht="13">
      <c r="B163" s="693">
        <f t="shared" si="338"/>
        <v>-10</v>
      </c>
      <c r="C163" s="615">
        <v>-0.46</v>
      </c>
      <c r="D163" s="542">
        <v>-0.34</v>
      </c>
      <c r="E163" s="741">
        <v>-0.27</v>
      </c>
      <c r="F163" s="695">
        <v>-0.94</v>
      </c>
      <c r="G163" s="695">
        <v>0.16</v>
      </c>
      <c r="H163" s="695">
        <v>0.18</v>
      </c>
      <c r="I163" s="695">
        <v>0.49</v>
      </c>
      <c r="J163" s="695">
        <v>0.38</v>
      </c>
      <c r="K163" s="695">
        <v>0.53</v>
      </c>
      <c r="L163" s="695">
        <v>-0.51</v>
      </c>
      <c r="M163" s="695">
        <v>0.53</v>
      </c>
      <c r="N163" s="695">
        <v>-0.84</v>
      </c>
      <c r="O163" s="695">
        <v>-0.91</v>
      </c>
      <c r="P163" s="695">
        <f t="shared" si="339"/>
        <v>-1.2</v>
      </c>
      <c r="Q163" s="695">
        <v>-0.05</v>
      </c>
      <c r="R163" s="695">
        <v>-1.26</v>
      </c>
      <c r="S163" s="543"/>
      <c r="T163" s="693">
        <f t="shared" si="340"/>
        <v>-10</v>
      </c>
      <c r="U163" s="695">
        <v>-0.49</v>
      </c>
      <c r="V163" s="695">
        <v>-0.31</v>
      </c>
      <c r="W163" s="695">
        <v>-0.31</v>
      </c>
      <c r="X163" s="695">
        <v>-0.9</v>
      </c>
      <c r="Y163" s="695">
        <v>0.18</v>
      </c>
      <c r="Z163" s="695">
        <v>0.2</v>
      </c>
      <c r="AA163" s="695">
        <v>0.5</v>
      </c>
      <c r="AB163" s="695">
        <v>0.4</v>
      </c>
      <c r="AC163" s="695">
        <v>0.55000000000000004</v>
      </c>
      <c r="AD163" s="695">
        <v>-0.46</v>
      </c>
      <c r="AE163" s="695">
        <v>0.55000000000000004</v>
      </c>
      <c r="AF163" s="695">
        <v>-0.8</v>
      </c>
      <c r="AG163" s="696">
        <v>-0.94</v>
      </c>
      <c r="AH163" s="695">
        <f t="shared" si="341"/>
        <v>-1.2</v>
      </c>
      <c r="AI163" s="695">
        <v>-0.05</v>
      </c>
      <c r="AJ163" s="695">
        <v>-1.26</v>
      </c>
      <c r="AK163" s="543"/>
      <c r="AX163" s="576"/>
      <c r="AY163" s="576"/>
      <c r="BB163" s="548"/>
      <c r="BD163" s="576"/>
      <c r="BE163" s="576"/>
      <c r="BH163" s="548"/>
      <c r="BJ163" s="576"/>
      <c r="BK163" s="576"/>
      <c r="BN163" s="548"/>
      <c r="BP163" s="576"/>
      <c r="BQ163" s="576"/>
      <c r="BT163" s="548"/>
      <c r="BV163" s="576"/>
      <c r="BW163" s="576"/>
    </row>
    <row r="164" spans="2:78" ht="13">
      <c r="B164" s="693">
        <f t="shared" si="338"/>
        <v>-5</v>
      </c>
      <c r="C164" s="615"/>
      <c r="D164" s="542"/>
      <c r="E164" s="741"/>
      <c r="F164" s="695"/>
      <c r="G164" s="695">
        <v>0.17</v>
      </c>
      <c r="H164" s="695">
        <v>0.18</v>
      </c>
      <c r="I164" s="695">
        <v>0.47</v>
      </c>
      <c r="J164" s="695">
        <v>0.39</v>
      </c>
      <c r="K164" s="695"/>
      <c r="L164" s="695"/>
      <c r="M164" s="695"/>
      <c r="N164" s="695"/>
      <c r="O164" s="695"/>
      <c r="P164" s="695"/>
      <c r="Q164" s="695"/>
      <c r="R164" s="695"/>
      <c r="S164" s="543"/>
      <c r="T164" s="693">
        <f t="shared" si="340"/>
        <v>-5</v>
      </c>
      <c r="U164" s="695"/>
      <c r="V164" s="695"/>
      <c r="W164" s="695"/>
      <c r="X164" s="695"/>
      <c r="Y164" s="695">
        <v>0.19</v>
      </c>
      <c r="Z164" s="695">
        <v>0.2</v>
      </c>
      <c r="AA164" s="695">
        <v>0.49</v>
      </c>
      <c r="AB164" s="695">
        <v>0.4</v>
      </c>
      <c r="AC164" s="695"/>
      <c r="AD164" s="695"/>
      <c r="AE164" s="695"/>
      <c r="AF164" s="695"/>
      <c r="AG164" s="696"/>
      <c r="AH164" s="695"/>
      <c r="AI164" s="695"/>
      <c r="AJ164" s="695"/>
      <c r="AK164" s="543"/>
      <c r="AX164" s="576"/>
      <c r="AY164" s="576"/>
      <c r="BB164" s="548"/>
      <c r="BD164" s="576"/>
      <c r="BE164" s="576"/>
      <c r="BH164" s="548"/>
      <c r="BJ164" s="576"/>
      <c r="BK164" s="576"/>
      <c r="BN164" s="548"/>
      <c r="BP164" s="576"/>
      <c r="BQ164" s="576"/>
      <c r="BT164" s="548"/>
      <c r="BV164" s="576"/>
      <c r="BW164" s="576"/>
    </row>
    <row r="165" spans="2:78" ht="13">
      <c r="B165" s="693">
        <f t="shared" si="338"/>
        <v>0</v>
      </c>
      <c r="C165" s="615">
        <v>-0.34</v>
      </c>
      <c r="D165" s="542">
        <v>-0.22</v>
      </c>
      <c r="E165" s="741">
        <v>-0.16</v>
      </c>
      <c r="F165" s="695">
        <v>-0.3</v>
      </c>
      <c r="G165" s="695">
        <v>0.14000000000000001</v>
      </c>
      <c r="H165" s="695">
        <v>0.16</v>
      </c>
      <c r="I165" s="695">
        <v>0.43</v>
      </c>
      <c r="J165" s="695">
        <v>0.39</v>
      </c>
      <c r="K165" s="695">
        <v>0.51</v>
      </c>
      <c r="L165" s="695">
        <v>-0.27</v>
      </c>
      <c r="M165" s="695">
        <v>0.51</v>
      </c>
      <c r="N165" s="695">
        <v>-0.56999999999999995</v>
      </c>
      <c r="O165" s="695">
        <v>-0.51</v>
      </c>
      <c r="P165" s="695">
        <f>P151</f>
        <v>-1.4</v>
      </c>
      <c r="Q165" s="695">
        <v>0.03</v>
      </c>
      <c r="R165" s="695">
        <v>-0.79</v>
      </c>
      <c r="S165" s="543"/>
      <c r="T165" s="693">
        <f t="shared" si="340"/>
        <v>0</v>
      </c>
      <c r="U165" s="695">
        <v>-0.35</v>
      </c>
      <c r="V165" s="695">
        <v>-0.19</v>
      </c>
      <c r="W165" s="695">
        <v>-0.21</v>
      </c>
      <c r="X165" s="695">
        <v>-0.27</v>
      </c>
      <c r="Y165" s="695">
        <v>0.16</v>
      </c>
      <c r="Z165" s="695">
        <v>0.19</v>
      </c>
      <c r="AA165" s="695">
        <v>0.45</v>
      </c>
      <c r="AB165" s="695">
        <v>0.38</v>
      </c>
      <c r="AC165" s="695">
        <v>0.52</v>
      </c>
      <c r="AD165" s="695">
        <v>-0.25</v>
      </c>
      <c r="AE165" s="695">
        <v>0.52</v>
      </c>
      <c r="AF165" s="695">
        <v>-0.61</v>
      </c>
      <c r="AG165" s="696">
        <v>-0.53</v>
      </c>
      <c r="AH165" s="695">
        <f>AH151</f>
        <v>-1.4</v>
      </c>
      <c r="AI165" s="695">
        <v>0.03</v>
      </c>
      <c r="AJ165" s="695">
        <v>-0.79</v>
      </c>
      <c r="AK165" s="543"/>
      <c r="AX165" s="576"/>
      <c r="AY165" s="576"/>
      <c r="BB165" s="548"/>
      <c r="BD165" s="576"/>
      <c r="BE165" s="576"/>
      <c r="BH165" s="548"/>
      <c r="BJ165" s="576"/>
      <c r="BK165" s="576"/>
      <c r="BN165" s="548"/>
      <c r="BP165" s="576"/>
      <c r="BQ165" s="576"/>
      <c r="BT165" s="548"/>
      <c r="BV165" s="576"/>
      <c r="BW165" s="576"/>
    </row>
    <row r="166" spans="2:78" s="743" customFormat="1" ht="13">
      <c r="B166" s="706" t="s">
        <v>371</v>
      </c>
      <c r="C166" s="707">
        <v>0.34</v>
      </c>
      <c r="D166" s="707">
        <v>0.56000000000000005</v>
      </c>
      <c r="E166" s="703">
        <v>0.28000000000000003</v>
      </c>
      <c r="F166" s="703">
        <v>0.09</v>
      </c>
      <c r="G166" s="703">
        <v>0.13</v>
      </c>
      <c r="H166" s="703">
        <v>0.1</v>
      </c>
      <c r="I166" s="703">
        <v>0.1</v>
      </c>
      <c r="J166" s="703">
        <v>0.09</v>
      </c>
      <c r="K166" s="703">
        <v>0.79</v>
      </c>
      <c r="L166" s="703">
        <v>0.09</v>
      </c>
      <c r="M166" s="703">
        <v>0.79</v>
      </c>
      <c r="N166" s="703">
        <v>7.0000000000000007E-2</v>
      </c>
      <c r="O166" s="703">
        <v>0.08</v>
      </c>
      <c r="P166" s="703">
        <f>P152</f>
        <v>0.2</v>
      </c>
      <c r="Q166" s="703">
        <v>0.22</v>
      </c>
      <c r="R166" s="703">
        <v>0.77</v>
      </c>
      <c r="T166" s="742" t="s">
        <v>371</v>
      </c>
      <c r="U166" s="703">
        <v>0.34</v>
      </c>
      <c r="V166" s="703">
        <v>0.56000000000000005</v>
      </c>
      <c r="W166" s="703">
        <v>0.28000000000000003</v>
      </c>
      <c r="X166" s="703">
        <v>0.1</v>
      </c>
      <c r="Y166" s="703">
        <v>0.1</v>
      </c>
      <c r="Z166" s="703">
        <v>0.1</v>
      </c>
      <c r="AA166" s="703">
        <v>0.12</v>
      </c>
      <c r="AB166" s="703">
        <v>0.09</v>
      </c>
      <c r="AC166" s="703">
        <v>0.79</v>
      </c>
      <c r="AD166" s="703">
        <v>0.1</v>
      </c>
      <c r="AE166" s="703">
        <v>0.79</v>
      </c>
      <c r="AF166" s="703">
        <v>7.0000000000000007E-2</v>
      </c>
      <c r="AG166" s="703">
        <v>0.08</v>
      </c>
      <c r="AH166" s="703">
        <f>AH152</f>
        <v>0.2</v>
      </c>
      <c r="AI166" s="703">
        <v>0.22</v>
      </c>
      <c r="AJ166" s="703">
        <v>0.77</v>
      </c>
      <c r="AN166" s="744"/>
      <c r="AP166" s="745"/>
      <c r="AT166" s="744"/>
      <c r="AV166" s="745"/>
      <c r="AX166" s="746"/>
      <c r="AY166" s="746"/>
      <c r="AZ166" s="744"/>
      <c r="BD166" s="746"/>
      <c r="BE166" s="746"/>
      <c r="BF166" s="744"/>
      <c r="BJ166" s="746"/>
      <c r="BK166" s="746"/>
      <c r="BL166" s="744"/>
      <c r="BP166" s="746"/>
      <c r="BQ166" s="746"/>
      <c r="BR166" s="744"/>
      <c r="BV166" s="746"/>
      <c r="BW166" s="746"/>
      <c r="BX166" s="744"/>
      <c r="BZ166" s="745"/>
    </row>
    <row r="167" spans="2:78" s="543" customFormat="1">
      <c r="V167" s="544"/>
      <c r="W167" s="544"/>
      <c r="X167" s="544"/>
      <c r="Y167" s="544"/>
      <c r="Z167" s="544"/>
      <c r="AA167" s="544"/>
      <c r="AB167" s="544"/>
      <c r="AC167" s="544"/>
      <c r="AD167" s="544"/>
      <c r="AG167" s="697"/>
      <c r="AZ167" s="544"/>
      <c r="BF167" s="544"/>
      <c r="BL167" s="544"/>
      <c r="BR167" s="544"/>
      <c r="BX167" s="544"/>
    </row>
    <row r="168" spans="2:78" s="543" customFormat="1">
      <c r="V168" s="544"/>
      <c r="W168" s="544"/>
      <c r="X168" s="544"/>
      <c r="Y168" s="544"/>
      <c r="Z168" s="544"/>
      <c r="AA168" s="544"/>
      <c r="AB168" s="544"/>
      <c r="AC168" s="544"/>
      <c r="AD168" s="544"/>
      <c r="AG168" s="697"/>
      <c r="AZ168" s="544"/>
      <c r="BF168" s="544"/>
      <c r="BL168" s="544"/>
      <c r="BR168" s="544"/>
      <c r="BX168" s="544"/>
    </row>
    <row r="169" spans="2:78" ht="97.5" customHeight="1">
      <c r="B169" s="599" t="s">
        <v>363</v>
      </c>
      <c r="C169" s="601" t="str">
        <f>U155</f>
        <v>Thermocouple Data Logger, Merek : MADGETECH, Model : OctTemp 2000, SN : P40270</v>
      </c>
      <c r="D169" s="613" t="str">
        <f>V155</f>
        <v>Thermocouple Data Logger, Merek : MADGETECH, Model : OctTemp 2000, SN : P41878</v>
      </c>
      <c r="E169" s="601" t="str">
        <f>W155</f>
        <v>Mobile Corder, Merek : Yokogawa, Model : GP 10, SN : S5T810599</v>
      </c>
      <c r="F169" s="602" t="str">
        <f t="shared" ref="F169:O169" si="342">F155</f>
        <v>Wireless Temperature Recorder, Merek : HIOKI, Model : LR 8510, SN : 200936000</v>
      </c>
      <c r="G169" s="602" t="str">
        <f t="shared" si="342"/>
        <v>Wireless Temperature Recorder, Merek : HIOKI, Model : LR 8510, SN : 200936001</v>
      </c>
      <c r="H169" s="602" t="str">
        <f t="shared" si="342"/>
        <v>Wireless Temperature Recorder, Merek : HIOKI, Model : LR 8510, SN : 200821397</v>
      </c>
      <c r="I169" s="602" t="str">
        <f t="shared" si="342"/>
        <v>Wireless Temperature Recorder, Merek : HIOKI, Model : LR 8510, SN : 210411983</v>
      </c>
      <c r="J169" s="602" t="str">
        <f t="shared" si="342"/>
        <v>Wireless Temperature Recorder, Merek : HIOKI, Model : LR 8510, SN : 210411984</v>
      </c>
      <c r="K169" s="602" t="str">
        <f t="shared" si="342"/>
        <v>Wireless Temperature Recorder, Merek : HIOKI, Model : LR 8510, SN : 210411985</v>
      </c>
      <c r="L169" s="602" t="str">
        <f t="shared" si="342"/>
        <v>Wireless Temperature Recorder, Merek : HIOKI, Model : LR 8510, SN : 210746054</v>
      </c>
      <c r="M169" s="602" t="str">
        <f t="shared" si="342"/>
        <v>Wireless Temperature Recorder, Merek : HIOKI, Model : LR 8510, SN : 210746055</v>
      </c>
      <c r="N169" s="602" t="str">
        <f t="shared" si="342"/>
        <v>Wireless Temperature Recorder, Merek : HIOKI, Model : LR 8510, SN : 210746056</v>
      </c>
      <c r="O169" s="602" t="str">
        <f t="shared" si="342"/>
        <v>Wireless Temperature Recorder, Merek : HIOKI, Model : LR 8510, SN : 200821396</v>
      </c>
      <c r="P169" s="602" t="s">
        <v>368</v>
      </c>
      <c r="Q169" s="602" t="s">
        <v>369</v>
      </c>
      <c r="R169" s="602" t="s">
        <v>370</v>
      </c>
      <c r="S169" s="543"/>
      <c r="T169" s="599" t="s">
        <v>364</v>
      </c>
      <c r="U169" s="613" t="str">
        <f>C169</f>
        <v>Thermocouple Data Logger, Merek : MADGETECH, Model : OctTemp 2000, SN : P40270</v>
      </c>
      <c r="V169" s="613" t="str">
        <f>D169</f>
        <v>Thermocouple Data Logger, Merek : MADGETECH, Model : OctTemp 2000, SN : P41878</v>
      </c>
      <c r="W169" s="616" t="str">
        <f>E169</f>
        <v>Mobile Corder, Merek : Yokogawa, Model : GP 10, SN : S5T810599</v>
      </c>
      <c r="X169" s="613" t="str">
        <f t="shared" ref="X169:AG169" si="343">X155</f>
        <v>Wireless Temperature Recorder, Merek : HIOKI, Model : LR 8510, SN : 200936000</v>
      </c>
      <c r="Y169" s="613" t="str">
        <f t="shared" si="343"/>
        <v>Wireless Temperature Recorder, Merek : HIOKI, Model : LR 8510, SN : 200936001</v>
      </c>
      <c r="Z169" s="613" t="str">
        <f t="shared" si="343"/>
        <v>Wireless Temperature Recorder, Merek : HIOKI, Model : LR 8510, SN : 200821397</v>
      </c>
      <c r="AA169" s="613" t="str">
        <f t="shared" si="343"/>
        <v>Wireless Temperature Recorder, Merek : HIOKI, Model : LR 8510, SN : 210411983</v>
      </c>
      <c r="AB169" s="613" t="str">
        <f t="shared" si="343"/>
        <v>Wireless Temperature Recorder, Merek : HIOKI, Model : LR 8510, SN : 210411984</v>
      </c>
      <c r="AC169" s="613" t="str">
        <f t="shared" si="343"/>
        <v>Wireless Temperature Recorder, Merek : HIOKI, Model : LR 8510, SN : 210411985</v>
      </c>
      <c r="AD169" s="613" t="str">
        <f t="shared" si="343"/>
        <v>Wireless Temperature Recorder, Merek : HIOKI, Model : LR 8510, SN : 210746054</v>
      </c>
      <c r="AE169" s="613" t="str">
        <f t="shared" si="343"/>
        <v>Wireless Temperature Recorder, Merek : HIOKI, Model : LR 8510, SN : 210746055</v>
      </c>
      <c r="AF169" s="613" t="str">
        <f t="shared" si="343"/>
        <v>Wireless Temperature Recorder, Merek : HIOKI, Model : LR 8510, SN : 210746056</v>
      </c>
      <c r="AG169" s="603" t="str">
        <f t="shared" si="343"/>
        <v>Wireless Temperature Recorder, Merek : HIOKI, Model : LR 8510, SN : 200821396</v>
      </c>
      <c r="AH169" s="602" t="s">
        <v>368</v>
      </c>
      <c r="AI169" s="602" t="s">
        <v>369</v>
      </c>
      <c r="AJ169" s="602" t="s">
        <v>370</v>
      </c>
      <c r="AK169" s="543"/>
      <c r="AX169" s="578"/>
      <c r="AY169" s="579"/>
      <c r="AZ169" s="580"/>
      <c r="BB169" s="548"/>
      <c r="BD169" s="578"/>
      <c r="BE169" s="579"/>
      <c r="BF169" s="580"/>
      <c r="BH169" s="548"/>
      <c r="BJ169" s="578"/>
      <c r="BK169" s="579"/>
      <c r="BL169" s="580"/>
      <c r="BN169" s="548"/>
      <c r="BP169" s="578"/>
      <c r="BQ169" s="579"/>
      <c r="BR169" s="580"/>
      <c r="BT169" s="548"/>
      <c r="BV169" s="578"/>
      <c r="BW169" s="579"/>
      <c r="BX169" s="580"/>
    </row>
    <row r="170" spans="2:78" s="581" customFormat="1" ht="6" customHeight="1">
      <c r="B170" s="605"/>
      <c r="C170" s="607"/>
      <c r="D170" s="614"/>
      <c r="E170" s="607"/>
      <c r="F170" s="608"/>
      <c r="G170" s="608"/>
      <c r="H170" s="608"/>
      <c r="I170" s="608"/>
      <c r="J170" s="608"/>
      <c r="K170" s="608"/>
      <c r="L170" s="608"/>
      <c r="M170" s="608"/>
      <c r="N170" s="608"/>
      <c r="O170" s="608"/>
      <c r="P170" s="585"/>
      <c r="Q170" s="585"/>
      <c r="R170" s="585"/>
      <c r="T170" s="605"/>
      <c r="U170" s="614"/>
      <c r="V170" s="614"/>
      <c r="W170" s="617"/>
      <c r="X170" s="614"/>
      <c r="Y170" s="614"/>
      <c r="Z170" s="614"/>
      <c r="AA170" s="614"/>
      <c r="AB170" s="614"/>
      <c r="AC170" s="614"/>
      <c r="AD170" s="614"/>
      <c r="AE170" s="614"/>
      <c r="AF170" s="614"/>
      <c r="AG170" s="609"/>
      <c r="AH170" s="585"/>
      <c r="AI170" s="585"/>
      <c r="AJ170" s="585"/>
      <c r="AN170" s="588"/>
      <c r="AP170" s="589"/>
      <c r="AT170" s="588"/>
      <c r="AV170" s="589"/>
      <c r="AX170" s="590"/>
      <c r="AY170" s="591"/>
      <c r="AZ170" s="592"/>
      <c r="BD170" s="590"/>
      <c r="BE170" s="591"/>
      <c r="BF170" s="592"/>
      <c r="BJ170" s="590"/>
      <c r="BK170" s="591"/>
      <c r="BL170" s="592"/>
      <c r="BP170" s="590"/>
      <c r="BQ170" s="591"/>
      <c r="BR170" s="592"/>
      <c r="BV170" s="590"/>
      <c r="BW170" s="591"/>
      <c r="BX170" s="592"/>
      <c r="BZ170" s="589"/>
    </row>
    <row r="171" spans="2:78" ht="13">
      <c r="B171" s="693">
        <f t="shared" ref="B171:B179" si="344">B157</f>
        <v>-40</v>
      </c>
      <c r="C171" s="666"/>
      <c r="D171" s="666"/>
      <c r="E171" s="666"/>
      <c r="F171" s="695">
        <v>-2.5299999999999998</v>
      </c>
      <c r="G171" s="695">
        <v>0.12</v>
      </c>
      <c r="H171" s="695">
        <v>0.15</v>
      </c>
      <c r="I171" s="695">
        <v>0.39</v>
      </c>
      <c r="J171" s="695">
        <v>0.32</v>
      </c>
      <c r="K171" s="695"/>
      <c r="L171" s="695">
        <v>-2.36</v>
      </c>
      <c r="M171" s="695"/>
      <c r="N171" s="695">
        <v>-2.36</v>
      </c>
      <c r="O171" s="695">
        <v>-2.54</v>
      </c>
      <c r="P171" s="695">
        <f t="shared" ref="P171:P177" si="345">P157</f>
        <v>-1.7</v>
      </c>
      <c r="Q171" s="695"/>
      <c r="R171" s="695"/>
      <c r="S171" s="543"/>
      <c r="T171" s="693">
        <f t="shared" ref="T171:T179" si="346">T157</f>
        <v>-40</v>
      </c>
      <c r="U171" s="542"/>
      <c r="V171" s="695"/>
      <c r="W171" s="704"/>
      <c r="X171" s="695">
        <v>-2.54</v>
      </c>
      <c r="Y171" s="695">
        <v>0.19</v>
      </c>
      <c r="Z171" s="695">
        <v>0.19</v>
      </c>
      <c r="AA171" s="695">
        <v>0.44</v>
      </c>
      <c r="AB171" s="695">
        <v>0.32</v>
      </c>
      <c r="AC171" s="695"/>
      <c r="AD171" s="695">
        <v>-2.39</v>
      </c>
      <c r="AE171" s="695"/>
      <c r="AF171" s="695">
        <v>-2.2799999999999998</v>
      </c>
      <c r="AG171" s="696">
        <v>-2.75</v>
      </c>
      <c r="AH171" s="695">
        <f t="shared" ref="AH171:AH177" si="347">AH157</f>
        <v>-1.7</v>
      </c>
      <c r="AI171" s="695"/>
      <c r="AJ171" s="695"/>
      <c r="AK171" s="543"/>
      <c r="AX171" s="576"/>
      <c r="AY171" s="576"/>
      <c r="BB171" s="548"/>
      <c r="BD171" s="576"/>
      <c r="BE171" s="576"/>
      <c r="BH171" s="548"/>
      <c r="BJ171" s="576"/>
      <c r="BK171" s="576"/>
      <c r="BN171" s="548"/>
      <c r="BP171" s="576"/>
      <c r="BQ171" s="576"/>
      <c r="BT171" s="548"/>
      <c r="BV171" s="576"/>
      <c r="BW171" s="576"/>
    </row>
    <row r="172" spans="2:78" ht="13">
      <c r="B172" s="693">
        <f t="shared" si="344"/>
        <v>-35</v>
      </c>
      <c r="C172" s="666"/>
      <c r="D172" s="666"/>
      <c r="E172" s="666"/>
      <c r="F172" s="695"/>
      <c r="G172" s="695">
        <v>7.0000000000000007E-2</v>
      </c>
      <c r="H172" s="695">
        <v>0.12</v>
      </c>
      <c r="I172" s="695">
        <v>0.4</v>
      </c>
      <c r="J172" s="695">
        <v>0.32</v>
      </c>
      <c r="K172" s="695"/>
      <c r="L172" s="695"/>
      <c r="M172" s="695"/>
      <c r="N172" s="695"/>
      <c r="O172" s="695"/>
      <c r="P172" s="695">
        <f t="shared" si="345"/>
        <v>-1.4</v>
      </c>
      <c r="Q172" s="695"/>
      <c r="R172" s="695"/>
      <c r="S172" s="543"/>
      <c r="T172" s="693">
        <f t="shared" si="346"/>
        <v>-35</v>
      </c>
      <c r="U172" s="542"/>
      <c r="V172" s="695"/>
      <c r="W172" s="704"/>
      <c r="X172" s="695"/>
      <c r="Y172" s="695">
        <v>0.14000000000000001</v>
      </c>
      <c r="Z172" s="695">
        <v>0.16</v>
      </c>
      <c r="AA172" s="695">
        <v>0.43</v>
      </c>
      <c r="AB172" s="695">
        <v>0.32</v>
      </c>
      <c r="AC172" s="695"/>
      <c r="AD172" s="695"/>
      <c r="AE172" s="695"/>
      <c r="AF172" s="695"/>
      <c r="AG172" s="696"/>
      <c r="AH172" s="695">
        <f t="shared" si="347"/>
        <v>-1.4</v>
      </c>
      <c r="AI172" s="695"/>
      <c r="AJ172" s="695"/>
      <c r="AK172" s="543"/>
      <c r="AX172" s="576"/>
      <c r="AY172" s="576"/>
      <c r="BB172" s="548"/>
      <c r="BD172" s="576"/>
      <c r="BE172" s="576"/>
      <c r="BH172" s="548"/>
      <c r="BJ172" s="576"/>
      <c r="BK172" s="576"/>
      <c r="BN172" s="548"/>
      <c r="BP172" s="576"/>
      <c r="BQ172" s="576"/>
      <c r="BT172" s="548"/>
      <c r="BV172" s="576"/>
      <c r="BW172" s="576"/>
    </row>
    <row r="173" spans="2:78" ht="13">
      <c r="B173" s="693">
        <f t="shared" si="344"/>
        <v>-30</v>
      </c>
      <c r="C173" s="666"/>
      <c r="D173" s="666"/>
      <c r="E173" s="666"/>
      <c r="F173" s="695"/>
      <c r="G173" s="695">
        <v>0.06</v>
      </c>
      <c r="H173" s="695">
        <v>0.12</v>
      </c>
      <c r="I173" s="695">
        <v>0.41</v>
      </c>
      <c r="J173" s="695">
        <v>0.33</v>
      </c>
      <c r="K173" s="695"/>
      <c r="L173" s="695"/>
      <c r="M173" s="695"/>
      <c r="N173" s="695"/>
      <c r="O173" s="695"/>
      <c r="P173" s="695">
        <f t="shared" si="345"/>
        <v>-1.2</v>
      </c>
      <c r="Q173" s="695"/>
      <c r="R173" s="695"/>
      <c r="S173" s="543"/>
      <c r="T173" s="693">
        <f t="shared" si="346"/>
        <v>-30</v>
      </c>
      <c r="U173" s="542"/>
      <c r="V173" s="695"/>
      <c r="W173" s="704"/>
      <c r="X173" s="695"/>
      <c r="Y173" s="695">
        <v>0.14000000000000001</v>
      </c>
      <c r="Z173" s="695">
        <v>0.15</v>
      </c>
      <c r="AA173" s="695">
        <v>0.43</v>
      </c>
      <c r="AB173" s="695">
        <v>0.33</v>
      </c>
      <c r="AC173" s="695"/>
      <c r="AD173" s="695"/>
      <c r="AE173" s="695"/>
      <c r="AF173" s="695"/>
      <c r="AG173" s="696"/>
      <c r="AH173" s="695">
        <f t="shared" si="347"/>
        <v>-1.2</v>
      </c>
      <c r="AI173" s="695"/>
      <c r="AJ173" s="695"/>
      <c r="AK173" s="543"/>
      <c r="AX173" s="576"/>
      <c r="AY173" s="576"/>
      <c r="BB173" s="548"/>
      <c r="BD173" s="576"/>
      <c r="BE173" s="576"/>
      <c r="BH173" s="548"/>
      <c r="BJ173" s="576"/>
      <c r="BK173" s="576"/>
      <c r="BN173" s="548"/>
      <c r="BP173" s="576"/>
      <c r="BQ173" s="576"/>
      <c r="BT173" s="548"/>
      <c r="BV173" s="576"/>
      <c r="BW173" s="576"/>
    </row>
    <row r="174" spans="2:78" ht="13">
      <c r="B174" s="693">
        <f t="shared" si="344"/>
        <v>-25</v>
      </c>
      <c r="C174" s="666"/>
      <c r="D174" s="666"/>
      <c r="E174" s="666">
        <v>-0.67</v>
      </c>
      <c r="F174" s="695">
        <v>-1.58</v>
      </c>
      <c r="G174" s="695">
        <v>0.09</v>
      </c>
      <c r="H174" s="695">
        <v>0.13</v>
      </c>
      <c r="I174" s="695">
        <v>0.43</v>
      </c>
      <c r="J174" s="695">
        <v>0.35</v>
      </c>
      <c r="K174" s="695"/>
      <c r="L174" s="695">
        <v>-1.2</v>
      </c>
      <c r="M174" s="695"/>
      <c r="N174" s="695">
        <v>-1.57</v>
      </c>
      <c r="O174" s="695">
        <v>-1.64</v>
      </c>
      <c r="P174" s="695">
        <f t="shared" si="345"/>
        <v>-1.1000000000000001</v>
      </c>
      <c r="Q174" s="695"/>
      <c r="R174" s="695"/>
      <c r="S174" s="543"/>
      <c r="T174" s="693">
        <f t="shared" si="346"/>
        <v>-25</v>
      </c>
      <c r="U174" s="542"/>
      <c r="V174" s="695"/>
      <c r="W174" s="704"/>
      <c r="X174" s="695">
        <v>-1.57</v>
      </c>
      <c r="Y174" s="695">
        <v>0.16</v>
      </c>
      <c r="Z174" s="695">
        <v>0.17</v>
      </c>
      <c r="AA174" s="695">
        <v>0.44</v>
      </c>
      <c r="AB174" s="695">
        <v>0.34</v>
      </c>
      <c r="AC174" s="695"/>
      <c r="AD174" s="695">
        <v>-1.25</v>
      </c>
      <c r="AE174" s="695"/>
      <c r="AF174" s="695">
        <v>-1.49</v>
      </c>
      <c r="AG174" s="696">
        <v>-1.67</v>
      </c>
      <c r="AH174" s="695">
        <f t="shared" si="347"/>
        <v>-1.1000000000000001</v>
      </c>
      <c r="AI174" s="695"/>
      <c r="AJ174" s="695"/>
      <c r="AK174" s="543"/>
      <c r="AX174" s="576"/>
      <c r="AY174" s="576"/>
      <c r="BB174" s="548"/>
      <c r="BD174" s="576"/>
      <c r="BE174" s="576"/>
      <c r="BH174" s="548"/>
      <c r="BJ174" s="576"/>
      <c r="BK174" s="576"/>
      <c r="BN174" s="548"/>
      <c r="BP174" s="576"/>
      <c r="BQ174" s="576"/>
      <c r="BT174" s="548"/>
      <c r="BV174" s="576"/>
      <c r="BW174" s="576"/>
    </row>
    <row r="175" spans="2:78" ht="13">
      <c r="B175" s="693">
        <f t="shared" si="344"/>
        <v>-20</v>
      </c>
      <c r="C175" s="695">
        <v>-0.36</v>
      </c>
      <c r="D175" s="666">
        <v>-0.49</v>
      </c>
      <c r="E175" s="666"/>
      <c r="F175" s="695">
        <v>-1.33</v>
      </c>
      <c r="G175" s="695">
        <v>0.13</v>
      </c>
      <c r="H175" s="695">
        <v>0.16</v>
      </c>
      <c r="I175" s="695">
        <v>0.45</v>
      </c>
      <c r="J175" s="695">
        <v>0.37</v>
      </c>
      <c r="K175" s="695">
        <v>0.54</v>
      </c>
      <c r="L175" s="695">
        <v>-0.91</v>
      </c>
      <c r="M175" s="695">
        <v>0.54</v>
      </c>
      <c r="N175" s="695">
        <v>-1.3</v>
      </c>
      <c r="O175" s="695">
        <v>-1.34</v>
      </c>
      <c r="P175" s="695">
        <f t="shared" si="345"/>
        <v>-1.1000000000000001</v>
      </c>
      <c r="Q175" s="695">
        <v>-0.15</v>
      </c>
      <c r="R175" s="695">
        <v>-1.8</v>
      </c>
      <c r="S175" s="543"/>
      <c r="T175" s="693">
        <f t="shared" si="346"/>
        <v>-20</v>
      </c>
      <c r="U175" s="542">
        <v>-0.65</v>
      </c>
      <c r="V175" s="695">
        <v>-0.47</v>
      </c>
      <c r="W175" s="704">
        <v>-0.43</v>
      </c>
      <c r="X175" s="695">
        <v>-1.31</v>
      </c>
      <c r="Y175" s="695">
        <v>0.19</v>
      </c>
      <c r="Z175" s="695">
        <v>0.2</v>
      </c>
      <c r="AA175" s="695">
        <v>0.46</v>
      </c>
      <c r="AB175" s="695">
        <v>0.36</v>
      </c>
      <c r="AC175" s="696">
        <v>0.52</v>
      </c>
      <c r="AD175" s="695">
        <v>-0.95</v>
      </c>
      <c r="AE175" s="695">
        <v>0.52</v>
      </c>
      <c r="AF175" s="695">
        <v>-1.22</v>
      </c>
      <c r="AG175" s="696">
        <v>-1.36</v>
      </c>
      <c r="AH175" s="695">
        <f t="shared" si="347"/>
        <v>-1.1000000000000001</v>
      </c>
      <c r="AI175" s="695">
        <v>-0.15</v>
      </c>
      <c r="AJ175" s="695">
        <v>-1.8</v>
      </c>
      <c r="AK175" s="543"/>
      <c r="AX175" s="576"/>
      <c r="AY175" s="576"/>
      <c r="BB175" s="548"/>
      <c r="BD175" s="576"/>
      <c r="BE175" s="576"/>
      <c r="BH175" s="548"/>
      <c r="BJ175" s="576"/>
      <c r="BK175" s="576"/>
      <c r="BN175" s="548"/>
      <c r="BP175" s="576"/>
      <c r="BQ175" s="576"/>
      <c r="BT175" s="548"/>
      <c r="BV175" s="576"/>
      <c r="BW175" s="576"/>
    </row>
    <row r="176" spans="2:78" ht="13">
      <c r="B176" s="693">
        <f t="shared" si="344"/>
        <v>-15</v>
      </c>
      <c r="C176" s="695">
        <v>-0.3</v>
      </c>
      <c r="D176" s="666">
        <v>-0.42</v>
      </c>
      <c r="E176" s="666">
        <v>-0.53</v>
      </c>
      <c r="F176" s="695">
        <v>-1.1000000000000001</v>
      </c>
      <c r="G176" s="695">
        <v>0.18</v>
      </c>
      <c r="H176" s="695">
        <v>0.2</v>
      </c>
      <c r="I176" s="695">
        <v>0.46</v>
      </c>
      <c r="J176" s="695">
        <v>0.39</v>
      </c>
      <c r="K176" s="695"/>
      <c r="L176" s="695">
        <v>-0.66</v>
      </c>
      <c r="M176" s="695"/>
      <c r="N176" s="695">
        <v>-1.05</v>
      </c>
      <c r="O176" s="695">
        <v>-1.05</v>
      </c>
      <c r="P176" s="695">
        <f t="shared" si="345"/>
        <v>-1.1000000000000001</v>
      </c>
      <c r="Q176" s="695">
        <v>-0.1</v>
      </c>
      <c r="R176" s="695">
        <v>-1.52</v>
      </c>
      <c r="S176" s="543"/>
      <c r="T176" s="693">
        <f t="shared" si="346"/>
        <v>-15</v>
      </c>
      <c r="U176" s="542">
        <v>-0.56999999999999995</v>
      </c>
      <c r="V176" s="695">
        <v>-0.4</v>
      </c>
      <c r="W176" s="704">
        <v>-0.37</v>
      </c>
      <c r="X176" s="695">
        <v>-1.07</v>
      </c>
      <c r="Y176" s="695">
        <v>0.23</v>
      </c>
      <c r="Z176" s="695">
        <v>0.23</v>
      </c>
      <c r="AA176" s="695">
        <v>0.47</v>
      </c>
      <c r="AB176" s="695">
        <v>0.38</v>
      </c>
      <c r="AC176" s="695"/>
      <c r="AD176" s="695">
        <v>-0.69</v>
      </c>
      <c r="AE176" s="695"/>
      <c r="AF176" s="695">
        <v>-0.97</v>
      </c>
      <c r="AG176" s="696">
        <v>-1.0900000000000001</v>
      </c>
      <c r="AH176" s="695">
        <f t="shared" si="347"/>
        <v>-1.1000000000000001</v>
      </c>
      <c r="AI176" s="695">
        <v>-0.1</v>
      </c>
      <c r="AJ176" s="695">
        <v>-1.52</v>
      </c>
      <c r="AK176" s="543"/>
      <c r="AX176" s="576"/>
      <c r="AY176" s="576"/>
      <c r="BB176" s="548"/>
      <c r="BD176" s="576"/>
      <c r="BE176" s="576"/>
      <c r="BH176" s="548"/>
      <c r="BJ176" s="576"/>
      <c r="BK176" s="576"/>
      <c r="BN176" s="548"/>
      <c r="BP176" s="576"/>
      <c r="BQ176" s="576"/>
      <c r="BT176" s="548"/>
      <c r="BV176" s="576"/>
      <c r="BW176" s="576"/>
    </row>
    <row r="177" spans="2:78" ht="13">
      <c r="B177" s="693">
        <f t="shared" si="344"/>
        <v>-10</v>
      </c>
      <c r="C177" s="695">
        <v>-0.25</v>
      </c>
      <c r="D177" s="666">
        <v>-0.35</v>
      </c>
      <c r="E177" s="666">
        <v>-0.44</v>
      </c>
      <c r="F177" s="695">
        <v>-0.85</v>
      </c>
      <c r="G177" s="695">
        <v>0.21</v>
      </c>
      <c r="H177" s="695">
        <v>0.22</v>
      </c>
      <c r="I177" s="695">
        <v>0.47</v>
      </c>
      <c r="J177" s="695">
        <v>0.4</v>
      </c>
      <c r="K177" s="695">
        <v>0.52</v>
      </c>
      <c r="L177" s="695">
        <v>-0.47</v>
      </c>
      <c r="M177" s="695">
        <v>0.52</v>
      </c>
      <c r="N177" s="695">
        <v>-0.84</v>
      </c>
      <c r="O177" s="695">
        <v>-0.81</v>
      </c>
      <c r="P177" s="695">
        <f t="shared" si="345"/>
        <v>-1.2</v>
      </c>
      <c r="Q177" s="695">
        <v>-0.05</v>
      </c>
      <c r="R177" s="695">
        <v>-1.26</v>
      </c>
      <c r="S177" s="543"/>
      <c r="T177" s="693">
        <f t="shared" si="346"/>
        <v>-10</v>
      </c>
      <c r="U177" s="542">
        <v>-0.5</v>
      </c>
      <c r="V177" s="695">
        <v>-0.34</v>
      </c>
      <c r="W177" s="704">
        <v>-0.31</v>
      </c>
      <c r="X177" s="695">
        <v>-0.82</v>
      </c>
      <c r="Y177" s="695">
        <v>0.26</v>
      </c>
      <c r="Z177" s="695">
        <v>0.25</v>
      </c>
      <c r="AA177" s="695">
        <v>0.48</v>
      </c>
      <c r="AB177" s="695">
        <v>0.4</v>
      </c>
      <c r="AC177" s="695">
        <v>0.5</v>
      </c>
      <c r="AD177" s="695">
        <v>-0.49</v>
      </c>
      <c r="AE177" s="695">
        <v>0.5</v>
      </c>
      <c r="AF177" s="695">
        <v>-0.77</v>
      </c>
      <c r="AG177" s="696">
        <v>-0.85</v>
      </c>
      <c r="AH177" s="695">
        <f t="shared" si="347"/>
        <v>-1.2</v>
      </c>
      <c r="AI177" s="695">
        <v>-0.05</v>
      </c>
      <c r="AJ177" s="695">
        <v>-1.26</v>
      </c>
      <c r="AK177" s="543"/>
      <c r="AX177" s="576"/>
      <c r="AY177" s="576"/>
      <c r="BB177" s="548"/>
      <c r="BD177" s="576"/>
      <c r="BE177" s="576"/>
      <c r="BH177" s="548"/>
      <c r="BJ177" s="576"/>
      <c r="BK177" s="576"/>
      <c r="BN177" s="548"/>
      <c r="BP177" s="576"/>
      <c r="BQ177" s="576"/>
      <c r="BT177" s="548"/>
      <c r="BV177" s="576"/>
      <c r="BW177" s="576"/>
    </row>
    <row r="178" spans="2:78" ht="13">
      <c r="B178" s="693">
        <f t="shared" si="344"/>
        <v>-5</v>
      </c>
      <c r="C178" s="695"/>
      <c r="D178" s="666"/>
      <c r="E178" s="666"/>
      <c r="F178" s="695"/>
      <c r="G178" s="695">
        <v>0.22</v>
      </c>
      <c r="H178" s="695">
        <v>0.23</v>
      </c>
      <c r="I178" s="695">
        <v>0.46</v>
      </c>
      <c r="J178" s="695">
        <v>0.4</v>
      </c>
      <c r="K178" s="695"/>
      <c r="L178" s="695"/>
      <c r="M178" s="695"/>
      <c r="N178" s="695"/>
      <c r="O178" s="695"/>
      <c r="P178" s="695"/>
      <c r="Q178" s="695"/>
      <c r="R178" s="695"/>
      <c r="S178" s="543"/>
      <c r="T178" s="693">
        <f t="shared" si="346"/>
        <v>-5</v>
      </c>
      <c r="U178" s="542"/>
      <c r="V178" s="695"/>
      <c r="W178" s="704"/>
      <c r="X178" s="695"/>
      <c r="Y178" s="695">
        <v>0.26</v>
      </c>
      <c r="Z178" s="695">
        <v>0.25</v>
      </c>
      <c r="AA178" s="695">
        <v>0.48</v>
      </c>
      <c r="AB178" s="695">
        <v>0.4</v>
      </c>
      <c r="AC178" s="695"/>
      <c r="AD178" s="695"/>
      <c r="AE178" s="695"/>
      <c r="AF178" s="695"/>
      <c r="AG178" s="696"/>
      <c r="AH178" s="695"/>
      <c r="AI178" s="695"/>
      <c r="AJ178" s="695"/>
      <c r="AK178" s="543"/>
      <c r="AX178" s="576"/>
      <c r="AY178" s="576"/>
      <c r="BB178" s="548"/>
      <c r="BD178" s="576"/>
      <c r="BE178" s="576"/>
      <c r="BH178" s="548"/>
      <c r="BJ178" s="576"/>
      <c r="BK178" s="576"/>
      <c r="BN178" s="548"/>
      <c r="BP178" s="576"/>
      <c r="BQ178" s="576"/>
      <c r="BT178" s="548"/>
      <c r="BV178" s="576"/>
      <c r="BW178" s="576"/>
    </row>
    <row r="179" spans="2:78" ht="13">
      <c r="B179" s="693">
        <f t="shared" si="344"/>
        <v>0</v>
      </c>
      <c r="C179" s="695">
        <v>-0.16</v>
      </c>
      <c r="D179" s="666">
        <v>-0.22</v>
      </c>
      <c r="E179" s="666">
        <v>-0.36</v>
      </c>
      <c r="F179" s="695">
        <v>-0.28000000000000003</v>
      </c>
      <c r="G179" s="695">
        <v>0.18</v>
      </c>
      <c r="H179" s="695">
        <v>0.21</v>
      </c>
      <c r="I179" s="695">
        <v>0.44</v>
      </c>
      <c r="J179" s="695">
        <v>0.39</v>
      </c>
      <c r="K179" s="695">
        <v>0.5</v>
      </c>
      <c r="L179" s="695">
        <v>-0.25</v>
      </c>
      <c r="M179" s="695">
        <v>0.5</v>
      </c>
      <c r="N179" s="695">
        <v>-0.57999999999999996</v>
      </c>
      <c r="O179" s="695">
        <v>-0.46</v>
      </c>
      <c r="P179" s="695">
        <f>P165</f>
        <v>-1.4</v>
      </c>
      <c r="Q179" s="695">
        <v>0.03</v>
      </c>
      <c r="R179" s="695">
        <v>-0.79</v>
      </c>
      <c r="S179" s="543"/>
      <c r="T179" s="693">
        <f t="shared" si="346"/>
        <v>0</v>
      </c>
      <c r="U179" s="542">
        <v>-0.36</v>
      </c>
      <c r="V179" s="695">
        <v>-0.21</v>
      </c>
      <c r="W179" s="704">
        <v>-0.21</v>
      </c>
      <c r="X179" s="695">
        <v>-0.28999999999999998</v>
      </c>
      <c r="Y179" s="695">
        <v>0.22</v>
      </c>
      <c r="Z179" s="695">
        <v>0.21</v>
      </c>
      <c r="AA179" s="695">
        <v>0.46</v>
      </c>
      <c r="AB179" s="695">
        <v>0.39</v>
      </c>
      <c r="AC179" s="696">
        <v>0.48</v>
      </c>
      <c r="AD179" s="695">
        <v>-0.27</v>
      </c>
      <c r="AE179" s="695">
        <v>0.48</v>
      </c>
      <c r="AF179" s="695">
        <v>-0.56000000000000005</v>
      </c>
      <c r="AG179" s="696">
        <v>-0.46</v>
      </c>
      <c r="AH179" s="695">
        <f>AH165</f>
        <v>-1.4</v>
      </c>
      <c r="AI179" s="695">
        <v>0.03</v>
      </c>
      <c r="AJ179" s="695">
        <v>-0.79</v>
      </c>
      <c r="AK179" s="543"/>
      <c r="AX179" s="576"/>
      <c r="AY179" s="576"/>
      <c r="BB179" s="548"/>
      <c r="BD179" s="576"/>
      <c r="BE179" s="576"/>
      <c r="BH179" s="548"/>
      <c r="BJ179" s="576"/>
      <c r="BK179" s="576"/>
      <c r="BN179" s="548"/>
      <c r="BP179" s="576"/>
      <c r="BQ179" s="576"/>
      <c r="BT179" s="548"/>
      <c r="BV179" s="576"/>
      <c r="BW179" s="576"/>
    </row>
    <row r="180" spans="2:78" s="743" customFormat="1" ht="13">
      <c r="B180" s="706" t="s">
        <v>371</v>
      </c>
      <c r="C180" s="703">
        <v>0.28000000000000003</v>
      </c>
      <c r="D180" s="701">
        <v>0.56000000000000005</v>
      </c>
      <c r="E180" s="701">
        <v>0.39</v>
      </c>
      <c r="F180" s="703">
        <v>0.13</v>
      </c>
      <c r="G180" s="703">
        <v>0.09</v>
      </c>
      <c r="H180" s="703">
        <v>0.11</v>
      </c>
      <c r="I180" s="703">
        <v>0.1</v>
      </c>
      <c r="J180" s="703">
        <v>0.09</v>
      </c>
      <c r="K180" s="703">
        <v>0.79</v>
      </c>
      <c r="L180" s="703">
        <v>0.1</v>
      </c>
      <c r="M180" s="703">
        <v>0.79</v>
      </c>
      <c r="N180" s="703">
        <v>7.0000000000000007E-2</v>
      </c>
      <c r="O180" s="703">
        <v>7.0000000000000007E-2</v>
      </c>
      <c r="P180" s="703">
        <f>P166</f>
        <v>0.2</v>
      </c>
      <c r="Q180" s="703">
        <v>0.22</v>
      </c>
      <c r="R180" s="703">
        <v>0.77</v>
      </c>
      <c r="T180" s="706" t="s">
        <v>371</v>
      </c>
      <c r="U180" s="706">
        <v>0.34</v>
      </c>
      <c r="V180" s="703">
        <v>0.56000000000000005</v>
      </c>
      <c r="W180" s="708">
        <v>0.28000000000000003</v>
      </c>
      <c r="X180" s="703">
        <v>0.13</v>
      </c>
      <c r="Y180" s="703">
        <v>0.1</v>
      </c>
      <c r="Z180" s="703">
        <v>0.13</v>
      </c>
      <c r="AA180" s="703">
        <v>0.1</v>
      </c>
      <c r="AB180" s="703">
        <v>0.11</v>
      </c>
      <c r="AC180" s="703">
        <v>0.79</v>
      </c>
      <c r="AD180" s="703">
        <v>0.1</v>
      </c>
      <c r="AE180" s="703">
        <v>0.79</v>
      </c>
      <c r="AF180" s="703">
        <v>0.06</v>
      </c>
      <c r="AG180" s="703">
        <v>0.09</v>
      </c>
      <c r="AH180" s="703">
        <f>AH166</f>
        <v>0.2</v>
      </c>
      <c r="AI180" s="703">
        <v>0.22</v>
      </c>
      <c r="AJ180" s="703">
        <v>0.77</v>
      </c>
      <c r="AN180" s="744"/>
      <c r="AP180" s="745"/>
      <c r="AT180" s="744"/>
      <c r="AV180" s="745"/>
      <c r="AX180" s="746"/>
      <c r="AY180" s="746"/>
      <c r="AZ180" s="744"/>
      <c r="BD180" s="746"/>
      <c r="BE180" s="746"/>
      <c r="BF180" s="744"/>
      <c r="BJ180" s="746"/>
      <c r="BK180" s="746"/>
      <c r="BL180" s="744"/>
      <c r="BP180" s="746"/>
      <c r="BQ180" s="746"/>
      <c r="BR180" s="744"/>
      <c r="BV180" s="746"/>
      <c r="BW180" s="746"/>
      <c r="BX180" s="744"/>
      <c r="BZ180" s="745"/>
    </row>
    <row r="181" spans="2:78" s="543" customFormat="1">
      <c r="B181" s="544"/>
      <c r="C181" s="544"/>
      <c r="D181" s="544"/>
      <c r="E181" s="544"/>
      <c r="F181" s="544"/>
      <c r="G181" s="544"/>
      <c r="H181" s="544"/>
      <c r="I181" s="544"/>
      <c r="J181" s="544"/>
      <c r="K181" s="544"/>
      <c r="L181" s="544"/>
      <c r="M181" s="544"/>
      <c r="N181" s="544"/>
      <c r="O181" s="544"/>
      <c r="P181" s="544"/>
      <c r="Q181" s="544"/>
      <c r="T181" s="544"/>
      <c r="U181" s="544"/>
      <c r="V181" s="544"/>
      <c r="W181" s="544"/>
      <c r="X181" s="544"/>
      <c r="Y181" s="544"/>
      <c r="Z181" s="544"/>
      <c r="AA181" s="544"/>
      <c r="AB181" s="544"/>
      <c r="AC181" s="544"/>
      <c r="AD181" s="544"/>
      <c r="AE181" s="544"/>
      <c r="AF181" s="544"/>
      <c r="AG181" s="698"/>
      <c r="AI181" s="545"/>
      <c r="AZ181" s="544"/>
      <c r="BB181" s="545"/>
      <c r="BF181" s="544"/>
      <c r="BH181" s="545"/>
      <c r="BL181" s="544"/>
      <c r="BN181" s="545"/>
      <c r="BR181" s="544"/>
      <c r="BT181" s="545"/>
      <c r="BX181" s="544"/>
      <c r="BZ181" s="545"/>
    </row>
    <row r="182" spans="2:78" ht="97.5" customHeight="1">
      <c r="B182" s="618" t="s">
        <v>365</v>
      </c>
      <c r="C182" s="600" t="str">
        <f t="shared" ref="C182:O182" si="348">C169</f>
        <v>Thermocouple Data Logger, Merek : MADGETECH, Model : OctTemp 2000, SN : P40270</v>
      </c>
      <c r="D182" s="600" t="str">
        <f t="shared" si="348"/>
        <v>Thermocouple Data Logger, Merek : MADGETECH, Model : OctTemp 2000, SN : P41878</v>
      </c>
      <c r="E182" s="600" t="str">
        <f t="shared" si="348"/>
        <v>Mobile Corder, Merek : Yokogawa, Model : GP 10, SN : S5T810599</v>
      </c>
      <c r="F182" s="600" t="str">
        <f t="shared" si="348"/>
        <v>Wireless Temperature Recorder, Merek : HIOKI, Model : LR 8510, SN : 200936000</v>
      </c>
      <c r="G182" s="600" t="str">
        <f t="shared" si="348"/>
        <v>Wireless Temperature Recorder, Merek : HIOKI, Model : LR 8510, SN : 200936001</v>
      </c>
      <c r="H182" s="600" t="str">
        <f t="shared" si="348"/>
        <v>Wireless Temperature Recorder, Merek : HIOKI, Model : LR 8510, SN : 200821397</v>
      </c>
      <c r="I182" s="600" t="str">
        <f t="shared" si="348"/>
        <v>Wireless Temperature Recorder, Merek : HIOKI, Model : LR 8510, SN : 210411983</v>
      </c>
      <c r="J182" s="600" t="str">
        <f t="shared" si="348"/>
        <v>Wireless Temperature Recorder, Merek : HIOKI, Model : LR 8510, SN : 210411984</v>
      </c>
      <c r="K182" s="600" t="str">
        <f t="shared" si="348"/>
        <v>Wireless Temperature Recorder, Merek : HIOKI, Model : LR 8510, SN : 210411985</v>
      </c>
      <c r="L182" s="600" t="str">
        <f t="shared" si="348"/>
        <v>Wireless Temperature Recorder, Merek : HIOKI, Model : LR 8510, SN : 210746054</v>
      </c>
      <c r="M182" s="600" t="str">
        <f t="shared" si="348"/>
        <v>Wireless Temperature Recorder, Merek : HIOKI, Model : LR 8510, SN : 210746055</v>
      </c>
      <c r="N182" s="600" t="str">
        <f t="shared" si="348"/>
        <v>Wireless Temperature Recorder, Merek : HIOKI, Model : LR 8510, SN : 210746056</v>
      </c>
      <c r="O182" s="575" t="str">
        <f t="shared" si="348"/>
        <v>Wireless Temperature Recorder, Merek : HIOKI, Model : LR 8510, SN : 200821396</v>
      </c>
      <c r="P182" s="602" t="s">
        <v>368</v>
      </c>
      <c r="Q182" s="602" t="s">
        <v>369</v>
      </c>
      <c r="R182" s="602" t="s">
        <v>370</v>
      </c>
      <c r="S182" s="543"/>
      <c r="T182" s="618" t="s">
        <v>366</v>
      </c>
      <c r="U182" s="613" t="str">
        <f t="shared" ref="U182:AG182" si="349">U169</f>
        <v>Thermocouple Data Logger, Merek : MADGETECH, Model : OctTemp 2000, SN : P40270</v>
      </c>
      <c r="V182" s="613" t="str">
        <f t="shared" si="349"/>
        <v>Thermocouple Data Logger, Merek : MADGETECH, Model : OctTemp 2000, SN : P41878</v>
      </c>
      <c r="W182" s="613" t="str">
        <f t="shared" si="349"/>
        <v>Mobile Corder, Merek : Yokogawa, Model : GP 10, SN : S5T810599</v>
      </c>
      <c r="X182" s="613" t="str">
        <f t="shared" si="349"/>
        <v>Wireless Temperature Recorder, Merek : HIOKI, Model : LR 8510, SN : 200936000</v>
      </c>
      <c r="Y182" s="613" t="str">
        <f t="shared" si="349"/>
        <v>Wireless Temperature Recorder, Merek : HIOKI, Model : LR 8510, SN : 200936001</v>
      </c>
      <c r="Z182" s="613" t="str">
        <f t="shared" si="349"/>
        <v>Wireless Temperature Recorder, Merek : HIOKI, Model : LR 8510, SN : 200821397</v>
      </c>
      <c r="AA182" s="613" t="str">
        <f t="shared" si="349"/>
        <v>Wireless Temperature Recorder, Merek : HIOKI, Model : LR 8510, SN : 210411983</v>
      </c>
      <c r="AB182" s="613" t="str">
        <f t="shared" si="349"/>
        <v>Wireless Temperature Recorder, Merek : HIOKI, Model : LR 8510, SN : 210411984</v>
      </c>
      <c r="AC182" s="613" t="str">
        <f t="shared" si="349"/>
        <v>Wireless Temperature Recorder, Merek : HIOKI, Model : LR 8510, SN : 210411985</v>
      </c>
      <c r="AD182" s="613" t="str">
        <f t="shared" si="349"/>
        <v>Wireless Temperature Recorder, Merek : HIOKI, Model : LR 8510, SN : 210746054</v>
      </c>
      <c r="AE182" s="613" t="str">
        <f t="shared" si="349"/>
        <v>Wireless Temperature Recorder, Merek : HIOKI, Model : LR 8510, SN : 210746055</v>
      </c>
      <c r="AF182" s="613" t="str">
        <f t="shared" si="349"/>
        <v>Wireless Temperature Recorder, Merek : HIOKI, Model : LR 8510, SN : 210746056</v>
      </c>
      <c r="AG182" s="603" t="str">
        <f t="shared" si="349"/>
        <v>Wireless Temperature Recorder, Merek : HIOKI, Model : LR 8510, SN : 200821396</v>
      </c>
      <c r="AH182" s="602" t="s">
        <v>368</v>
      </c>
      <c r="AI182" s="602" t="s">
        <v>369</v>
      </c>
      <c r="AJ182" s="602" t="s">
        <v>370</v>
      </c>
      <c r="AK182" s="543"/>
      <c r="AX182" s="578"/>
      <c r="AY182" s="579"/>
      <c r="AZ182" s="580"/>
      <c r="BB182" s="548"/>
      <c r="BD182" s="578"/>
      <c r="BE182" s="579"/>
      <c r="BF182" s="580"/>
      <c r="BH182" s="548"/>
      <c r="BJ182" s="578"/>
      <c r="BK182" s="579"/>
      <c r="BL182" s="580"/>
      <c r="BN182" s="548"/>
      <c r="BP182" s="578"/>
      <c r="BQ182" s="579"/>
      <c r="BR182" s="580"/>
      <c r="BT182" s="548"/>
      <c r="BV182" s="578"/>
      <c r="BW182" s="579"/>
      <c r="BX182" s="580"/>
      <c r="BZ182" s="548"/>
    </row>
    <row r="183" spans="2:78" s="581" customFormat="1" ht="5.5" customHeight="1">
      <c r="B183" s="619"/>
      <c r="C183" s="606"/>
      <c r="D183" s="606"/>
      <c r="E183" s="606"/>
      <c r="F183" s="606"/>
      <c r="G183" s="606"/>
      <c r="H183" s="606"/>
      <c r="I183" s="606"/>
      <c r="J183" s="606"/>
      <c r="K183" s="606"/>
      <c r="L183" s="606"/>
      <c r="M183" s="606"/>
      <c r="N183" s="606"/>
      <c r="O183" s="587"/>
      <c r="P183" s="585"/>
      <c r="Q183" s="585"/>
      <c r="R183" s="585"/>
      <c r="T183" s="619"/>
      <c r="U183" s="614"/>
      <c r="V183" s="614"/>
      <c r="W183" s="614"/>
      <c r="X183" s="614"/>
      <c r="Y183" s="614"/>
      <c r="Z183" s="614"/>
      <c r="AA183" s="614"/>
      <c r="AB183" s="614"/>
      <c r="AC183" s="614"/>
      <c r="AD183" s="614"/>
      <c r="AE183" s="614"/>
      <c r="AF183" s="614"/>
      <c r="AG183" s="609"/>
      <c r="AH183" s="585"/>
      <c r="AI183" s="585"/>
      <c r="AJ183" s="585"/>
      <c r="AN183" s="588"/>
      <c r="AP183" s="589"/>
      <c r="AT183" s="588"/>
      <c r="AV183" s="589"/>
      <c r="AX183" s="590"/>
      <c r="AY183" s="591"/>
      <c r="AZ183" s="592"/>
      <c r="BD183" s="590"/>
      <c r="BE183" s="591"/>
      <c r="BF183" s="592"/>
      <c r="BJ183" s="590"/>
      <c r="BK183" s="591"/>
      <c r="BL183" s="592"/>
      <c r="BP183" s="590"/>
      <c r="BQ183" s="591"/>
      <c r="BR183" s="592"/>
      <c r="BV183" s="590"/>
      <c r="BW183" s="591"/>
      <c r="BX183" s="592"/>
    </row>
    <row r="184" spans="2:78" ht="13">
      <c r="B184" s="693">
        <f t="shared" ref="B184:B192" si="350">B171</f>
        <v>-40</v>
      </c>
      <c r="C184" s="666"/>
      <c r="D184" s="666"/>
      <c r="E184" s="666"/>
      <c r="F184" s="695">
        <v>-2.64</v>
      </c>
      <c r="G184" s="695">
        <v>0.17</v>
      </c>
      <c r="H184" s="695">
        <v>0.2</v>
      </c>
      <c r="I184" s="695">
        <v>0.39</v>
      </c>
      <c r="J184" s="695">
        <v>0.3</v>
      </c>
      <c r="K184" s="695"/>
      <c r="L184" s="695">
        <v>-2.87</v>
      </c>
      <c r="M184" s="695"/>
      <c r="N184" s="695">
        <v>-2.31</v>
      </c>
      <c r="O184" s="695">
        <v>-2.67</v>
      </c>
      <c r="P184" s="695">
        <f t="shared" ref="P184:P190" si="351">P171</f>
        <v>-1.7</v>
      </c>
      <c r="Q184" s="695"/>
      <c r="R184" s="695"/>
      <c r="S184" s="543"/>
      <c r="T184" s="693">
        <f t="shared" ref="T184:T190" si="352">T171</f>
        <v>-40</v>
      </c>
      <c r="U184" s="666"/>
      <c r="V184" s="695"/>
      <c r="W184" s="695"/>
      <c r="X184" s="695">
        <v>-2.62</v>
      </c>
      <c r="Y184" s="695">
        <v>0.21</v>
      </c>
      <c r="Z184" s="695">
        <v>0.21</v>
      </c>
      <c r="AA184" s="695">
        <v>0.39</v>
      </c>
      <c r="AB184" s="695">
        <v>0.28000000000000003</v>
      </c>
      <c r="AC184" s="695"/>
      <c r="AD184" s="695">
        <v>-2.64</v>
      </c>
      <c r="AE184" s="695"/>
      <c r="AF184" s="695">
        <v>-2.2400000000000002</v>
      </c>
      <c r="AG184" s="696">
        <v>-2.46</v>
      </c>
      <c r="AH184" s="695">
        <f t="shared" ref="AH184:AH190" si="353">AH171</f>
        <v>-1.7</v>
      </c>
      <c r="AI184" s="695"/>
      <c r="AJ184" s="695"/>
      <c r="AK184" s="543"/>
      <c r="AX184" s="576"/>
      <c r="AY184" s="576"/>
      <c r="BB184" s="548"/>
      <c r="BD184" s="576"/>
      <c r="BE184" s="576"/>
      <c r="BH184" s="548"/>
      <c r="BJ184" s="576"/>
      <c r="BK184" s="576"/>
      <c r="BN184" s="548"/>
      <c r="BP184" s="576"/>
      <c r="BQ184" s="576"/>
      <c r="BT184" s="548"/>
      <c r="BV184" s="576"/>
      <c r="BW184" s="576"/>
      <c r="BZ184" s="548"/>
    </row>
    <row r="185" spans="2:78" ht="13">
      <c r="B185" s="693">
        <f t="shared" si="350"/>
        <v>-35</v>
      </c>
      <c r="C185" s="666"/>
      <c r="D185" s="666"/>
      <c r="E185" s="666"/>
      <c r="F185" s="695"/>
      <c r="G185" s="695">
        <v>0.13</v>
      </c>
      <c r="H185" s="695">
        <v>0.14000000000000001</v>
      </c>
      <c r="I185" s="695">
        <v>0.39</v>
      </c>
      <c r="J185" s="695">
        <v>0.3</v>
      </c>
      <c r="K185" s="695"/>
      <c r="L185" s="695"/>
      <c r="M185" s="695"/>
      <c r="N185" s="695"/>
      <c r="O185" s="695"/>
      <c r="P185" s="695">
        <f t="shared" si="351"/>
        <v>-1.4</v>
      </c>
      <c r="Q185" s="695"/>
      <c r="R185" s="695"/>
      <c r="S185" s="543"/>
      <c r="T185" s="693">
        <f t="shared" si="352"/>
        <v>-35</v>
      </c>
      <c r="U185" s="666"/>
      <c r="V185" s="695"/>
      <c r="W185" s="695"/>
      <c r="X185" s="695"/>
      <c r="Y185" s="695">
        <v>0.15</v>
      </c>
      <c r="Z185" s="695">
        <v>0.16</v>
      </c>
      <c r="AA185" s="695">
        <v>0.4</v>
      </c>
      <c r="AB185" s="695">
        <v>0.3</v>
      </c>
      <c r="AC185" s="695"/>
      <c r="AD185" s="695"/>
      <c r="AE185" s="695"/>
      <c r="AF185" s="695"/>
      <c r="AG185" s="696"/>
      <c r="AH185" s="695">
        <f t="shared" si="353"/>
        <v>-1.4</v>
      </c>
      <c r="AI185" s="695"/>
      <c r="AJ185" s="695"/>
      <c r="AK185" s="543"/>
      <c r="AX185" s="576"/>
      <c r="AY185" s="576"/>
      <c r="BB185" s="548"/>
      <c r="BD185" s="576"/>
      <c r="BE185" s="576"/>
      <c r="BH185" s="548"/>
      <c r="BJ185" s="576"/>
      <c r="BK185" s="576"/>
      <c r="BN185" s="548"/>
      <c r="BP185" s="576"/>
      <c r="BQ185" s="576"/>
      <c r="BT185" s="548"/>
      <c r="BV185" s="576"/>
      <c r="BW185" s="576"/>
      <c r="BZ185" s="548"/>
    </row>
    <row r="186" spans="2:78" ht="13">
      <c r="B186" s="693">
        <f t="shared" si="350"/>
        <v>-30</v>
      </c>
      <c r="C186" s="666"/>
      <c r="D186" s="666"/>
      <c r="E186" s="666"/>
      <c r="F186" s="695"/>
      <c r="G186" s="695">
        <v>0.12</v>
      </c>
      <c r="H186" s="695">
        <v>0.13</v>
      </c>
      <c r="I186" s="695">
        <v>0.41</v>
      </c>
      <c r="J186" s="695">
        <v>0.32</v>
      </c>
      <c r="K186" s="695"/>
      <c r="L186" s="695"/>
      <c r="M186" s="695"/>
      <c r="N186" s="695"/>
      <c r="O186" s="695"/>
      <c r="P186" s="695">
        <f t="shared" si="351"/>
        <v>-1.2</v>
      </c>
      <c r="Q186" s="695"/>
      <c r="R186" s="695"/>
      <c r="S186" s="543"/>
      <c r="T186" s="693">
        <f t="shared" si="352"/>
        <v>-30</v>
      </c>
      <c r="U186" s="666"/>
      <c r="V186" s="695"/>
      <c r="W186" s="695"/>
      <c r="X186" s="695"/>
      <c r="Y186" s="695">
        <v>0.14000000000000001</v>
      </c>
      <c r="Z186" s="695">
        <v>0.16</v>
      </c>
      <c r="AA186" s="695">
        <v>0.41</v>
      </c>
      <c r="AB186" s="695">
        <v>0.31</v>
      </c>
      <c r="AC186" s="695"/>
      <c r="AD186" s="695"/>
      <c r="AE186" s="695"/>
      <c r="AF186" s="695"/>
      <c r="AG186" s="696"/>
      <c r="AH186" s="695">
        <f t="shared" si="353"/>
        <v>-1.2</v>
      </c>
      <c r="AI186" s="695"/>
      <c r="AJ186" s="695"/>
      <c r="AK186" s="543"/>
      <c r="AX186" s="576"/>
      <c r="AY186" s="576"/>
      <c r="BB186" s="548"/>
      <c r="BD186" s="576"/>
      <c r="BE186" s="576"/>
      <c r="BH186" s="548"/>
      <c r="BJ186" s="576"/>
      <c r="BK186" s="576"/>
      <c r="BN186" s="548"/>
      <c r="BP186" s="576"/>
      <c r="BQ186" s="576"/>
      <c r="BT186" s="548"/>
      <c r="BV186" s="576"/>
      <c r="BW186" s="576"/>
      <c r="BZ186" s="548"/>
    </row>
    <row r="187" spans="2:78" ht="13">
      <c r="B187" s="693">
        <f t="shared" si="350"/>
        <v>-25</v>
      </c>
      <c r="C187" s="666"/>
      <c r="D187" s="666"/>
      <c r="E187" s="666"/>
      <c r="F187" s="695">
        <v>-1.65</v>
      </c>
      <c r="G187" s="695">
        <v>0.15</v>
      </c>
      <c r="H187" s="695">
        <v>0.15</v>
      </c>
      <c r="I187" s="695">
        <v>0.42</v>
      </c>
      <c r="J187" s="695">
        <v>0.34</v>
      </c>
      <c r="K187" s="695"/>
      <c r="L187" s="695">
        <v>-1.46</v>
      </c>
      <c r="M187" s="695"/>
      <c r="N187" s="695">
        <v>-1.54</v>
      </c>
      <c r="O187" s="695">
        <v>-1.73</v>
      </c>
      <c r="P187" s="695">
        <f t="shared" si="351"/>
        <v>-1.1000000000000001</v>
      </c>
      <c r="Q187" s="695"/>
      <c r="R187" s="695"/>
      <c r="S187" s="543"/>
      <c r="T187" s="693">
        <f t="shared" si="352"/>
        <v>-25</v>
      </c>
      <c r="U187" s="666"/>
      <c r="V187" s="695"/>
      <c r="W187" s="695"/>
      <c r="X187" s="695">
        <v>-1.61</v>
      </c>
      <c r="Y187" s="695">
        <v>0.16</v>
      </c>
      <c r="Z187" s="695">
        <v>0.18</v>
      </c>
      <c r="AA187" s="695">
        <v>0.42</v>
      </c>
      <c r="AB187" s="695">
        <v>0.33</v>
      </c>
      <c r="AC187" s="695"/>
      <c r="AD187" s="695">
        <v>-1.43</v>
      </c>
      <c r="AE187" s="695"/>
      <c r="AF187" s="695">
        <v>-1.5</v>
      </c>
      <c r="AG187" s="696">
        <v>-1.64</v>
      </c>
      <c r="AH187" s="695">
        <f t="shared" si="353"/>
        <v>-1.1000000000000001</v>
      </c>
      <c r="AI187" s="695"/>
      <c r="AJ187" s="695"/>
      <c r="AK187" s="543"/>
      <c r="AX187" s="576"/>
      <c r="AY187" s="576"/>
      <c r="BB187" s="548"/>
      <c r="BD187" s="576"/>
      <c r="BE187" s="576"/>
      <c r="BH187" s="548"/>
      <c r="BJ187" s="576"/>
      <c r="BK187" s="576"/>
      <c r="BN187" s="548"/>
      <c r="BP187" s="576"/>
      <c r="BQ187" s="576"/>
      <c r="BT187" s="548"/>
      <c r="BV187" s="576"/>
      <c r="BW187" s="576"/>
      <c r="BZ187" s="548"/>
    </row>
    <row r="188" spans="2:78" ht="13">
      <c r="B188" s="693">
        <f t="shared" si="350"/>
        <v>-20</v>
      </c>
      <c r="C188" s="666"/>
      <c r="D188" s="666"/>
      <c r="E188" s="666">
        <v>-0.45</v>
      </c>
      <c r="F188" s="695">
        <v>-1.4</v>
      </c>
      <c r="G188" s="695">
        <v>0.2</v>
      </c>
      <c r="H188" s="695">
        <v>0.19</v>
      </c>
      <c r="I188" s="695">
        <v>0.44</v>
      </c>
      <c r="J188" s="695">
        <v>0.36</v>
      </c>
      <c r="K188" s="695">
        <v>0.5</v>
      </c>
      <c r="L188" s="695">
        <v>-1.1100000000000001</v>
      </c>
      <c r="M188" s="695">
        <v>0.5</v>
      </c>
      <c r="N188" s="695">
        <v>-1.26</v>
      </c>
      <c r="O188" s="695">
        <v>-1.42</v>
      </c>
      <c r="P188" s="695">
        <f t="shared" si="351"/>
        <v>-1.1000000000000001</v>
      </c>
      <c r="Q188" s="695">
        <v>-0.15</v>
      </c>
      <c r="R188" s="695">
        <v>-1.8</v>
      </c>
      <c r="S188" s="543"/>
      <c r="T188" s="693">
        <f t="shared" si="352"/>
        <v>-20</v>
      </c>
      <c r="U188" s="666"/>
      <c r="V188" s="695"/>
      <c r="W188" s="695">
        <v>-0.46</v>
      </c>
      <c r="X188" s="695">
        <v>-1.35</v>
      </c>
      <c r="Y188" s="695">
        <v>0.21</v>
      </c>
      <c r="Z188" s="695">
        <v>0.22</v>
      </c>
      <c r="AA188" s="695">
        <v>0.44</v>
      </c>
      <c r="AB188" s="695">
        <v>0.34</v>
      </c>
      <c r="AC188" s="695">
        <v>0.47</v>
      </c>
      <c r="AD188" s="695">
        <v>-1.0900000000000001</v>
      </c>
      <c r="AE188" s="695">
        <v>0.47</v>
      </c>
      <c r="AF188" s="695">
        <v>-1.22</v>
      </c>
      <c r="AG188" s="696">
        <v>-1.34</v>
      </c>
      <c r="AH188" s="695">
        <f t="shared" si="353"/>
        <v>-1.1000000000000001</v>
      </c>
      <c r="AI188" s="695">
        <v>-0.15</v>
      </c>
      <c r="AJ188" s="695">
        <v>-1.8</v>
      </c>
      <c r="AK188" s="543"/>
      <c r="AX188" s="576"/>
      <c r="AY188" s="576"/>
      <c r="BB188" s="548"/>
      <c r="BD188" s="576"/>
      <c r="BE188" s="576"/>
      <c r="BH188" s="548"/>
      <c r="BJ188" s="576"/>
      <c r="BK188" s="576"/>
      <c r="BN188" s="548"/>
      <c r="BP188" s="576"/>
      <c r="BQ188" s="576"/>
      <c r="BT188" s="548"/>
      <c r="BV188" s="576"/>
      <c r="BW188" s="576"/>
      <c r="BZ188" s="548"/>
    </row>
    <row r="189" spans="2:78" ht="13">
      <c r="B189" s="693">
        <f t="shared" si="350"/>
        <v>-15</v>
      </c>
      <c r="C189" s="666"/>
      <c r="D189" s="666"/>
      <c r="E189" s="666">
        <v>-0.38</v>
      </c>
      <c r="F189" s="695">
        <v>-1.1499999999999999</v>
      </c>
      <c r="G189" s="695">
        <v>0.24</v>
      </c>
      <c r="H189" s="695">
        <v>0.24</v>
      </c>
      <c r="I189" s="695">
        <v>0.45</v>
      </c>
      <c r="J189" s="695">
        <v>0.38</v>
      </c>
      <c r="K189" s="695"/>
      <c r="L189" s="695">
        <v>-0.83</v>
      </c>
      <c r="M189" s="695"/>
      <c r="N189" s="695">
        <v>-1</v>
      </c>
      <c r="O189" s="695">
        <v>-1.1399999999999999</v>
      </c>
      <c r="P189" s="695">
        <f t="shared" si="351"/>
        <v>-1.1000000000000001</v>
      </c>
      <c r="Q189" s="695">
        <v>-0.1</v>
      </c>
      <c r="R189" s="695">
        <v>-1.52</v>
      </c>
      <c r="S189" s="543"/>
      <c r="T189" s="693">
        <f t="shared" si="352"/>
        <v>-15</v>
      </c>
      <c r="U189" s="666"/>
      <c r="V189" s="695"/>
      <c r="W189" s="695">
        <v>-0.39</v>
      </c>
      <c r="X189" s="695">
        <v>-1.1100000000000001</v>
      </c>
      <c r="Y189" s="695">
        <v>0.25</v>
      </c>
      <c r="Z189" s="695">
        <v>0.26</v>
      </c>
      <c r="AA189" s="695">
        <v>0.45</v>
      </c>
      <c r="AB189" s="695">
        <v>0.35</v>
      </c>
      <c r="AC189" s="695"/>
      <c r="AD189" s="695">
        <v>-0.81</v>
      </c>
      <c r="AE189" s="695"/>
      <c r="AF189" s="695">
        <v>-0.96</v>
      </c>
      <c r="AG189" s="696">
        <v>-1.06</v>
      </c>
      <c r="AH189" s="695">
        <f t="shared" si="353"/>
        <v>-1.1000000000000001</v>
      </c>
      <c r="AI189" s="695">
        <v>-0.1</v>
      </c>
      <c r="AJ189" s="695">
        <v>-1.52</v>
      </c>
      <c r="AK189" s="543"/>
      <c r="AX189" s="576"/>
      <c r="AY189" s="576"/>
      <c r="BB189" s="548"/>
      <c r="BD189" s="576"/>
      <c r="BE189" s="576"/>
      <c r="BH189" s="548"/>
      <c r="BJ189" s="576"/>
      <c r="BK189" s="576"/>
      <c r="BN189" s="548"/>
      <c r="BP189" s="576"/>
      <c r="BQ189" s="576"/>
      <c r="BT189" s="548"/>
      <c r="BV189" s="576"/>
      <c r="BW189" s="576"/>
      <c r="BZ189" s="548"/>
    </row>
    <row r="190" spans="2:78" ht="13">
      <c r="B190" s="693">
        <f t="shared" si="350"/>
        <v>-10</v>
      </c>
      <c r="C190" s="666"/>
      <c r="D190" s="666"/>
      <c r="E190" s="666">
        <v>-0.32</v>
      </c>
      <c r="F190" s="695">
        <v>-0.9</v>
      </c>
      <c r="G190" s="695">
        <v>0.27</v>
      </c>
      <c r="H190" s="695">
        <v>0.26</v>
      </c>
      <c r="I190" s="695">
        <v>0.46</v>
      </c>
      <c r="J190" s="695">
        <v>0.39</v>
      </c>
      <c r="K190" s="695">
        <v>0.48</v>
      </c>
      <c r="L190" s="695">
        <v>-0.6</v>
      </c>
      <c r="M190" s="695">
        <v>0.48</v>
      </c>
      <c r="N190" s="695">
        <v>-0.78</v>
      </c>
      <c r="O190" s="695">
        <v>-0.89</v>
      </c>
      <c r="P190" s="695">
        <f t="shared" si="351"/>
        <v>-1.2</v>
      </c>
      <c r="Q190" s="695">
        <v>-0.05</v>
      </c>
      <c r="R190" s="695">
        <v>-1.26</v>
      </c>
      <c r="S190" s="543"/>
      <c r="T190" s="693">
        <f t="shared" si="352"/>
        <v>-10</v>
      </c>
      <c r="U190" s="666"/>
      <c r="V190" s="695"/>
      <c r="W190" s="695">
        <v>-0.32</v>
      </c>
      <c r="X190" s="695">
        <v>-0.87</v>
      </c>
      <c r="Y190" s="695">
        <v>0.28000000000000003</v>
      </c>
      <c r="Z190" s="695">
        <v>0.28000000000000003</v>
      </c>
      <c r="AA190" s="695">
        <v>0.46</v>
      </c>
      <c r="AB190" s="695">
        <v>0.36</v>
      </c>
      <c r="AC190" s="695">
        <v>0.46</v>
      </c>
      <c r="AD190" s="695">
        <v>-0.59</v>
      </c>
      <c r="AE190" s="695">
        <v>0.46</v>
      </c>
      <c r="AF190" s="695">
        <v>-0.75</v>
      </c>
      <c r="AG190" s="696">
        <v>-0.81</v>
      </c>
      <c r="AH190" s="695">
        <f t="shared" si="353"/>
        <v>-1.2</v>
      </c>
      <c r="AI190" s="695">
        <v>-0.05</v>
      </c>
      <c r="AJ190" s="695">
        <v>-1.26</v>
      </c>
      <c r="AK190" s="543"/>
      <c r="AX190" s="576"/>
      <c r="AY190" s="576"/>
      <c r="BB190" s="548"/>
      <c r="BD190" s="576"/>
      <c r="BE190" s="576"/>
      <c r="BH190" s="548"/>
      <c r="BJ190" s="576"/>
      <c r="BK190" s="576"/>
      <c r="BN190" s="548"/>
      <c r="BP190" s="576"/>
      <c r="BQ190" s="576"/>
      <c r="BT190" s="548"/>
      <c r="BV190" s="576"/>
      <c r="BW190" s="576"/>
      <c r="BZ190" s="548"/>
    </row>
    <row r="191" spans="2:78" ht="13">
      <c r="B191" s="693">
        <f t="shared" si="350"/>
        <v>-5</v>
      </c>
      <c r="C191" s="666"/>
      <c r="D191" s="666"/>
      <c r="E191" s="666"/>
      <c r="F191" s="695"/>
      <c r="G191" s="695">
        <v>0.27</v>
      </c>
      <c r="H191" s="695">
        <v>0.26</v>
      </c>
      <c r="I191" s="695">
        <v>0.47</v>
      </c>
      <c r="J191" s="695">
        <v>0.4</v>
      </c>
      <c r="K191" s="695"/>
      <c r="L191" s="695"/>
      <c r="M191" s="695"/>
      <c r="N191" s="695"/>
      <c r="O191" s="695"/>
      <c r="P191" s="695"/>
      <c r="Q191" s="695"/>
      <c r="R191" s="695"/>
      <c r="S191" s="543"/>
      <c r="T191" s="693">
        <f t="shared" ref="T191:T192" si="354">T178</f>
        <v>-5</v>
      </c>
      <c r="U191" s="666"/>
      <c r="V191" s="695"/>
      <c r="W191" s="695"/>
      <c r="X191" s="695"/>
      <c r="Y191" s="695">
        <v>0.28999999999999998</v>
      </c>
      <c r="Z191" s="695">
        <v>0.28000000000000003</v>
      </c>
      <c r="AA191" s="695">
        <v>0.47</v>
      </c>
      <c r="AB191" s="695">
        <v>0.36</v>
      </c>
      <c r="AC191" s="695"/>
      <c r="AD191" s="695"/>
      <c r="AE191" s="695"/>
      <c r="AF191" s="695"/>
      <c r="AG191" s="696"/>
      <c r="AH191" s="695"/>
      <c r="AI191" s="695"/>
      <c r="AJ191" s="695"/>
      <c r="AK191" s="543"/>
      <c r="AX191" s="576"/>
      <c r="AY191" s="576"/>
      <c r="BB191" s="548"/>
      <c r="BD191" s="576"/>
      <c r="BE191" s="576"/>
      <c r="BH191" s="548"/>
      <c r="BJ191" s="576"/>
      <c r="BK191" s="576"/>
      <c r="BN191" s="548"/>
      <c r="BP191" s="576"/>
      <c r="BQ191" s="576"/>
      <c r="BT191" s="548"/>
      <c r="BV191" s="576"/>
      <c r="BW191" s="576"/>
      <c r="BZ191" s="548"/>
    </row>
    <row r="192" spans="2:78" ht="13">
      <c r="B192" s="693">
        <f t="shared" si="350"/>
        <v>0</v>
      </c>
      <c r="C192" s="666"/>
      <c r="D192" s="666"/>
      <c r="E192" s="666">
        <v>-0.21</v>
      </c>
      <c r="F192" s="695">
        <v>-0.36</v>
      </c>
      <c r="G192" s="695">
        <v>0.22</v>
      </c>
      <c r="H192" s="695">
        <v>0.21</v>
      </c>
      <c r="I192" s="695">
        <v>0.46</v>
      </c>
      <c r="J192" s="695">
        <v>0.38</v>
      </c>
      <c r="K192" s="695">
        <v>0.47</v>
      </c>
      <c r="L192" s="695">
        <v>-0.34</v>
      </c>
      <c r="M192" s="695">
        <v>0.47</v>
      </c>
      <c r="N192" s="695">
        <v>-0.55000000000000004</v>
      </c>
      <c r="O192" s="695">
        <v>-0.54</v>
      </c>
      <c r="P192" s="695">
        <f>P179</f>
        <v>-1.4</v>
      </c>
      <c r="Q192" s="695">
        <v>0.03</v>
      </c>
      <c r="R192" s="695">
        <v>-0.79</v>
      </c>
      <c r="S192" s="543"/>
      <c r="T192" s="693">
        <f t="shared" si="354"/>
        <v>0</v>
      </c>
      <c r="U192" s="666"/>
      <c r="V192" s="695"/>
      <c r="W192" s="695">
        <v>-0.22</v>
      </c>
      <c r="X192" s="695">
        <v>-0.36</v>
      </c>
      <c r="Y192" s="695">
        <v>0.26</v>
      </c>
      <c r="Z192" s="695">
        <v>0.24</v>
      </c>
      <c r="AA192" s="695">
        <v>0.46</v>
      </c>
      <c r="AB192" s="695">
        <v>0.36</v>
      </c>
      <c r="AC192" s="695">
        <v>0.45</v>
      </c>
      <c r="AD192" s="695">
        <v>-0.34</v>
      </c>
      <c r="AE192" s="695">
        <v>0.45</v>
      </c>
      <c r="AF192" s="695">
        <v>-0.53</v>
      </c>
      <c r="AG192" s="696">
        <v>-0.52</v>
      </c>
      <c r="AH192" s="695">
        <f>AH179</f>
        <v>-1.4</v>
      </c>
      <c r="AI192" s="695">
        <v>0.03</v>
      </c>
      <c r="AJ192" s="695">
        <v>-0.79</v>
      </c>
      <c r="AK192" s="543"/>
      <c r="AX192" s="576"/>
      <c r="AY192" s="576"/>
      <c r="BB192" s="548"/>
      <c r="BD192" s="576"/>
      <c r="BE192" s="576"/>
      <c r="BH192" s="548"/>
      <c r="BJ192" s="576"/>
      <c r="BK192" s="576"/>
      <c r="BN192" s="548"/>
      <c r="BP192" s="576"/>
      <c r="BQ192" s="576"/>
      <c r="BT192" s="548"/>
      <c r="BV192" s="576"/>
      <c r="BW192" s="576"/>
      <c r="BZ192" s="548"/>
    </row>
    <row r="193" spans="2:78" s="747" customFormat="1" ht="13">
      <c r="B193" s="706" t="s">
        <v>371</v>
      </c>
      <c r="C193" s="701"/>
      <c r="D193" s="701"/>
      <c r="E193" s="701">
        <v>0.28000000000000003</v>
      </c>
      <c r="F193" s="703">
        <v>0.12</v>
      </c>
      <c r="G193" s="703">
        <v>0.11</v>
      </c>
      <c r="H193" s="703">
        <v>0.14000000000000001</v>
      </c>
      <c r="I193" s="703">
        <v>0.09</v>
      </c>
      <c r="J193" s="703">
        <v>0.1</v>
      </c>
      <c r="K193" s="703">
        <v>0.79</v>
      </c>
      <c r="L193" s="703">
        <v>0.1</v>
      </c>
      <c r="M193" s="703">
        <v>0.79</v>
      </c>
      <c r="N193" s="703">
        <v>7.0000000000000007E-2</v>
      </c>
      <c r="O193" s="703">
        <v>0.09</v>
      </c>
      <c r="P193" s="703">
        <f>P180</f>
        <v>0.2</v>
      </c>
      <c r="Q193" s="703">
        <v>0.22</v>
      </c>
      <c r="R193" s="703">
        <v>0.77</v>
      </c>
      <c r="T193" s="706" t="s">
        <v>371</v>
      </c>
      <c r="U193" s="701"/>
      <c r="V193" s="703"/>
      <c r="W193" s="703">
        <v>0.28000000000000003</v>
      </c>
      <c r="X193" s="703">
        <v>0.26</v>
      </c>
      <c r="Y193" s="703">
        <v>0.08</v>
      </c>
      <c r="Z193" s="703">
        <v>0.14000000000000001</v>
      </c>
      <c r="AA193" s="703">
        <v>0.08</v>
      </c>
      <c r="AB193" s="703">
        <v>0.11</v>
      </c>
      <c r="AC193" s="703">
        <v>0.79</v>
      </c>
      <c r="AD193" s="703">
        <v>0.09</v>
      </c>
      <c r="AE193" s="703">
        <v>0.79</v>
      </c>
      <c r="AF193" s="703">
        <v>7.0000000000000007E-2</v>
      </c>
      <c r="AG193" s="703">
        <v>0.1</v>
      </c>
      <c r="AH193" s="703">
        <f>AH180</f>
        <v>0.2</v>
      </c>
      <c r="AI193" s="703">
        <v>0.22</v>
      </c>
      <c r="AJ193" s="703">
        <v>0.77</v>
      </c>
      <c r="AN193" s="746"/>
      <c r="AP193" s="748"/>
      <c r="AT193" s="746"/>
      <c r="AV193" s="748"/>
      <c r="AX193" s="746"/>
      <c r="AY193" s="746"/>
      <c r="AZ193" s="746"/>
      <c r="BD193" s="746"/>
      <c r="BE193" s="746"/>
      <c r="BF193" s="746"/>
      <c r="BJ193" s="746"/>
      <c r="BK193" s="746"/>
      <c r="BL193" s="746"/>
      <c r="BP193" s="746"/>
      <c r="BQ193" s="746"/>
      <c r="BR193" s="746"/>
      <c r="BV193" s="746"/>
      <c r="BW193" s="746"/>
      <c r="BX193" s="746"/>
    </row>
    <row r="194" spans="2:78" s="543" customFormat="1">
      <c r="V194" s="544"/>
      <c r="W194" s="544"/>
      <c r="X194" s="544"/>
      <c r="Y194" s="544"/>
      <c r="Z194" s="544"/>
      <c r="AA194" s="544"/>
      <c r="AB194" s="544"/>
      <c r="AC194" s="544"/>
      <c r="AD194" s="544"/>
      <c r="AG194" s="697"/>
      <c r="AI194" s="545"/>
      <c r="AZ194" s="544"/>
      <c r="BB194" s="545"/>
      <c r="BF194" s="544"/>
      <c r="BH194" s="545"/>
      <c r="BL194" s="544"/>
      <c r="BN194" s="545"/>
      <c r="BR194" s="544"/>
      <c r="BT194" s="545"/>
      <c r="BX194" s="544"/>
      <c r="BZ194" s="545"/>
    </row>
    <row r="195" spans="2:78" ht="97.5" customHeight="1">
      <c r="B195" s="618" t="s">
        <v>372</v>
      </c>
      <c r="C195" s="600" t="str">
        <f t="shared" ref="C195:O195" si="355">C182</f>
        <v>Thermocouple Data Logger, Merek : MADGETECH, Model : OctTemp 2000, SN : P40270</v>
      </c>
      <c r="D195" s="600" t="str">
        <f t="shared" si="355"/>
        <v>Thermocouple Data Logger, Merek : MADGETECH, Model : OctTemp 2000, SN : P41878</v>
      </c>
      <c r="E195" s="600" t="str">
        <f t="shared" si="355"/>
        <v>Mobile Corder, Merek : Yokogawa, Model : GP 10, SN : S5T810599</v>
      </c>
      <c r="F195" s="600" t="str">
        <f t="shared" si="355"/>
        <v>Wireless Temperature Recorder, Merek : HIOKI, Model : LR 8510, SN : 200936000</v>
      </c>
      <c r="G195" s="600" t="str">
        <f t="shared" si="355"/>
        <v>Wireless Temperature Recorder, Merek : HIOKI, Model : LR 8510, SN : 200936001</v>
      </c>
      <c r="H195" s="600" t="str">
        <f t="shared" si="355"/>
        <v>Wireless Temperature Recorder, Merek : HIOKI, Model : LR 8510, SN : 200821397</v>
      </c>
      <c r="I195" s="600" t="str">
        <f t="shared" si="355"/>
        <v>Wireless Temperature Recorder, Merek : HIOKI, Model : LR 8510, SN : 210411983</v>
      </c>
      <c r="J195" s="600" t="str">
        <f t="shared" si="355"/>
        <v>Wireless Temperature Recorder, Merek : HIOKI, Model : LR 8510, SN : 210411984</v>
      </c>
      <c r="K195" s="600" t="str">
        <f t="shared" si="355"/>
        <v>Wireless Temperature Recorder, Merek : HIOKI, Model : LR 8510, SN : 210411985</v>
      </c>
      <c r="L195" s="600" t="str">
        <f t="shared" si="355"/>
        <v>Wireless Temperature Recorder, Merek : HIOKI, Model : LR 8510, SN : 210746054</v>
      </c>
      <c r="M195" s="600" t="str">
        <f t="shared" si="355"/>
        <v>Wireless Temperature Recorder, Merek : HIOKI, Model : LR 8510, SN : 210746055</v>
      </c>
      <c r="N195" s="600" t="str">
        <f t="shared" si="355"/>
        <v>Wireless Temperature Recorder, Merek : HIOKI, Model : LR 8510, SN : 210746056</v>
      </c>
      <c r="O195" s="575" t="str">
        <f t="shared" si="355"/>
        <v>Wireless Temperature Recorder, Merek : HIOKI, Model : LR 8510, SN : 200821396</v>
      </c>
      <c r="P195" s="602" t="s">
        <v>368</v>
      </c>
      <c r="Q195" s="602" t="s">
        <v>369</v>
      </c>
      <c r="R195" s="602" t="s">
        <v>370</v>
      </c>
      <c r="S195" s="543"/>
      <c r="T195" s="618" t="s">
        <v>373</v>
      </c>
      <c r="U195" s="613" t="str">
        <f t="shared" ref="U195:AG195" si="356">U182</f>
        <v>Thermocouple Data Logger, Merek : MADGETECH, Model : OctTemp 2000, SN : P40270</v>
      </c>
      <c r="V195" s="613" t="str">
        <f t="shared" si="356"/>
        <v>Thermocouple Data Logger, Merek : MADGETECH, Model : OctTemp 2000, SN : P41878</v>
      </c>
      <c r="W195" s="613" t="str">
        <f t="shared" si="356"/>
        <v>Mobile Corder, Merek : Yokogawa, Model : GP 10, SN : S5T810599</v>
      </c>
      <c r="X195" s="613" t="str">
        <f t="shared" si="356"/>
        <v>Wireless Temperature Recorder, Merek : HIOKI, Model : LR 8510, SN : 200936000</v>
      </c>
      <c r="Y195" s="613" t="str">
        <f t="shared" si="356"/>
        <v>Wireless Temperature Recorder, Merek : HIOKI, Model : LR 8510, SN : 200936001</v>
      </c>
      <c r="Z195" s="613" t="str">
        <f t="shared" si="356"/>
        <v>Wireless Temperature Recorder, Merek : HIOKI, Model : LR 8510, SN : 200821397</v>
      </c>
      <c r="AA195" s="613" t="str">
        <f t="shared" si="356"/>
        <v>Wireless Temperature Recorder, Merek : HIOKI, Model : LR 8510, SN : 210411983</v>
      </c>
      <c r="AB195" s="613" t="str">
        <f t="shared" si="356"/>
        <v>Wireless Temperature Recorder, Merek : HIOKI, Model : LR 8510, SN : 210411984</v>
      </c>
      <c r="AC195" s="613" t="str">
        <f t="shared" si="356"/>
        <v>Wireless Temperature Recorder, Merek : HIOKI, Model : LR 8510, SN : 210411985</v>
      </c>
      <c r="AD195" s="613" t="str">
        <f t="shared" si="356"/>
        <v>Wireless Temperature Recorder, Merek : HIOKI, Model : LR 8510, SN : 210746054</v>
      </c>
      <c r="AE195" s="613" t="str">
        <f t="shared" si="356"/>
        <v>Wireless Temperature Recorder, Merek : HIOKI, Model : LR 8510, SN : 210746055</v>
      </c>
      <c r="AF195" s="613" t="str">
        <f t="shared" si="356"/>
        <v>Wireless Temperature Recorder, Merek : HIOKI, Model : LR 8510, SN : 210746056</v>
      </c>
      <c r="AG195" s="603" t="str">
        <f t="shared" si="356"/>
        <v>Wireless Temperature Recorder, Merek : HIOKI, Model : LR 8510, SN : 200821396</v>
      </c>
      <c r="AH195" s="602" t="s">
        <v>368</v>
      </c>
      <c r="AI195" s="602" t="s">
        <v>369</v>
      </c>
      <c r="AJ195" s="602" t="s">
        <v>370</v>
      </c>
      <c r="AK195" s="543"/>
      <c r="AX195" s="578"/>
      <c r="AY195" s="579"/>
      <c r="AZ195" s="580"/>
      <c r="BB195" s="548"/>
      <c r="BD195" s="578"/>
      <c r="BE195" s="579"/>
      <c r="BF195" s="580"/>
      <c r="BH195" s="548"/>
      <c r="BJ195" s="578"/>
      <c r="BK195" s="579"/>
      <c r="BL195" s="580"/>
      <c r="BN195" s="548"/>
      <c r="BP195" s="578"/>
      <c r="BQ195" s="579"/>
      <c r="BR195" s="580"/>
      <c r="BT195" s="548"/>
      <c r="BV195" s="578"/>
      <c r="BW195" s="579"/>
      <c r="BX195" s="580"/>
      <c r="BZ195" s="548"/>
    </row>
    <row r="196" spans="2:78" s="581" customFormat="1" ht="4.4000000000000004" customHeight="1">
      <c r="B196" s="619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587"/>
      <c r="P196" s="585"/>
      <c r="Q196" s="585"/>
      <c r="R196" s="585"/>
      <c r="T196" s="619"/>
      <c r="U196" s="614"/>
      <c r="V196" s="614"/>
      <c r="W196" s="614"/>
      <c r="X196" s="614"/>
      <c r="Y196" s="614"/>
      <c r="Z196" s="614"/>
      <c r="AA196" s="614"/>
      <c r="AB196" s="614"/>
      <c r="AC196" s="614"/>
      <c r="AD196" s="614"/>
      <c r="AE196" s="614"/>
      <c r="AF196" s="614"/>
      <c r="AG196" s="609"/>
      <c r="AH196" s="585"/>
      <c r="AI196" s="585"/>
      <c r="AJ196" s="585"/>
      <c r="AN196" s="588"/>
      <c r="AP196" s="589"/>
      <c r="AT196" s="588"/>
      <c r="AV196" s="589"/>
      <c r="AX196" s="590"/>
      <c r="AY196" s="591"/>
      <c r="AZ196" s="592"/>
      <c r="BD196" s="590"/>
      <c r="BE196" s="591"/>
      <c r="BF196" s="592"/>
      <c r="BJ196" s="590"/>
      <c r="BK196" s="591"/>
      <c r="BL196" s="592"/>
      <c r="BP196" s="590"/>
      <c r="BQ196" s="591"/>
      <c r="BR196" s="592"/>
      <c r="BV196" s="590"/>
      <c r="BW196" s="591"/>
      <c r="BX196" s="592"/>
    </row>
    <row r="197" spans="2:78" ht="13">
      <c r="B197" s="593">
        <f t="shared" ref="B197:B203" si="357">B184</f>
        <v>-40</v>
      </c>
      <c r="C197" s="542"/>
      <c r="D197" s="542"/>
      <c r="E197" s="542"/>
      <c r="F197" s="695"/>
      <c r="G197" s="695"/>
      <c r="H197" s="695"/>
      <c r="I197" s="695"/>
      <c r="J197" s="695"/>
      <c r="K197" s="695"/>
      <c r="L197" s="695"/>
      <c r="M197" s="695"/>
      <c r="N197" s="695"/>
      <c r="O197" s="695"/>
      <c r="P197" s="695">
        <f t="shared" ref="P197:P203" si="358">P184</f>
        <v>-1.7</v>
      </c>
      <c r="Q197" s="695"/>
      <c r="R197" s="695"/>
      <c r="S197" s="543"/>
      <c r="T197" s="593">
        <f t="shared" ref="T197:T203" si="359">T184</f>
        <v>-40</v>
      </c>
      <c r="U197" s="542"/>
      <c r="V197" s="695"/>
      <c r="W197" s="695"/>
      <c r="X197" s="695"/>
      <c r="Y197" s="695"/>
      <c r="Z197" s="695"/>
      <c r="AA197" s="695"/>
      <c r="AB197" s="695"/>
      <c r="AC197" s="695"/>
      <c r="AD197" s="695"/>
      <c r="AE197" s="695"/>
      <c r="AF197" s="695"/>
      <c r="AG197" s="696"/>
      <c r="AH197" s="695">
        <f t="shared" ref="AH197:AH203" si="360">AH184</f>
        <v>-1.7</v>
      </c>
      <c r="AI197" s="695"/>
      <c r="AJ197" s="695"/>
      <c r="AK197" s="543"/>
      <c r="AX197" s="576"/>
      <c r="AY197" s="576"/>
      <c r="BB197" s="548"/>
      <c r="BD197" s="576"/>
      <c r="BE197" s="576"/>
      <c r="BH197" s="548"/>
      <c r="BJ197" s="576"/>
      <c r="BK197" s="576"/>
      <c r="BN197" s="548"/>
      <c r="BP197" s="576"/>
      <c r="BQ197" s="576"/>
      <c r="BT197" s="548"/>
      <c r="BV197" s="576"/>
      <c r="BW197" s="576"/>
      <c r="BZ197" s="548"/>
    </row>
    <row r="198" spans="2:78" ht="13">
      <c r="B198" s="593">
        <f t="shared" si="357"/>
        <v>-35</v>
      </c>
      <c r="C198" s="542"/>
      <c r="D198" s="542"/>
      <c r="E198" s="542"/>
      <c r="F198" s="695"/>
      <c r="G198" s="695"/>
      <c r="H198" s="695"/>
      <c r="I198" s="695"/>
      <c r="J198" s="695"/>
      <c r="K198" s="695"/>
      <c r="L198" s="695"/>
      <c r="M198" s="695"/>
      <c r="N198" s="695"/>
      <c r="O198" s="695"/>
      <c r="P198" s="695">
        <f t="shared" si="358"/>
        <v>-1.4</v>
      </c>
      <c r="Q198" s="695"/>
      <c r="R198" s="695"/>
      <c r="S198" s="543"/>
      <c r="T198" s="593">
        <f t="shared" si="359"/>
        <v>-35</v>
      </c>
      <c r="U198" s="542"/>
      <c r="V198" s="695"/>
      <c r="W198" s="695"/>
      <c r="X198" s="695"/>
      <c r="Y198" s="695"/>
      <c r="Z198" s="695"/>
      <c r="AA198" s="695"/>
      <c r="AB198" s="695"/>
      <c r="AC198" s="695"/>
      <c r="AD198" s="695"/>
      <c r="AE198" s="695"/>
      <c r="AF198" s="695"/>
      <c r="AG198" s="696"/>
      <c r="AH198" s="695">
        <f t="shared" si="360"/>
        <v>-1.4</v>
      </c>
      <c r="AI198" s="695"/>
      <c r="AJ198" s="695"/>
      <c r="AK198" s="543"/>
      <c r="AX198" s="576"/>
      <c r="AY198" s="576"/>
      <c r="BB198" s="548"/>
      <c r="BD198" s="576"/>
      <c r="BE198" s="576"/>
      <c r="BH198" s="548"/>
      <c r="BJ198" s="576"/>
      <c r="BK198" s="576"/>
      <c r="BN198" s="548"/>
      <c r="BP198" s="576"/>
      <c r="BQ198" s="576"/>
      <c r="BT198" s="548"/>
      <c r="BV198" s="576"/>
      <c r="BW198" s="576"/>
      <c r="BZ198" s="548"/>
    </row>
    <row r="199" spans="2:78" ht="13">
      <c r="B199" s="593">
        <f t="shared" si="357"/>
        <v>-30</v>
      </c>
      <c r="C199" s="542">
        <v>1E-3</v>
      </c>
      <c r="D199" s="542">
        <v>1E-3</v>
      </c>
      <c r="E199" s="542">
        <v>1E-3</v>
      </c>
      <c r="F199" s="695">
        <v>1E-3</v>
      </c>
      <c r="G199" s="695">
        <v>1E-3</v>
      </c>
      <c r="H199" s="695">
        <v>1E-3</v>
      </c>
      <c r="I199" s="695">
        <v>1E-3</v>
      </c>
      <c r="J199" s="695">
        <v>1E-3</v>
      </c>
      <c r="K199" s="695">
        <v>1E-3</v>
      </c>
      <c r="L199" s="695">
        <v>1E-3</v>
      </c>
      <c r="M199" s="695">
        <v>1E-3</v>
      </c>
      <c r="N199" s="695">
        <v>1E-3</v>
      </c>
      <c r="O199" s="695">
        <v>0</v>
      </c>
      <c r="P199" s="695">
        <f t="shared" si="358"/>
        <v>-1.2</v>
      </c>
      <c r="Q199" s="695"/>
      <c r="R199" s="695"/>
      <c r="S199" s="543"/>
      <c r="T199" s="593">
        <f t="shared" si="359"/>
        <v>-30</v>
      </c>
      <c r="U199" s="542">
        <v>1E-3</v>
      </c>
      <c r="V199" s="695">
        <v>1E-3</v>
      </c>
      <c r="W199" s="695">
        <v>1E-3</v>
      </c>
      <c r="X199" s="695">
        <v>1E-3</v>
      </c>
      <c r="Y199" s="695">
        <v>1E-3</v>
      </c>
      <c r="Z199" s="695">
        <v>1E-3</v>
      </c>
      <c r="AA199" s="695">
        <v>1E-3</v>
      </c>
      <c r="AB199" s="695">
        <v>1E-3</v>
      </c>
      <c r="AC199" s="695">
        <v>1E-3</v>
      </c>
      <c r="AD199" s="695">
        <v>1E-3</v>
      </c>
      <c r="AE199" s="695">
        <v>1E-3</v>
      </c>
      <c r="AF199" s="695">
        <v>1E-3</v>
      </c>
      <c r="AG199" s="696">
        <v>0</v>
      </c>
      <c r="AH199" s="695">
        <f t="shared" si="360"/>
        <v>-1.2</v>
      </c>
      <c r="AI199" s="695"/>
      <c r="AJ199" s="695"/>
      <c r="AK199" s="543"/>
      <c r="AX199" s="576"/>
      <c r="AY199" s="576"/>
      <c r="BB199" s="548"/>
      <c r="BD199" s="576"/>
      <c r="BE199" s="576"/>
      <c r="BH199" s="548"/>
      <c r="BJ199" s="576"/>
      <c r="BK199" s="576"/>
      <c r="BN199" s="548"/>
      <c r="BP199" s="576"/>
      <c r="BQ199" s="576"/>
      <c r="BT199" s="548"/>
      <c r="BV199" s="576"/>
      <c r="BW199" s="576"/>
      <c r="BZ199" s="548"/>
    </row>
    <row r="200" spans="2:78" ht="13">
      <c r="B200" s="593">
        <f t="shared" si="357"/>
        <v>-25</v>
      </c>
      <c r="C200" s="542">
        <v>1E-3</v>
      </c>
      <c r="D200" s="542">
        <v>1E-3</v>
      </c>
      <c r="E200" s="542">
        <v>1E-3</v>
      </c>
      <c r="F200" s="695">
        <v>1E-3</v>
      </c>
      <c r="G200" s="695">
        <v>1E-3</v>
      </c>
      <c r="H200" s="695">
        <v>1E-3</v>
      </c>
      <c r="I200" s="695">
        <v>1E-3</v>
      </c>
      <c r="J200" s="695">
        <v>1E-3</v>
      </c>
      <c r="K200" s="695">
        <v>1E-3</v>
      </c>
      <c r="L200" s="695">
        <v>1E-3</v>
      </c>
      <c r="M200" s="695">
        <v>1E-3</v>
      </c>
      <c r="N200" s="695">
        <v>1E-3</v>
      </c>
      <c r="O200" s="695">
        <v>0</v>
      </c>
      <c r="P200" s="695">
        <f t="shared" si="358"/>
        <v>-1.1000000000000001</v>
      </c>
      <c r="Q200" s="695"/>
      <c r="R200" s="695"/>
      <c r="S200" s="543"/>
      <c r="T200" s="593">
        <f t="shared" si="359"/>
        <v>-25</v>
      </c>
      <c r="U200" s="542">
        <v>1E-3</v>
      </c>
      <c r="V200" s="695">
        <v>1E-3</v>
      </c>
      <c r="W200" s="695">
        <v>1E-3</v>
      </c>
      <c r="X200" s="695">
        <v>1E-3</v>
      </c>
      <c r="Y200" s="695">
        <v>1E-3</v>
      </c>
      <c r="Z200" s="695">
        <v>1E-3</v>
      </c>
      <c r="AA200" s="695">
        <v>1E-3</v>
      </c>
      <c r="AB200" s="695">
        <v>1E-3</v>
      </c>
      <c r="AC200" s="695">
        <v>1E-3</v>
      </c>
      <c r="AD200" s="695">
        <v>1E-3</v>
      </c>
      <c r="AE200" s="695">
        <v>1E-3</v>
      </c>
      <c r="AF200" s="695">
        <v>1E-3</v>
      </c>
      <c r="AG200" s="696">
        <v>0</v>
      </c>
      <c r="AH200" s="695">
        <f t="shared" si="360"/>
        <v>-1.1000000000000001</v>
      </c>
      <c r="AI200" s="695"/>
      <c r="AJ200" s="695"/>
      <c r="AK200" s="543"/>
      <c r="AX200" s="576"/>
      <c r="AY200" s="576"/>
      <c r="BB200" s="548"/>
      <c r="BD200" s="576"/>
      <c r="BE200" s="576"/>
      <c r="BH200" s="548"/>
      <c r="BJ200" s="576"/>
      <c r="BK200" s="576"/>
      <c r="BN200" s="548"/>
      <c r="BP200" s="576"/>
      <c r="BQ200" s="576"/>
      <c r="BT200" s="548"/>
      <c r="BV200" s="576"/>
      <c r="BW200" s="576"/>
      <c r="BZ200" s="548"/>
    </row>
    <row r="201" spans="2:78" ht="13">
      <c r="B201" s="593">
        <f t="shared" si="357"/>
        <v>-20</v>
      </c>
      <c r="C201" s="542">
        <v>1E-3</v>
      </c>
      <c r="D201" s="542">
        <v>1E-3</v>
      </c>
      <c r="E201" s="542">
        <v>1E-3</v>
      </c>
      <c r="F201" s="695">
        <v>1E-3</v>
      </c>
      <c r="G201" s="695">
        <v>1E-3</v>
      </c>
      <c r="H201" s="695">
        <v>1E-3</v>
      </c>
      <c r="I201" s="695">
        <v>1E-3</v>
      </c>
      <c r="J201" s="695">
        <v>1E-3</v>
      </c>
      <c r="K201" s="695">
        <v>1E-3</v>
      </c>
      <c r="L201" s="695">
        <v>1E-3</v>
      </c>
      <c r="M201" s="695">
        <v>1E-3</v>
      </c>
      <c r="N201" s="695">
        <v>1E-3</v>
      </c>
      <c r="O201" s="695">
        <v>0</v>
      </c>
      <c r="P201" s="695">
        <f t="shared" si="358"/>
        <v>-1.1000000000000001</v>
      </c>
      <c r="Q201" s="695">
        <v>-0.15</v>
      </c>
      <c r="R201" s="695">
        <v>-1.8</v>
      </c>
      <c r="S201" s="543"/>
      <c r="T201" s="593">
        <f t="shared" si="359"/>
        <v>-20</v>
      </c>
      <c r="U201" s="542">
        <v>1E-3</v>
      </c>
      <c r="V201" s="695">
        <v>1E-3</v>
      </c>
      <c r="W201" s="695">
        <v>1E-3</v>
      </c>
      <c r="X201" s="695">
        <v>1E-3</v>
      </c>
      <c r="Y201" s="695">
        <v>1E-3</v>
      </c>
      <c r="Z201" s="695">
        <v>1E-3</v>
      </c>
      <c r="AA201" s="695">
        <v>1E-3</v>
      </c>
      <c r="AB201" s="695">
        <v>1E-3</v>
      </c>
      <c r="AC201" s="695">
        <v>1E-3</v>
      </c>
      <c r="AD201" s="695">
        <v>1E-3</v>
      </c>
      <c r="AE201" s="695">
        <v>1E-3</v>
      </c>
      <c r="AF201" s="695">
        <v>1E-3</v>
      </c>
      <c r="AG201" s="696">
        <v>0</v>
      </c>
      <c r="AH201" s="695">
        <f t="shared" si="360"/>
        <v>-1.1000000000000001</v>
      </c>
      <c r="AI201" s="695">
        <v>-0.15</v>
      </c>
      <c r="AJ201" s="695">
        <v>-1.8</v>
      </c>
      <c r="AK201" s="543"/>
      <c r="AX201" s="576"/>
      <c r="AY201" s="576"/>
      <c r="BB201" s="548"/>
      <c r="BD201" s="576"/>
      <c r="BE201" s="576"/>
      <c r="BH201" s="548"/>
      <c r="BJ201" s="576"/>
      <c r="BK201" s="576"/>
      <c r="BN201" s="548"/>
      <c r="BP201" s="576"/>
      <c r="BQ201" s="576"/>
      <c r="BT201" s="548"/>
      <c r="BV201" s="576"/>
      <c r="BW201" s="576"/>
      <c r="BZ201" s="548"/>
    </row>
    <row r="202" spans="2:78" ht="13">
      <c r="B202" s="593">
        <f t="shared" si="357"/>
        <v>-15</v>
      </c>
      <c r="C202" s="542">
        <v>1E-3</v>
      </c>
      <c r="D202" s="542">
        <v>1E-3</v>
      </c>
      <c r="E202" s="542">
        <v>1E-3</v>
      </c>
      <c r="F202" s="695">
        <v>1E-3</v>
      </c>
      <c r="G202" s="695">
        <v>1E-3</v>
      </c>
      <c r="H202" s="695">
        <v>1E-3</v>
      </c>
      <c r="I202" s="695">
        <v>1E-3</v>
      </c>
      <c r="J202" s="695">
        <v>1E-3</v>
      </c>
      <c r="K202" s="695">
        <v>1E-3</v>
      </c>
      <c r="L202" s="695">
        <v>1E-3</v>
      </c>
      <c r="M202" s="695">
        <v>1E-3</v>
      </c>
      <c r="N202" s="695">
        <v>1E-3</v>
      </c>
      <c r="O202" s="695">
        <v>0</v>
      </c>
      <c r="P202" s="695">
        <f t="shared" si="358"/>
        <v>-1.1000000000000001</v>
      </c>
      <c r="Q202" s="695">
        <v>-0.1</v>
      </c>
      <c r="R202" s="695">
        <v>-1.52</v>
      </c>
      <c r="S202" s="543"/>
      <c r="T202" s="593">
        <f t="shared" si="359"/>
        <v>-15</v>
      </c>
      <c r="U202" s="542">
        <v>1E-3</v>
      </c>
      <c r="V202" s="695">
        <v>1E-3</v>
      </c>
      <c r="W202" s="695">
        <v>1E-3</v>
      </c>
      <c r="X202" s="695">
        <v>1E-3</v>
      </c>
      <c r="Y202" s="695">
        <v>1E-3</v>
      </c>
      <c r="Z202" s="695">
        <v>1E-3</v>
      </c>
      <c r="AA202" s="695">
        <v>1E-3</v>
      </c>
      <c r="AB202" s="695">
        <v>1E-3</v>
      </c>
      <c r="AC202" s="695">
        <v>1E-3</v>
      </c>
      <c r="AD202" s="695">
        <v>1E-3</v>
      </c>
      <c r="AE202" s="695">
        <v>1E-3</v>
      </c>
      <c r="AF202" s="695">
        <v>1E-3</v>
      </c>
      <c r="AG202" s="696">
        <v>0</v>
      </c>
      <c r="AH202" s="695">
        <f t="shared" si="360"/>
        <v>-1.1000000000000001</v>
      </c>
      <c r="AI202" s="695">
        <v>-0.1</v>
      </c>
      <c r="AJ202" s="695">
        <v>-1.52</v>
      </c>
      <c r="AK202" s="543"/>
      <c r="AX202" s="576"/>
      <c r="AY202" s="576"/>
      <c r="BB202" s="548"/>
      <c r="BD202" s="576"/>
      <c r="BE202" s="576"/>
      <c r="BH202" s="548"/>
      <c r="BJ202" s="576"/>
      <c r="BK202" s="576"/>
      <c r="BN202" s="548"/>
      <c r="BP202" s="576"/>
      <c r="BQ202" s="576"/>
      <c r="BT202" s="548"/>
      <c r="BV202" s="576"/>
      <c r="BW202" s="576"/>
      <c r="BZ202" s="548"/>
    </row>
    <row r="203" spans="2:78" ht="13">
      <c r="B203" s="593">
        <f t="shared" si="357"/>
        <v>-10</v>
      </c>
      <c r="C203" s="542">
        <v>1E-3</v>
      </c>
      <c r="D203" s="542">
        <v>1E-3</v>
      </c>
      <c r="E203" s="542">
        <v>1E-3</v>
      </c>
      <c r="F203" s="695">
        <v>1E-3</v>
      </c>
      <c r="G203" s="695">
        <v>1E-3</v>
      </c>
      <c r="H203" s="695">
        <v>1E-3</v>
      </c>
      <c r="I203" s="695">
        <v>1E-3</v>
      </c>
      <c r="J203" s="695">
        <v>1E-3</v>
      </c>
      <c r="K203" s="695">
        <v>1E-3</v>
      </c>
      <c r="L203" s="695">
        <v>1E-3</v>
      </c>
      <c r="M203" s="695">
        <v>1E-3</v>
      </c>
      <c r="N203" s="695">
        <v>1E-3</v>
      </c>
      <c r="O203" s="695">
        <v>0</v>
      </c>
      <c r="P203" s="695">
        <f t="shared" si="358"/>
        <v>-1.2</v>
      </c>
      <c r="Q203" s="695">
        <v>-0.05</v>
      </c>
      <c r="R203" s="695">
        <v>-1.26</v>
      </c>
      <c r="S203" s="543"/>
      <c r="T203" s="593">
        <f t="shared" si="359"/>
        <v>-10</v>
      </c>
      <c r="U203" s="542">
        <v>1E-3</v>
      </c>
      <c r="V203" s="695">
        <v>1E-3</v>
      </c>
      <c r="W203" s="695">
        <v>1E-3</v>
      </c>
      <c r="X203" s="695">
        <v>1E-3</v>
      </c>
      <c r="Y203" s="695">
        <v>1E-3</v>
      </c>
      <c r="Z203" s="695">
        <v>1E-3</v>
      </c>
      <c r="AA203" s="695">
        <v>1E-3</v>
      </c>
      <c r="AB203" s="695">
        <v>1E-3</v>
      </c>
      <c r="AC203" s="695">
        <v>1E-3</v>
      </c>
      <c r="AD203" s="695">
        <v>1E-3</v>
      </c>
      <c r="AE203" s="695">
        <v>1E-3</v>
      </c>
      <c r="AF203" s="695">
        <v>1E-3</v>
      </c>
      <c r="AG203" s="696">
        <v>0</v>
      </c>
      <c r="AH203" s="695">
        <f t="shared" si="360"/>
        <v>-1.2</v>
      </c>
      <c r="AI203" s="695">
        <v>-0.05</v>
      </c>
      <c r="AJ203" s="695">
        <v>-1.26</v>
      </c>
      <c r="AK203" s="543"/>
      <c r="AX203" s="576"/>
      <c r="AY203" s="576"/>
      <c r="BB203" s="548"/>
      <c r="BD203" s="576"/>
      <c r="BE203" s="576"/>
      <c r="BH203" s="548"/>
      <c r="BJ203" s="576"/>
      <c r="BK203" s="576"/>
      <c r="BN203" s="548"/>
      <c r="BP203" s="576"/>
      <c r="BQ203" s="576"/>
      <c r="BT203" s="548"/>
      <c r="BV203" s="576"/>
      <c r="BW203" s="576"/>
      <c r="BZ203" s="548"/>
    </row>
    <row r="204" spans="2:78" ht="13">
      <c r="B204" s="593">
        <f>B192</f>
        <v>0</v>
      </c>
      <c r="C204" s="542">
        <v>1E-3</v>
      </c>
      <c r="D204" s="542">
        <v>1E-3</v>
      </c>
      <c r="E204" s="542">
        <v>1E-3</v>
      </c>
      <c r="F204" s="695">
        <v>1E-3</v>
      </c>
      <c r="G204" s="695">
        <v>1E-3</v>
      </c>
      <c r="H204" s="695">
        <v>1E-3</v>
      </c>
      <c r="I204" s="695">
        <v>1E-3</v>
      </c>
      <c r="J204" s="695">
        <v>1E-3</v>
      </c>
      <c r="K204" s="695">
        <v>1E-3</v>
      </c>
      <c r="L204" s="695">
        <v>1E-3</v>
      </c>
      <c r="M204" s="695">
        <v>1E-3</v>
      </c>
      <c r="N204" s="695">
        <v>1E-3</v>
      </c>
      <c r="O204" s="695">
        <v>0</v>
      </c>
      <c r="P204" s="695">
        <f>P192</f>
        <v>-1.4</v>
      </c>
      <c r="Q204" s="695">
        <v>0.03</v>
      </c>
      <c r="R204" s="695">
        <v>-0.79</v>
      </c>
      <c r="S204" s="543"/>
      <c r="T204" s="593">
        <f>T192</f>
        <v>0</v>
      </c>
      <c r="U204" s="542">
        <v>1E-3</v>
      </c>
      <c r="V204" s="695">
        <v>1E-3</v>
      </c>
      <c r="W204" s="695">
        <v>1E-3</v>
      </c>
      <c r="X204" s="695">
        <v>1E-3</v>
      </c>
      <c r="Y204" s="695">
        <v>1E-3</v>
      </c>
      <c r="Z204" s="695">
        <v>1E-3</v>
      </c>
      <c r="AA204" s="695">
        <v>1E-3</v>
      </c>
      <c r="AB204" s="695">
        <v>1E-3</v>
      </c>
      <c r="AC204" s="695">
        <v>1E-3</v>
      </c>
      <c r="AD204" s="695">
        <v>1E-3</v>
      </c>
      <c r="AE204" s="695">
        <v>1E-3</v>
      </c>
      <c r="AF204" s="695">
        <v>1E-3</v>
      </c>
      <c r="AG204" s="696">
        <v>0</v>
      </c>
      <c r="AH204" s="695">
        <f>AH192</f>
        <v>-1.4</v>
      </c>
      <c r="AI204" s="695">
        <v>0.03</v>
      </c>
      <c r="AJ204" s="695">
        <v>-0.79</v>
      </c>
      <c r="AK204" s="543"/>
      <c r="AX204" s="576"/>
      <c r="AY204" s="576"/>
      <c r="BB204" s="548"/>
      <c r="BD204" s="576"/>
      <c r="BE204" s="576"/>
      <c r="BH204" s="548"/>
      <c r="BJ204" s="576"/>
      <c r="BK204" s="576"/>
      <c r="BN204" s="548"/>
      <c r="BP204" s="576"/>
      <c r="BQ204" s="576"/>
      <c r="BT204" s="548"/>
      <c r="BV204" s="576"/>
      <c r="BW204" s="576"/>
      <c r="BZ204" s="548"/>
    </row>
    <row r="205" spans="2:78" s="747" customFormat="1" ht="13">
      <c r="B205" s="706" t="s">
        <v>371</v>
      </c>
      <c r="C205" s="706">
        <v>1E-3</v>
      </c>
      <c r="D205" s="706">
        <v>1E-3</v>
      </c>
      <c r="E205" s="706">
        <v>1E-3</v>
      </c>
      <c r="F205" s="703">
        <v>1E-3</v>
      </c>
      <c r="G205" s="703">
        <v>1E-3</v>
      </c>
      <c r="H205" s="703">
        <v>1E-3</v>
      </c>
      <c r="I205" s="703">
        <v>1E-3</v>
      </c>
      <c r="J205" s="703">
        <v>1E-3</v>
      </c>
      <c r="K205" s="703">
        <v>1E-3</v>
      </c>
      <c r="L205" s="703">
        <v>1E-3</v>
      </c>
      <c r="M205" s="703">
        <v>1E-3</v>
      </c>
      <c r="N205" s="703">
        <v>1E-3</v>
      </c>
      <c r="O205" s="703">
        <v>0</v>
      </c>
      <c r="P205" s="703">
        <f>P193</f>
        <v>0.2</v>
      </c>
      <c r="Q205" s="703">
        <v>0.22</v>
      </c>
      <c r="R205" s="703">
        <v>0.77</v>
      </c>
      <c r="T205" s="706" t="s">
        <v>371</v>
      </c>
      <c r="U205" s="706">
        <v>1E-3</v>
      </c>
      <c r="V205" s="703">
        <v>1E-3</v>
      </c>
      <c r="W205" s="703">
        <v>1E-3</v>
      </c>
      <c r="X205" s="703">
        <v>1E-3</v>
      </c>
      <c r="Y205" s="703">
        <v>1E-3</v>
      </c>
      <c r="Z205" s="703">
        <v>1E-3</v>
      </c>
      <c r="AA205" s="703">
        <v>1E-3</v>
      </c>
      <c r="AB205" s="703">
        <v>1E-3</v>
      </c>
      <c r="AC205" s="703">
        <v>1E-3</v>
      </c>
      <c r="AD205" s="703">
        <v>1E-3</v>
      </c>
      <c r="AE205" s="703">
        <v>1E-3</v>
      </c>
      <c r="AF205" s="703">
        <v>1E-3</v>
      </c>
      <c r="AG205" s="703">
        <v>0</v>
      </c>
      <c r="AH205" s="703">
        <v>0.4</v>
      </c>
      <c r="AI205" s="703">
        <v>0.22</v>
      </c>
      <c r="AJ205" s="703">
        <v>0.77</v>
      </c>
      <c r="AN205" s="746"/>
      <c r="AP205" s="748"/>
      <c r="AT205" s="746"/>
      <c r="AV205" s="748"/>
      <c r="AX205" s="746"/>
      <c r="AY205" s="746"/>
      <c r="AZ205" s="746"/>
      <c r="BD205" s="746"/>
      <c r="BE205" s="746"/>
      <c r="BF205" s="746"/>
      <c r="BJ205" s="746"/>
      <c r="BK205" s="746"/>
      <c r="BL205" s="746"/>
      <c r="BP205" s="746"/>
      <c r="BQ205" s="746"/>
      <c r="BR205" s="746"/>
      <c r="BV205" s="746"/>
      <c r="BW205" s="746"/>
      <c r="BX205" s="746"/>
    </row>
    <row r="206" spans="2:78" s="543" customFormat="1" ht="13">
      <c r="B206" s="558"/>
      <c r="C206" s="558"/>
      <c r="D206" s="558"/>
      <c r="E206" s="544"/>
      <c r="F206" s="544"/>
      <c r="G206" s="544"/>
      <c r="H206" s="544"/>
      <c r="I206" s="544"/>
      <c r="J206" s="544"/>
      <c r="K206" s="544"/>
      <c r="L206" s="544"/>
      <c r="M206" s="544"/>
      <c r="N206" s="544"/>
      <c r="O206" s="544"/>
      <c r="R206" s="558"/>
      <c r="S206" s="558"/>
      <c r="T206" s="558"/>
      <c r="U206" s="544"/>
      <c r="V206" s="558"/>
      <c r="W206" s="558"/>
      <c r="X206" s="558"/>
      <c r="Y206" s="558"/>
      <c r="Z206" s="558"/>
      <c r="AA206" s="558"/>
      <c r="AB206" s="558"/>
      <c r="AD206" s="544"/>
      <c r="AE206" s="558"/>
      <c r="AF206" s="558"/>
      <c r="AG206" s="558"/>
      <c r="AH206" s="544"/>
      <c r="AJ206" s="545"/>
      <c r="AK206" s="558"/>
      <c r="AL206" s="558"/>
      <c r="AM206" s="558"/>
      <c r="AN206" s="544"/>
      <c r="AR206" s="558"/>
      <c r="AS206" s="558"/>
      <c r="AT206" s="544"/>
      <c r="AX206" s="558"/>
      <c r="AY206" s="558"/>
      <c r="AZ206" s="544"/>
      <c r="BD206" s="558"/>
      <c r="BE206" s="558"/>
      <c r="BF206" s="544"/>
      <c r="BJ206" s="558"/>
      <c r="BK206" s="558"/>
      <c r="BL206" s="544"/>
      <c r="BP206" s="558"/>
      <c r="BQ206" s="558"/>
      <c r="BR206" s="544"/>
      <c r="BV206" s="558"/>
      <c r="BW206" s="558"/>
      <c r="BX206" s="544"/>
    </row>
    <row r="207" spans="2:78" s="543" customFormat="1" ht="13">
      <c r="B207" s="558"/>
      <c r="C207" s="558"/>
      <c r="D207" s="558"/>
      <c r="E207" s="544"/>
      <c r="F207" s="544"/>
      <c r="G207" s="544"/>
      <c r="H207" s="544"/>
      <c r="I207" s="544"/>
      <c r="J207" s="544"/>
      <c r="K207" s="544"/>
      <c r="L207" s="544"/>
      <c r="M207" s="544"/>
      <c r="N207" s="544"/>
      <c r="O207" s="544"/>
      <c r="R207" s="558"/>
      <c r="S207" s="558"/>
      <c r="T207" s="558"/>
      <c r="U207" s="544"/>
      <c r="V207" s="558"/>
      <c r="W207" s="558"/>
      <c r="X207" s="558"/>
      <c r="Y207" s="558"/>
      <c r="Z207" s="558"/>
      <c r="AA207" s="558"/>
      <c r="AB207" s="558"/>
      <c r="AD207" s="544"/>
      <c r="AE207" s="558"/>
      <c r="AF207" s="558"/>
      <c r="AG207" s="558"/>
      <c r="AH207" s="544"/>
      <c r="AJ207" s="545"/>
      <c r="AK207" s="558"/>
      <c r="AL207" s="558"/>
      <c r="AM207" s="558"/>
      <c r="AN207" s="544"/>
      <c r="AR207" s="558"/>
      <c r="AS207" s="558"/>
      <c r="AT207" s="544"/>
      <c r="AX207" s="558"/>
      <c r="AY207" s="558"/>
      <c r="AZ207" s="544"/>
      <c r="BD207" s="558"/>
      <c r="BE207" s="558"/>
      <c r="BF207" s="544"/>
      <c r="BJ207" s="558"/>
      <c r="BK207" s="558"/>
      <c r="BL207" s="544"/>
      <c r="BP207" s="558"/>
      <c r="BQ207" s="558"/>
      <c r="BR207" s="544"/>
      <c r="BV207" s="558"/>
      <c r="BW207" s="558"/>
      <c r="BX207" s="544"/>
    </row>
    <row r="208" spans="2:78" s="543" customFormat="1" ht="20.149999999999999" customHeight="1">
      <c r="T208" s="544"/>
      <c r="U208" s="544"/>
      <c r="V208" s="544"/>
      <c r="W208" s="544"/>
      <c r="X208" s="544"/>
      <c r="Y208" s="544"/>
      <c r="Z208" s="544"/>
      <c r="AA208" s="544"/>
      <c r="AB208" s="544"/>
      <c r="AH208" s="544"/>
      <c r="AJ208" s="545"/>
      <c r="AN208" s="544"/>
      <c r="AT208" s="544"/>
      <c r="AZ208" s="544"/>
      <c r="BF208" s="544"/>
      <c r="BL208" s="544"/>
      <c r="BR208" s="544"/>
      <c r="BX208" s="544"/>
    </row>
    <row r="209" spans="2:78" ht="70" customHeight="1">
      <c r="B209" s="1191" t="s">
        <v>374</v>
      </c>
      <c r="C209" s="1191"/>
      <c r="D209" s="1191"/>
      <c r="E209" s="1191"/>
      <c r="F209" s="1191"/>
      <c r="G209" s="1191"/>
      <c r="H209" s="1191"/>
      <c r="I209" s="1191"/>
      <c r="J209" s="1191"/>
      <c r="K209" s="1191"/>
      <c r="L209" s="1191"/>
      <c r="M209" s="543"/>
      <c r="N209" s="543"/>
      <c r="O209" s="543"/>
      <c r="P209" s="543"/>
      <c r="Q209" s="543"/>
      <c r="R209" s="543"/>
      <c r="AP209" s="548"/>
      <c r="AV209" s="548"/>
      <c r="BB209" s="548"/>
      <c r="BH209" s="548"/>
      <c r="BN209" s="548"/>
      <c r="BT209" s="548"/>
      <c r="BZ209" s="548"/>
    </row>
    <row r="210" spans="2:78" ht="20.149999999999999" customHeight="1">
      <c r="B210" s="1192"/>
      <c r="C210" s="1192"/>
      <c r="D210" s="1192"/>
      <c r="E210" s="1192"/>
      <c r="F210" s="1192"/>
      <c r="G210" s="1192"/>
      <c r="H210" s="1192"/>
      <c r="I210" s="1192"/>
      <c r="J210" s="1192"/>
      <c r="K210" s="1192"/>
      <c r="L210" s="1192"/>
      <c r="M210" s="543"/>
      <c r="N210" s="543"/>
      <c r="O210" s="543"/>
      <c r="P210" s="543"/>
      <c r="Q210" s="543"/>
      <c r="R210" s="543"/>
      <c r="AP210" s="548"/>
      <c r="AV210" s="548"/>
      <c r="BB210" s="548"/>
      <c r="BH210" s="548"/>
      <c r="BN210" s="548"/>
      <c r="BT210" s="548"/>
      <c r="BZ210" s="548"/>
    </row>
    <row r="211" spans="2:78" ht="63">
      <c r="B211" s="620" t="str">
        <f>ID!A113</f>
        <v>Wireless Temperature Recorder, Merek : HIOKI, Model : LR 8510, SN : 210411984</v>
      </c>
      <c r="C211" s="621" t="s">
        <v>353</v>
      </c>
      <c r="D211" s="621" t="s">
        <v>358</v>
      </c>
      <c r="E211" s="621" t="s">
        <v>359</v>
      </c>
      <c r="F211" s="621" t="s">
        <v>360</v>
      </c>
      <c r="G211" s="621" t="s">
        <v>361</v>
      </c>
      <c r="H211" s="621" t="s">
        <v>362</v>
      </c>
      <c r="I211" s="621" t="s">
        <v>363</v>
      </c>
      <c r="J211" s="621" t="s">
        <v>364</v>
      </c>
      <c r="K211" s="621" t="s">
        <v>365</v>
      </c>
      <c r="L211" s="621" t="s">
        <v>366</v>
      </c>
      <c r="M211" s="544"/>
      <c r="N211" s="544"/>
      <c r="O211" s="544"/>
      <c r="P211" s="544"/>
      <c r="Q211" s="544"/>
      <c r="R211" s="544"/>
      <c r="AP211" s="548"/>
      <c r="AV211" s="548"/>
      <c r="BB211" s="548"/>
      <c r="BH211" s="548"/>
      <c r="BN211" s="548"/>
      <c r="BT211" s="548"/>
      <c r="BZ211" s="548"/>
    </row>
    <row r="212" spans="2:78" ht="15.5">
      <c r="B212" s="593">
        <v>-40</v>
      </c>
      <c r="C212" s="538">
        <f>HLOOKUP($B$211,$B$127:$R$138,3,0)</f>
        <v>0.28999999999999998</v>
      </c>
      <c r="D212" s="538">
        <f>HLOOKUP($B$211,$T$127:$AJ$138,3,0)</f>
        <v>0.28999999999999998</v>
      </c>
      <c r="E212" s="538">
        <f>HLOOKUP($B$211,$B$141:$R$152,3,0)</f>
        <v>0.32</v>
      </c>
      <c r="F212" s="538">
        <f>HLOOKUP($B$211,$T$141:$AJ$152,3,0)</f>
        <v>0.27</v>
      </c>
      <c r="G212" s="538">
        <f>HLOOKUP($B$211,$B$155:$R$166,3,0)</f>
        <v>0.28999999999999998</v>
      </c>
      <c r="H212" s="538">
        <f>HLOOKUP($B$211,$T$155:$AJ$166,3,0)</f>
        <v>0.31</v>
      </c>
      <c r="I212" s="538">
        <f>HLOOKUP($B$211,$B$169:$R$180,3,0)</f>
        <v>0.32</v>
      </c>
      <c r="J212" s="538">
        <f>HLOOKUP($B$211,$T$169:$AJ$180,3,0)</f>
        <v>0.32</v>
      </c>
      <c r="K212" s="538">
        <f>HLOOKUP($B$211,$B$182:$R$193,3,0)</f>
        <v>0.3</v>
      </c>
      <c r="L212" s="538">
        <f>HLOOKUP($B$211,$T$182:$AJ$193,3,0)</f>
        <v>0.28000000000000003</v>
      </c>
      <c r="M212" s="556"/>
      <c r="N212" s="556"/>
      <c r="O212" s="556"/>
      <c r="P212" s="556"/>
      <c r="Q212" s="556"/>
      <c r="R212" s="556"/>
      <c r="V212" s="623"/>
      <c r="W212" s="623"/>
      <c r="X212" s="623"/>
      <c r="Y212" s="623"/>
      <c r="Z212" s="623"/>
      <c r="AA212" s="623"/>
      <c r="AB212" s="623"/>
      <c r="AP212" s="548"/>
      <c r="AV212" s="548"/>
      <c r="BB212" s="548"/>
      <c r="BH212" s="548"/>
      <c r="BN212" s="548"/>
      <c r="BT212" s="548"/>
      <c r="BZ212" s="548"/>
    </row>
    <row r="213" spans="2:78" ht="15.5">
      <c r="B213" s="593">
        <v>-35</v>
      </c>
      <c r="C213" s="538">
        <f>HLOOKUP($B$211,$B$127:$R$138,4,0)</f>
        <v>0.28000000000000003</v>
      </c>
      <c r="D213" s="538">
        <f>HLOOKUP($B$211,$T$127:$AJ$138,4,0)</f>
        <v>0.26</v>
      </c>
      <c r="E213" s="538">
        <f>HLOOKUP($B$211,$B$141:$R$152,4,0)</f>
        <v>0.3</v>
      </c>
      <c r="F213" s="538">
        <f>HLOOKUP($B$211,$T$141:$AJ$152,4,0)</f>
        <v>0.28999999999999998</v>
      </c>
      <c r="G213" s="538">
        <f>HLOOKUP($B$211,$B$155:$R$166,4,0)</f>
        <v>0.28999999999999998</v>
      </c>
      <c r="H213" s="538">
        <f>HLOOKUP($B$211,$T$155:$AJ$166,4,0)</f>
        <v>0.3</v>
      </c>
      <c r="I213" s="538">
        <f>HLOOKUP($B$211,$B$169:$R$180,4,0)</f>
        <v>0.32</v>
      </c>
      <c r="J213" s="538">
        <f>HLOOKUP($B$211,$T$169:$AJ$180,4,0)</f>
        <v>0.32</v>
      </c>
      <c r="K213" s="538">
        <f>HLOOKUP($B$211,$B$182:$R$193,4,0)</f>
        <v>0.3</v>
      </c>
      <c r="L213" s="538">
        <f>HLOOKUP($B$211,$T$182:$AJ$193,4,0)</f>
        <v>0.3</v>
      </c>
      <c r="M213" s="556"/>
      <c r="N213" s="556"/>
      <c r="O213" s="556"/>
      <c r="P213" s="556"/>
      <c r="Q213" s="556"/>
      <c r="R213" s="556"/>
      <c r="V213" s="623"/>
      <c r="W213" s="623"/>
      <c r="X213" s="623"/>
      <c r="Y213" s="623"/>
      <c r="Z213" s="623"/>
      <c r="AA213" s="623"/>
      <c r="AB213" s="623"/>
      <c r="AP213" s="548"/>
      <c r="AV213" s="548"/>
      <c r="BB213" s="548"/>
      <c r="BH213" s="548"/>
      <c r="BN213" s="548"/>
      <c r="BT213" s="548"/>
      <c r="BZ213" s="548"/>
    </row>
    <row r="214" spans="2:78" ht="15.5">
      <c r="B214" s="593">
        <v>-30</v>
      </c>
      <c r="C214" s="538">
        <f>HLOOKUP($B$211,$B$127:$R$138,5,0)</f>
        <v>0.28999999999999998</v>
      </c>
      <c r="D214" s="538">
        <f>HLOOKUP($B$211,$T$127:$AJ$138,5,0)</f>
        <v>0.26</v>
      </c>
      <c r="E214" s="538">
        <f>HLOOKUP($B$211,$B$141:$R$152,5,0)</f>
        <v>0.3</v>
      </c>
      <c r="F214" s="538">
        <f>HLOOKUP($B$211,$T$141:$AJ$152,5,0)</f>
        <v>0.3</v>
      </c>
      <c r="G214" s="538">
        <f>HLOOKUP($B$211,$B$155:$R$166,5,0)</f>
        <v>0.31</v>
      </c>
      <c r="H214" s="538">
        <f>HLOOKUP($B$211,$T$155:$AJ$166,5,0)</f>
        <v>0.3</v>
      </c>
      <c r="I214" s="538">
        <f>HLOOKUP($B$211,$B$169:$R$180,5,0)</f>
        <v>0.33</v>
      </c>
      <c r="J214" s="538">
        <f>HLOOKUP($B$211,$T$169:$AJ$180,5,0)</f>
        <v>0.33</v>
      </c>
      <c r="K214" s="538">
        <f>HLOOKUP($B$211,$B$182:$R$193,5,0)</f>
        <v>0.32</v>
      </c>
      <c r="L214" s="538">
        <f>HLOOKUP($B$211,$T$182:$AJ$193,5,0)</f>
        <v>0.31</v>
      </c>
      <c r="M214" s="556"/>
      <c r="N214" s="556"/>
      <c r="O214" s="556"/>
      <c r="P214" s="556"/>
      <c r="Q214" s="556"/>
      <c r="R214" s="556"/>
      <c r="V214" s="623"/>
      <c r="W214" s="623"/>
      <c r="X214" s="623"/>
      <c r="Y214" s="623"/>
      <c r="Z214" s="623"/>
      <c r="AA214" s="623"/>
      <c r="AB214" s="623"/>
      <c r="AP214" s="548"/>
      <c r="AV214" s="548"/>
      <c r="BB214" s="548"/>
      <c r="BH214" s="548"/>
      <c r="BN214" s="548"/>
      <c r="BT214" s="548"/>
      <c r="BZ214" s="548"/>
    </row>
    <row r="215" spans="2:78" ht="15.5">
      <c r="B215" s="593">
        <v>-25</v>
      </c>
      <c r="C215" s="538">
        <f>HLOOKUP($B$211,$B$127:$R$138,6,0)</f>
        <v>0.31</v>
      </c>
      <c r="D215" s="538">
        <f>HLOOKUP($B$211,$T$127:$AJ$138,6,0)</f>
        <v>0.28000000000000003</v>
      </c>
      <c r="E215" s="538">
        <f>HLOOKUP($B$211,$B$141:$R$152,6,0)</f>
        <v>0.31</v>
      </c>
      <c r="F215" s="538">
        <f>HLOOKUP($B$211,$T$141:$AJ$152,6,0)</f>
        <v>0.32</v>
      </c>
      <c r="G215" s="538">
        <f>HLOOKUP($B$211,$B$155:$R$166,6,0)</f>
        <v>0.32</v>
      </c>
      <c r="H215" s="538">
        <f>HLOOKUP($B$211,$T$155:$AJ$166,6,0)</f>
        <v>0.33</v>
      </c>
      <c r="I215" s="538">
        <f>HLOOKUP($B$211,$B$169:$R$180,6,0)</f>
        <v>0.35</v>
      </c>
      <c r="J215" s="538">
        <f>HLOOKUP($B$211,$T$169:$AJ$180,6,0)</f>
        <v>0.34</v>
      </c>
      <c r="K215" s="538">
        <f>HLOOKUP($B$211,$B$182:$R$193,6,0)</f>
        <v>0.34</v>
      </c>
      <c r="L215" s="538">
        <f>HLOOKUP($B$211,$T$182:$AJ$193,6,0)</f>
        <v>0.33</v>
      </c>
      <c r="M215" s="624"/>
      <c r="N215" s="556"/>
      <c r="O215" s="556"/>
      <c r="P215" s="556"/>
      <c r="Q215" s="556"/>
      <c r="R215" s="556"/>
      <c r="V215" s="623"/>
      <c r="W215" s="623"/>
      <c r="X215" s="623"/>
      <c r="Y215" s="623"/>
      <c r="Z215" s="623"/>
      <c r="AA215" s="623"/>
      <c r="AB215" s="623"/>
      <c r="AP215" s="548"/>
      <c r="AV215" s="548"/>
      <c r="BB215" s="548"/>
      <c r="BH215" s="548"/>
      <c r="BN215" s="548"/>
      <c r="BT215" s="548"/>
      <c r="BZ215" s="548"/>
    </row>
    <row r="216" spans="2:78" ht="15.5">
      <c r="B216" s="593">
        <v>-20</v>
      </c>
      <c r="C216" s="538">
        <f>HLOOKUP($B$211,$B$127:$R$138,7,0)</f>
        <v>0.33</v>
      </c>
      <c r="D216" s="538">
        <f>HLOOKUP($B$211,$T$127:$AJ$138,7,0)</f>
        <v>0.3</v>
      </c>
      <c r="E216" s="538">
        <f>HLOOKUP($B$211,$B$141:$R$152,7,0)</f>
        <v>0.33</v>
      </c>
      <c r="F216" s="538">
        <f>HLOOKUP($B$211,$T$141:$AJ$152,7,0)</f>
        <v>0.33</v>
      </c>
      <c r="G216" s="538">
        <f>HLOOKUP($B$211,$B$155:$R$166,7,0)</f>
        <v>0.34</v>
      </c>
      <c r="H216" s="538">
        <f>HLOOKUP($B$211,$T$155:$AJ$166,7,0)</f>
        <v>0.35</v>
      </c>
      <c r="I216" s="538">
        <f>HLOOKUP($B$211,$B$169:$R$180,7,0)</f>
        <v>0.37</v>
      </c>
      <c r="J216" s="538">
        <f>HLOOKUP($B$211,$T$169:$AJ$180,7,0)</f>
        <v>0.36</v>
      </c>
      <c r="K216" s="538">
        <f>HLOOKUP($B$211,$B$182:$R$193,7,0)</f>
        <v>0.36</v>
      </c>
      <c r="L216" s="538">
        <f>HLOOKUP($B$211,$T$182:$AJ$193,7,0)</f>
        <v>0.34</v>
      </c>
      <c r="M216" s="556"/>
      <c r="N216" s="556"/>
      <c r="O216" s="556"/>
      <c r="P216" s="556"/>
      <c r="Q216" s="556"/>
      <c r="R216" s="556"/>
      <c r="V216" s="623"/>
      <c r="W216" s="623"/>
      <c r="X216" s="623"/>
      <c r="Y216" s="623"/>
      <c r="Z216" s="623"/>
      <c r="AA216" s="623"/>
      <c r="AB216" s="623"/>
      <c r="AP216" s="548"/>
      <c r="AV216" s="548"/>
      <c r="BB216" s="548"/>
      <c r="BH216" s="548"/>
      <c r="BN216" s="548"/>
      <c r="BT216" s="548"/>
      <c r="BZ216" s="548"/>
    </row>
    <row r="217" spans="2:78" ht="15.5">
      <c r="B217" s="593">
        <v>-15</v>
      </c>
      <c r="C217" s="538">
        <f>HLOOKUP($B$211,$B$127:$R$138,8,0)</f>
        <v>0.35</v>
      </c>
      <c r="D217" s="538">
        <f>HLOOKUP($B$211,$T$127:$AJ$138,8,0)</f>
        <v>0.33</v>
      </c>
      <c r="E217" s="538">
        <f>HLOOKUP($B$211,$B$141:$R$152,8,0)</f>
        <v>0.36</v>
      </c>
      <c r="F217" s="538">
        <f>HLOOKUP($B$211,$T$141:$AJ$152,8,0)</f>
        <v>0.35</v>
      </c>
      <c r="G217" s="538">
        <f>HLOOKUP($B$211,$B$155:$R$166,8,0)</f>
        <v>0.36</v>
      </c>
      <c r="H217" s="538">
        <f>HLOOKUP($B$211,$T$155:$AJ$166,8,0)</f>
        <v>0.38</v>
      </c>
      <c r="I217" s="538">
        <f>HLOOKUP($B$211,$B$169:$R$180,8,0)</f>
        <v>0.39</v>
      </c>
      <c r="J217" s="538">
        <f>HLOOKUP($B$211,$T$169:$AJ$180,8,0)</f>
        <v>0.38</v>
      </c>
      <c r="K217" s="538">
        <f>HLOOKUP($B$211,$B$182:$R$193,8,0)</f>
        <v>0.38</v>
      </c>
      <c r="L217" s="538">
        <f>HLOOKUP($B$211,$T$182:$AJ$193,8,0)</f>
        <v>0.35</v>
      </c>
      <c r="M217" s="556"/>
      <c r="N217" s="556"/>
      <c r="O217" s="556"/>
      <c r="P217" s="556"/>
      <c r="Q217" s="556"/>
      <c r="R217" s="556"/>
      <c r="V217" s="625"/>
      <c r="W217" s="625"/>
      <c r="X217" s="625"/>
      <c r="Y217" s="625"/>
      <c r="Z217" s="625"/>
      <c r="AA217" s="625"/>
      <c r="AB217" s="625"/>
      <c r="AP217" s="548"/>
      <c r="AV217" s="548"/>
      <c r="BB217" s="548"/>
      <c r="BH217" s="548"/>
      <c r="BN217" s="548"/>
      <c r="BT217" s="548"/>
      <c r="BZ217" s="548"/>
    </row>
    <row r="218" spans="2:78" ht="15.5">
      <c r="B218" s="593">
        <v>-10</v>
      </c>
      <c r="C218" s="538">
        <f>HLOOKUP($B$211,$B$127:$R$138,9,0)</f>
        <v>0.36</v>
      </c>
      <c r="D218" s="538">
        <f>HLOOKUP($B$211,$T$127:$AJ$138,9,0)</f>
        <v>0.35</v>
      </c>
      <c r="E218" s="538">
        <f>HLOOKUP($B$211,$B$141:$R$152,9,0)</f>
        <v>0.37</v>
      </c>
      <c r="F218" s="538">
        <f>HLOOKUP($B$211,$T$141:$AJ$152,9,0)</f>
        <v>0.36</v>
      </c>
      <c r="G218" s="538">
        <f>HLOOKUP($B$211,$B$155:$R$166,9,0)</f>
        <v>0.38</v>
      </c>
      <c r="H218" s="538">
        <f>HLOOKUP($B$211,$T$155:$AJ$166,9,0)</f>
        <v>0.4</v>
      </c>
      <c r="I218" s="538">
        <f>HLOOKUP($B$211,$B$169:$R$180,9,0)</f>
        <v>0.4</v>
      </c>
      <c r="J218" s="538">
        <f>HLOOKUP($B$211,$T$169:$AJ$180,9,0)</f>
        <v>0.4</v>
      </c>
      <c r="K218" s="538">
        <f>HLOOKUP($B$211,$B$182:$R$193,9,0)</f>
        <v>0.39</v>
      </c>
      <c r="L218" s="538">
        <f>HLOOKUP($B$211,$T$182:$AJ$193,9,0)</f>
        <v>0.36</v>
      </c>
      <c r="M218" s="556"/>
      <c r="N218" s="556"/>
      <c r="O218" s="556"/>
      <c r="P218" s="556"/>
      <c r="Q218" s="556"/>
      <c r="R218" s="556"/>
      <c r="V218" s="625"/>
      <c r="W218" s="625"/>
      <c r="X218" s="625"/>
      <c r="Y218" s="625"/>
      <c r="Z218" s="625"/>
      <c r="AA218" s="625"/>
      <c r="AB218" s="625"/>
    </row>
    <row r="219" spans="2:78" ht="15.5">
      <c r="B219" s="593">
        <v>1E-3</v>
      </c>
      <c r="C219" s="538">
        <f>HLOOKUP($B$211,$B$127:$R$138,10,0)</f>
        <v>0.36</v>
      </c>
      <c r="D219" s="538">
        <f>HLOOKUP($B$211,$T$127:$AJ$138,10,0)</f>
        <v>0.36</v>
      </c>
      <c r="E219" s="538">
        <f>HLOOKUP($B$211,$B$141:$R$152,10,0)</f>
        <v>0.38</v>
      </c>
      <c r="F219" s="538">
        <f>HLOOKUP($B$211,$T$141:$AJ$152,10,0)</f>
        <v>0.37</v>
      </c>
      <c r="G219" s="538">
        <f>HLOOKUP($B$211,$B$155:$R$166,10,0)</f>
        <v>0.39</v>
      </c>
      <c r="H219" s="538">
        <f>HLOOKUP($B$211,$T$155:$AJ$166,10,0)</f>
        <v>0.4</v>
      </c>
      <c r="I219" s="538">
        <f>HLOOKUP($B$211,$B$169:$R$180,10,0)</f>
        <v>0.4</v>
      </c>
      <c r="J219" s="538">
        <f>HLOOKUP($B$211,$T$169:$AJ$180,10,0)</f>
        <v>0.4</v>
      </c>
      <c r="K219" s="538">
        <f>HLOOKUP($B$211,$B$182:$R$193,10,0)</f>
        <v>0.4</v>
      </c>
      <c r="L219" s="538">
        <f>HLOOKUP($B$211,$T$182:$AJ$193,10,0)</f>
        <v>0.36</v>
      </c>
      <c r="M219" s="556"/>
      <c r="N219" s="556"/>
      <c r="O219" s="556"/>
      <c r="P219" s="556"/>
      <c r="Q219" s="556"/>
      <c r="R219" s="556"/>
      <c r="V219" s="625"/>
      <c r="W219" s="625"/>
      <c r="X219" s="625"/>
      <c r="Y219" s="625"/>
      <c r="Z219" s="625"/>
      <c r="AA219" s="625"/>
      <c r="AB219" s="625"/>
    </row>
    <row r="220" spans="2:78" ht="15.5" hidden="1">
      <c r="B220" s="593"/>
      <c r="C220" s="538"/>
      <c r="D220" s="538"/>
      <c r="E220" s="538"/>
      <c r="F220" s="538"/>
      <c r="G220" s="538"/>
      <c r="H220" s="538"/>
      <c r="I220" s="538"/>
      <c r="J220" s="538"/>
      <c r="K220" s="538"/>
      <c r="L220" s="538"/>
      <c r="M220" s="556"/>
      <c r="N220" s="556"/>
      <c r="O220" s="556"/>
      <c r="P220" s="556"/>
      <c r="Q220" s="556"/>
      <c r="R220" s="556"/>
      <c r="V220" s="625"/>
      <c r="W220" s="625"/>
      <c r="X220" s="625"/>
      <c r="Y220" s="625"/>
      <c r="Z220" s="625"/>
      <c r="AA220" s="625"/>
      <c r="AB220" s="625"/>
    </row>
    <row r="221" spans="2:78" ht="15.5" hidden="1">
      <c r="B221" s="593"/>
      <c r="C221" s="538"/>
      <c r="D221" s="538"/>
      <c r="E221" s="538"/>
      <c r="F221" s="538"/>
      <c r="G221" s="538"/>
      <c r="H221" s="538"/>
      <c r="I221" s="538"/>
      <c r="J221" s="538"/>
      <c r="K221" s="538"/>
      <c r="L221" s="538"/>
      <c r="M221" s="556"/>
      <c r="N221" s="556"/>
      <c r="O221" s="556"/>
      <c r="P221" s="556"/>
      <c r="Q221" s="556"/>
      <c r="R221" s="556"/>
      <c r="V221" s="625"/>
      <c r="W221" s="625"/>
      <c r="X221" s="625"/>
      <c r="Y221" s="625"/>
      <c r="Z221" s="625"/>
      <c r="AA221" s="625"/>
      <c r="AB221" s="625"/>
    </row>
    <row r="222" spans="2:78" ht="15.5" hidden="1">
      <c r="B222" s="593"/>
      <c r="C222" s="538"/>
      <c r="D222" s="538"/>
      <c r="E222" s="538"/>
      <c r="F222" s="538"/>
      <c r="G222" s="538"/>
      <c r="H222" s="538"/>
      <c r="I222" s="538"/>
      <c r="J222" s="538"/>
      <c r="K222" s="538"/>
      <c r="L222" s="538"/>
      <c r="M222" s="556"/>
      <c r="N222" s="556"/>
      <c r="O222" s="556"/>
      <c r="P222" s="556"/>
      <c r="Q222" s="556"/>
      <c r="R222" s="556"/>
      <c r="V222" s="625"/>
      <c r="W222" s="625"/>
      <c r="X222" s="625"/>
      <c r="Y222" s="625"/>
      <c r="Z222" s="625"/>
      <c r="AA222" s="625"/>
      <c r="AB222" s="625"/>
    </row>
    <row r="223" spans="2:78" ht="15.5" hidden="1">
      <c r="B223" s="593"/>
      <c r="C223" s="538"/>
      <c r="D223" s="538"/>
      <c r="E223" s="538"/>
      <c r="F223" s="538"/>
      <c r="G223" s="538"/>
      <c r="H223" s="538"/>
      <c r="I223" s="538"/>
      <c r="J223" s="538"/>
      <c r="K223" s="538"/>
      <c r="L223" s="538"/>
      <c r="M223" s="556"/>
      <c r="N223" s="556"/>
      <c r="O223" s="556"/>
      <c r="P223" s="556"/>
      <c r="Q223" s="556"/>
      <c r="R223" s="556"/>
      <c r="V223" s="625"/>
      <c r="W223" s="625"/>
      <c r="X223" s="625"/>
      <c r="Y223" s="625"/>
      <c r="Z223" s="625"/>
      <c r="AA223" s="625"/>
      <c r="AB223" s="625"/>
    </row>
    <row r="224" spans="2:78" ht="15.5" hidden="1">
      <c r="B224" s="593"/>
      <c r="C224" s="538"/>
      <c r="D224" s="538"/>
      <c r="E224" s="538"/>
      <c r="F224" s="538"/>
      <c r="G224" s="538"/>
      <c r="H224" s="538"/>
      <c r="I224" s="538"/>
      <c r="J224" s="538"/>
      <c r="K224" s="538"/>
      <c r="L224" s="538"/>
      <c r="M224" s="556"/>
      <c r="N224" s="556"/>
      <c r="O224" s="556"/>
      <c r="P224" s="556"/>
      <c r="Q224" s="556"/>
      <c r="R224" s="556"/>
      <c r="V224" s="625"/>
      <c r="W224" s="625"/>
      <c r="X224" s="625"/>
      <c r="Y224" s="625"/>
      <c r="Z224" s="625"/>
      <c r="AA224" s="625"/>
      <c r="AB224" s="625"/>
    </row>
    <row r="225" spans="1:97" ht="15.5" hidden="1">
      <c r="B225" s="593"/>
      <c r="C225" s="538"/>
      <c r="D225" s="538"/>
      <c r="E225" s="538"/>
      <c r="F225" s="538"/>
      <c r="G225" s="538"/>
      <c r="H225" s="538"/>
      <c r="I225" s="538"/>
      <c r="J225" s="538"/>
      <c r="K225" s="538"/>
      <c r="L225" s="538"/>
      <c r="M225" s="556"/>
      <c r="N225" s="556"/>
      <c r="O225" s="556"/>
      <c r="P225" s="556"/>
      <c r="Q225" s="556"/>
      <c r="R225" s="556"/>
      <c r="V225" s="625"/>
      <c r="W225" s="625"/>
      <c r="X225" s="625"/>
      <c r="Y225" s="625"/>
      <c r="Z225" s="625"/>
      <c r="AA225" s="625"/>
      <c r="AB225" s="625"/>
    </row>
    <row r="226" spans="1:97" ht="15.5">
      <c r="B226" s="622" t="s">
        <v>371</v>
      </c>
      <c r="C226" s="539">
        <f>HLOOKUP($B$211,$B$127:$R$138,12,0)</f>
        <v>0.09</v>
      </c>
      <c r="D226" s="539">
        <f>HLOOKUP($B$211,$T$127:$AJ$138,12,0)</f>
        <v>0.09</v>
      </c>
      <c r="E226" s="539">
        <f>HLOOKUP($B$211,$B$141:$R$152,12,0)</f>
        <v>0.09</v>
      </c>
      <c r="F226" s="539">
        <f>HLOOKUP($B$211,$T$141:$AJ$152,12,0)</f>
        <v>0.1</v>
      </c>
      <c r="G226" s="539">
        <f>HLOOKUP($B$211,$B$155:$R$166,12,0)</f>
        <v>0.09</v>
      </c>
      <c r="H226" s="539">
        <f>HLOOKUP($B$211,$T$155:$AJ$166,12,0)</f>
        <v>0.09</v>
      </c>
      <c r="I226" s="539">
        <f>HLOOKUP($B$211,$B$169:$R$180,12,0)</f>
        <v>0.09</v>
      </c>
      <c r="J226" s="539">
        <f>HLOOKUP($B$211,$T$169:$AJ$180,12,0)</f>
        <v>0.11</v>
      </c>
      <c r="K226" s="539">
        <f>HLOOKUP($B$211,$B$182:$R$193,12,0)</f>
        <v>0.1</v>
      </c>
      <c r="L226" s="539">
        <f>HLOOKUP($B$211,$T$182:$AJ$193,12,0)</f>
        <v>0.11</v>
      </c>
      <c r="M226" s="556"/>
      <c r="N226" s="556"/>
      <c r="O226" s="556"/>
      <c r="P226" s="556"/>
      <c r="Q226" s="556"/>
      <c r="R226" s="556"/>
      <c r="V226" s="625"/>
      <c r="W226" s="625"/>
      <c r="X226" s="625"/>
      <c r="Y226" s="625"/>
      <c r="Z226" s="625"/>
      <c r="AA226" s="625"/>
      <c r="AB226" s="625"/>
    </row>
    <row r="227" spans="1:97" ht="15.5">
      <c r="B227" s="626" t="s">
        <v>375</v>
      </c>
      <c r="C227" s="540">
        <f ca="1">HLOOKUP($B$211,$B$232:$R$242,2,0)</f>
        <v>0.03</v>
      </c>
      <c r="D227" s="540">
        <f ca="1">HLOOKUP($B$211,$B$232:$R$242,3,0)</f>
        <v>0.03</v>
      </c>
      <c r="E227" s="540">
        <f ca="1">HLOOKUP($B$211,$B$232:$R$242,4,0)</f>
        <v>0.03</v>
      </c>
      <c r="F227" s="540">
        <f ca="1">HLOOKUP($B$211,$B$232:$R$242,5,0)</f>
        <v>3.3333333333333333E-2</v>
      </c>
      <c r="G227" s="540">
        <f ca="1">HLOOKUP($B$211,$B$232:$R$242,6,0)</f>
        <v>0.03</v>
      </c>
      <c r="H227" s="540">
        <f ca="1">HLOOKUP($B$211,$B$232:$R$242,7,0)</f>
        <v>0.03</v>
      </c>
      <c r="I227" s="540">
        <f ca="1">HLOOKUP($B$211,$B$232:$R$242,8,0)</f>
        <v>0.03</v>
      </c>
      <c r="J227" s="540">
        <f ca="1">HLOOKUP($B$211,$B$232:$R$242,9,0)</f>
        <v>3.6666666666666667E-2</v>
      </c>
      <c r="K227" s="540">
        <f ca="1">HLOOKUP($B$211,$B$232:$R$242,10,0)</f>
        <v>3.3333333333333333E-2</v>
      </c>
      <c r="L227" s="540">
        <f ca="1">HLOOKUP($B$211,$B$232:$R$242,11,0)</f>
        <v>3.6666666666666667E-2</v>
      </c>
      <c r="M227" s="556"/>
      <c r="N227" s="556"/>
      <c r="O227" s="556"/>
      <c r="P227" s="556"/>
      <c r="Q227" s="556"/>
      <c r="R227" s="556"/>
      <c r="V227" s="625"/>
      <c r="W227" s="625"/>
      <c r="X227" s="625"/>
      <c r="Y227" s="625"/>
      <c r="Z227" s="625"/>
      <c r="AA227" s="625"/>
      <c r="AB227" s="625"/>
    </row>
    <row r="228" spans="1:97" s="543" customFormat="1" ht="15.5">
      <c r="C228" s="544">
        <f t="shared" ref="C228:L228" ca="1" si="361">IF(OR(C227&lt;0.001),0.001,HLOOKUP($B$211,$B$232:$R$242,2,0))</f>
        <v>0.03</v>
      </c>
      <c r="D228" s="544">
        <f t="shared" ca="1" si="361"/>
        <v>0.03</v>
      </c>
      <c r="E228" s="544">
        <f t="shared" ca="1" si="361"/>
        <v>0.03</v>
      </c>
      <c r="F228" s="544">
        <f t="shared" ca="1" si="361"/>
        <v>0.03</v>
      </c>
      <c r="G228" s="544">
        <f t="shared" ca="1" si="361"/>
        <v>0.03</v>
      </c>
      <c r="H228" s="544">
        <f t="shared" ca="1" si="361"/>
        <v>0.03</v>
      </c>
      <c r="I228" s="544">
        <f t="shared" ca="1" si="361"/>
        <v>0.03</v>
      </c>
      <c r="J228" s="544">
        <f t="shared" ca="1" si="361"/>
        <v>0.03</v>
      </c>
      <c r="K228" s="544">
        <f t="shared" ca="1" si="361"/>
        <v>0.03</v>
      </c>
      <c r="L228" s="544">
        <f t="shared" ca="1" si="361"/>
        <v>0.03</v>
      </c>
      <c r="V228" s="627"/>
      <c r="W228" s="627"/>
      <c r="X228" s="627"/>
      <c r="Y228" s="627"/>
      <c r="Z228" s="627"/>
      <c r="AA228" s="627"/>
      <c r="AB228" s="627"/>
      <c r="AH228" s="544"/>
      <c r="AJ228" s="545"/>
      <c r="AN228" s="544"/>
      <c r="AP228" s="545"/>
      <c r="AT228" s="544"/>
      <c r="AV228" s="545"/>
      <c r="AZ228" s="544"/>
      <c r="BB228" s="545"/>
      <c r="BF228" s="544"/>
      <c r="BH228" s="545"/>
      <c r="BL228" s="544"/>
      <c r="BN228" s="545"/>
      <c r="BR228" s="544"/>
      <c r="BT228" s="545"/>
      <c r="BX228" s="544"/>
      <c r="BZ228" s="545"/>
    </row>
    <row r="229" spans="1:97" s="543" customFormat="1" ht="15.5">
      <c r="V229" s="627"/>
      <c r="W229" s="627"/>
      <c r="X229" s="627"/>
      <c r="Y229" s="627"/>
      <c r="Z229" s="627"/>
      <c r="AA229" s="627"/>
      <c r="AB229" s="627"/>
      <c r="AH229" s="544"/>
      <c r="AJ229" s="545"/>
      <c r="AN229" s="544"/>
      <c r="AP229" s="545"/>
      <c r="AT229" s="544"/>
      <c r="AV229" s="545"/>
      <c r="AZ229" s="544"/>
      <c r="BB229" s="545"/>
      <c r="BF229" s="544"/>
      <c r="BH229" s="545"/>
      <c r="BL229" s="544"/>
      <c r="BN229" s="545"/>
      <c r="BR229" s="544"/>
      <c r="BT229" s="545"/>
      <c r="BX229" s="544"/>
      <c r="BZ229" s="545"/>
    </row>
    <row r="230" spans="1:97" s="543" customFormat="1" ht="15.5">
      <c r="V230" s="627"/>
      <c r="W230" s="627"/>
      <c r="X230" s="627"/>
      <c r="Y230" s="627"/>
      <c r="Z230" s="627"/>
      <c r="AA230" s="627"/>
      <c r="AB230" s="627"/>
      <c r="AH230" s="544"/>
      <c r="AJ230" s="545"/>
      <c r="AN230" s="544"/>
      <c r="AP230" s="545"/>
      <c r="AT230" s="544"/>
      <c r="AV230" s="545"/>
      <c r="AZ230" s="544"/>
      <c r="BB230" s="545"/>
      <c r="BF230" s="544"/>
      <c r="BH230" s="545"/>
      <c r="BL230" s="544"/>
      <c r="BN230" s="545"/>
      <c r="BR230" s="544"/>
      <c r="BT230" s="545"/>
      <c r="BX230" s="544"/>
      <c r="BZ230" s="545"/>
    </row>
    <row r="231" spans="1:97" s="543" customFormat="1" ht="30" customHeight="1">
      <c r="B231" s="1202" t="s">
        <v>376</v>
      </c>
      <c r="C231" s="1202"/>
      <c r="D231" s="1202"/>
      <c r="E231" s="1202"/>
      <c r="F231" s="1202"/>
      <c r="G231" s="1202"/>
      <c r="H231" s="1202"/>
      <c r="I231" s="1202"/>
      <c r="J231" s="1202"/>
      <c r="K231" s="1202"/>
      <c r="L231" s="1202"/>
      <c r="M231" s="1202"/>
      <c r="N231" s="1202"/>
      <c r="O231" s="1202"/>
      <c r="P231" s="1202"/>
      <c r="Q231" s="1202"/>
      <c r="R231" s="1202"/>
      <c r="V231" s="627"/>
      <c r="W231" s="627"/>
      <c r="X231" s="627"/>
      <c r="Y231" s="627"/>
      <c r="Z231" s="627"/>
      <c r="AA231" s="627"/>
      <c r="AB231" s="627"/>
      <c r="AH231" s="544"/>
      <c r="AJ231" s="545"/>
      <c r="AN231" s="544"/>
      <c r="AP231" s="545"/>
      <c r="AT231" s="544"/>
      <c r="AV231" s="545"/>
      <c r="AZ231" s="544"/>
      <c r="BB231" s="545"/>
      <c r="BF231" s="544"/>
      <c r="BH231" s="545"/>
      <c r="BL231" s="544"/>
      <c r="BN231" s="545"/>
      <c r="BR231" s="544"/>
      <c r="BT231" s="545"/>
      <c r="BX231" s="544"/>
      <c r="BZ231" s="545"/>
    </row>
    <row r="232" spans="1:97" ht="93">
      <c r="B232" s="628" t="s">
        <v>377</v>
      </c>
      <c r="C232" s="629" t="str">
        <f t="shared" ref="C232:O232" si="362">C195</f>
        <v>Thermocouple Data Logger, Merek : MADGETECH, Model : OctTemp 2000, SN : P40270</v>
      </c>
      <c r="D232" s="629" t="str">
        <f t="shared" si="362"/>
        <v>Thermocouple Data Logger, Merek : MADGETECH, Model : OctTemp 2000, SN : P41878</v>
      </c>
      <c r="E232" s="629" t="str">
        <f t="shared" si="362"/>
        <v>Mobile Corder, Merek : Yokogawa, Model : GP 10, SN : S5T810599</v>
      </c>
      <c r="F232" s="629" t="str">
        <f t="shared" si="362"/>
        <v>Wireless Temperature Recorder, Merek : HIOKI, Model : LR 8510, SN : 200936000</v>
      </c>
      <c r="G232" s="629" t="str">
        <f t="shared" si="362"/>
        <v>Wireless Temperature Recorder, Merek : HIOKI, Model : LR 8510, SN : 200936001</v>
      </c>
      <c r="H232" s="629" t="str">
        <f t="shared" si="362"/>
        <v>Wireless Temperature Recorder, Merek : HIOKI, Model : LR 8510, SN : 200821397</v>
      </c>
      <c r="I232" s="629" t="str">
        <f t="shared" si="362"/>
        <v>Wireless Temperature Recorder, Merek : HIOKI, Model : LR 8510, SN : 210411983</v>
      </c>
      <c r="J232" s="629" t="str">
        <f t="shared" si="362"/>
        <v>Wireless Temperature Recorder, Merek : HIOKI, Model : LR 8510, SN : 210411984</v>
      </c>
      <c r="K232" s="629" t="str">
        <f t="shared" si="362"/>
        <v>Wireless Temperature Recorder, Merek : HIOKI, Model : LR 8510, SN : 210411985</v>
      </c>
      <c r="L232" s="629" t="str">
        <f t="shared" si="362"/>
        <v>Wireless Temperature Recorder, Merek : HIOKI, Model : LR 8510, SN : 210746054</v>
      </c>
      <c r="M232" s="629" t="str">
        <f t="shared" si="362"/>
        <v>Wireless Temperature Recorder, Merek : HIOKI, Model : LR 8510, SN : 210746055</v>
      </c>
      <c r="N232" s="629" t="str">
        <f t="shared" si="362"/>
        <v>Wireless Temperature Recorder, Merek : HIOKI, Model : LR 8510, SN : 210746056</v>
      </c>
      <c r="O232" s="629" t="str">
        <f t="shared" si="362"/>
        <v>Wireless Temperature Recorder, Merek : HIOKI, Model : LR 8510, SN : 200821396</v>
      </c>
      <c r="P232" s="630" t="s">
        <v>368</v>
      </c>
      <c r="Q232" s="630" t="s">
        <v>369</v>
      </c>
      <c r="R232" s="630" t="s">
        <v>370</v>
      </c>
      <c r="S232" s="543"/>
      <c r="T232" s="548"/>
      <c r="U232" s="548"/>
      <c r="V232" s="625"/>
      <c r="W232" s="625"/>
      <c r="X232" s="625"/>
      <c r="Y232" s="625"/>
      <c r="Z232" s="625"/>
      <c r="AA232" s="625"/>
      <c r="AB232" s="625"/>
      <c r="AH232" s="548"/>
      <c r="AJ232" s="548"/>
      <c r="AN232" s="548"/>
      <c r="AP232" s="631"/>
      <c r="AQ232" s="596"/>
      <c r="AR232" s="631"/>
      <c r="AS232" s="576"/>
      <c r="AT232" s="577"/>
      <c r="AV232" s="631"/>
      <c r="AW232" s="631"/>
      <c r="AX232" s="631"/>
      <c r="AY232" s="576"/>
      <c r="AZ232" s="577"/>
      <c r="BB232" s="631"/>
      <c r="BC232" s="576"/>
      <c r="BD232" s="631"/>
      <c r="BE232" s="576"/>
      <c r="BF232" s="577"/>
      <c r="BH232" s="631"/>
      <c r="BI232" s="576"/>
      <c r="BJ232" s="631"/>
      <c r="BK232" s="576"/>
      <c r="BL232" s="577"/>
      <c r="BN232" s="631"/>
      <c r="BO232" s="576"/>
      <c r="BP232" s="631"/>
      <c r="BQ232" s="576"/>
      <c r="BR232" s="577"/>
      <c r="BT232" s="631"/>
      <c r="BU232" s="576"/>
      <c r="BV232" s="631"/>
      <c r="BW232" s="576"/>
      <c r="BX232" s="577"/>
      <c r="BZ232" s="631"/>
      <c r="CA232" s="576"/>
      <c r="CB232" s="577"/>
      <c r="CD232" s="631"/>
      <c r="CE232" s="596"/>
      <c r="CF232" s="631"/>
      <c r="CG232" s="544"/>
      <c r="CH232" s="577"/>
    </row>
    <row r="233" spans="1:97" s="576" customFormat="1" ht="14.15" customHeight="1">
      <c r="A233" s="544"/>
      <c r="B233" s="632" t="s">
        <v>353</v>
      </c>
      <c r="C233" s="1341">
        <f ca="1">F13</f>
        <v>0.11333333333333334</v>
      </c>
      <c r="D233" s="1341">
        <f ca="1">L13</f>
        <v>0.18666666666666668</v>
      </c>
      <c r="E233" s="1341">
        <f ca="1">R13</f>
        <v>9.3333333333333338E-2</v>
      </c>
      <c r="F233" s="1341">
        <f ca="1">X13</f>
        <v>5.3333333333333337E-2</v>
      </c>
      <c r="G233" s="1341">
        <f ca="1">AD13</f>
        <v>3.3333333333333333E-2</v>
      </c>
      <c r="H233" s="1341">
        <f ca="1">AJ13</f>
        <v>3.3333333333333333E-2</v>
      </c>
      <c r="I233" s="1341">
        <f ca="1">AP13</f>
        <v>2.3333333333333334E-2</v>
      </c>
      <c r="J233" s="1341">
        <f ca="1">AV13</f>
        <v>0.03</v>
      </c>
      <c r="K233" s="1341">
        <f ca="1">BB13</f>
        <v>0.26333333333333336</v>
      </c>
      <c r="L233" s="1341">
        <f ca="1">BH13</f>
        <v>0.03</v>
      </c>
      <c r="M233" s="1341">
        <f ca="1">BN13</f>
        <v>0.26333333333333336</v>
      </c>
      <c r="N233" s="1341">
        <f ca="1">BT13</f>
        <v>2.6666666666666668E-2</v>
      </c>
      <c r="O233" s="1341">
        <f ca="1">BZ13</f>
        <v>3.3333333333333333E-2</v>
      </c>
      <c r="P233" s="1341">
        <f ca="1">CF13</f>
        <v>6.6666666666666666E-2</v>
      </c>
      <c r="Q233" s="1341">
        <f ca="1">CL13</f>
        <v>7.3333333333333334E-2</v>
      </c>
      <c r="R233" s="1341">
        <f ca="1">CR13</f>
        <v>0.25666666666666665</v>
      </c>
      <c r="S233" s="544"/>
      <c r="AP233" s="633"/>
      <c r="AT233" s="577"/>
      <c r="AV233" s="633"/>
      <c r="AZ233" s="577"/>
      <c r="BB233" s="633"/>
      <c r="BF233" s="577"/>
      <c r="BH233" s="633"/>
      <c r="BL233" s="577"/>
      <c r="BN233" s="633"/>
      <c r="BR233" s="577"/>
      <c r="BT233" s="633"/>
      <c r="BX233" s="577"/>
      <c r="BZ233" s="633"/>
      <c r="CB233" s="577"/>
      <c r="CD233" s="633"/>
      <c r="CG233" s="544"/>
      <c r="CH233" s="577"/>
      <c r="CM233" s="544"/>
      <c r="CS233" s="544"/>
    </row>
    <row r="234" spans="1:97" s="576" customFormat="1" ht="14.15" customHeight="1">
      <c r="A234" s="544"/>
      <c r="B234" s="632" t="s">
        <v>358</v>
      </c>
      <c r="C234" s="1341">
        <f ca="1">F25</f>
        <v>0.11333333333333334</v>
      </c>
      <c r="D234" s="1341">
        <f ca="1">L25</f>
        <v>0.18666666666666668</v>
      </c>
      <c r="E234" s="1341">
        <f ca="1">R25</f>
        <v>9.3333333333333338E-2</v>
      </c>
      <c r="F234" s="1341">
        <f ca="1">X25</f>
        <v>4.6666666666666669E-2</v>
      </c>
      <c r="G234" s="1341">
        <f ca="1">AD25</f>
        <v>0.03</v>
      </c>
      <c r="H234" s="1341">
        <f ca="1">AJ25</f>
        <v>3.6666666666666667E-2</v>
      </c>
      <c r="I234" s="1341">
        <f ca="1">AP25</f>
        <v>2.6666666666666668E-2</v>
      </c>
      <c r="J234" s="1341">
        <f ca="1">AV25</f>
        <v>0.03</v>
      </c>
      <c r="K234" s="1341">
        <f ca="1">BB25</f>
        <v>0.26333333333333336</v>
      </c>
      <c r="L234" s="1341">
        <f ca="1">BH25</f>
        <v>0.02</v>
      </c>
      <c r="M234" s="1341">
        <f ca="1">BN25</f>
        <v>0.26333333333333336</v>
      </c>
      <c r="N234" s="1341">
        <f ca="1">BT25</f>
        <v>2.6666666666666668E-2</v>
      </c>
      <c r="O234" s="1341">
        <f ca="1">BZ25</f>
        <v>3.3333333333333333E-2</v>
      </c>
      <c r="P234" s="1341">
        <f ca="1">CF25</f>
        <v>6.6666666666666666E-2</v>
      </c>
      <c r="Q234" s="1341">
        <f ca="1">CL25</f>
        <v>7.3333333333333334E-2</v>
      </c>
      <c r="R234" s="1341">
        <f ca="1">CR25</f>
        <v>0.25666666666666665</v>
      </c>
      <c r="S234" s="544"/>
      <c r="AP234" s="633"/>
      <c r="AT234" s="577"/>
      <c r="AV234" s="633"/>
      <c r="AZ234" s="577"/>
      <c r="BB234" s="633"/>
      <c r="BF234" s="577"/>
      <c r="BH234" s="633"/>
      <c r="BL234" s="577"/>
      <c r="BN234" s="633"/>
      <c r="BR234" s="577"/>
      <c r="BT234" s="633"/>
      <c r="BX234" s="577"/>
      <c r="BZ234" s="633"/>
      <c r="CB234" s="577"/>
      <c r="CD234" s="633"/>
      <c r="CG234" s="544"/>
      <c r="CH234" s="577"/>
      <c r="CM234" s="544"/>
      <c r="CS234" s="544"/>
    </row>
    <row r="235" spans="1:97" s="576" customFormat="1" ht="14.15" customHeight="1">
      <c r="A235" s="544"/>
      <c r="B235" s="632" t="s">
        <v>359</v>
      </c>
      <c r="C235" s="1341">
        <f ca="1">F37</f>
        <v>0.11333333333333334</v>
      </c>
      <c r="D235" s="1341">
        <f ca="1">L37</f>
        <v>0.18666666666666668</v>
      </c>
      <c r="E235" s="1341">
        <f ca="1">R37</f>
        <v>9.3333333333333338E-2</v>
      </c>
      <c r="F235" s="1341">
        <f ca="1">X37</f>
        <v>4.6666666666666669E-2</v>
      </c>
      <c r="G235" s="1341">
        <f ca="1">AD37</f>
        <v>2.6666666666666668E-2</v>
      </c>
      <c r="H235" s="1341">
        <f ca="1">AJ37</f>
        <v>4.3333333333333335E-2</v>
      </c>
      <c r="I235" s="1341">
        <f ca="1">AP37</f>
        <v>0.03</v>
      </c>
      <c r="J235" s="1341">
        <f ca="1">AV37</f>
        <v>0.03</v>
      </c>
      <c r="K235" s="1341">
        <f ca="1">BB37</f>
        <v>0.26333333333333336</v>
      </c>
      <c r="L235" s="1341">
        <f ca="1">BH37</f>
        <v>2.6666666666666668E-2</v>
      </c>
      <c r="M235" s="1341">
        <f ca="1">BN37</f>
        <v>0.26333333333333336</v>
      </c>
      <c r="N235" s="1341">
        <f ca="1">BT37</f>
        <v>2.3333333333333334E-2</v>
      </c>
      <c r="O235" s="1341">
        <f ca="1">BZ37</f>
        <v>3.3333333333333333E-2</v>
      </c>
      <c r="P235" s="1341">
        <f ca="1">CF37</f>
        <v>6.6666666666666666E-2</v>
      </c>
      <c r="Q235" s="1341">
        <f ca="1">CL37</f>
        <v>7.3333333333333334E-2</v>
      </c>
      <c r="R235" s="1341">
        <f ca="1">CR37</f>
        <v>0.25666666666666665</v>
      </c>
      <c r="S235" s="544"/>
      <c r="AP235" s="633"/>
      <c r="AT235" s="577"/>
      <c r="AV235" s="633"/>
      <c r="AZ235" s="577"/>
      <c r="BB235" s="633"/>
      <c r="BF235" s="577"/>
      <c r="BH235" s="633"/>
      <c r="BL235" s="577"/>
      <c r="BN235" s="633"/>
      <c r="BR235" s="577"/>
      <c r="BT235" s="633"/>
      <c r="BX235" s="577"/>
      <c r="BZ235" s="633"/>
      <c r="CB235" s="577"/>
      <c r="CD235" s="633"/>
      <c r="CG235" s="544"/>
      <c r="CH235" s="577"/>
      <c r="CM235" s="544"/>
      <c r="CS235" s="544"/>
    </row>
    <row r="236" spans="1:97" s="576" customFormat="1" ht="14.15" customHeight="1">
      <c r="A236" s="544"/>
      <c r="B236" s="632" t="s">
        <v>360</v>
      </c>
      <c r="C236" s="1341">
        <f ca="1">F49</f>
        <v>0.11333333333333334</v>
      </c>
      <c r="D236" s="1341">
        <f ca="1">L49</f>
        <v>0.18666666666666668</v>
      </c>
      <c r="E236" s="1341">
        <f ca="1">R49</f>
        <v>9.3333333333333338E-2</v>
      </c>
      <c r="F236" s="1341">
        <f ca="1">X49</f>
        <v>3.6666666666666667E-2</v>
      </c>
      <c r="G236" s="1341">
        <f ca="1">AD49</f>
        <v>2.6666666666666668E-2</v>
      </c>
      <c r="H236" s="1341">
        <f ca="1">AJ49</f>
        <v>0.04</v>
      </c>
      <c r="I236" s="1341">
        <f ca="1">AP49</f>
        <v>0.03</v>
      </c>
      <c r="J236" s="1341">
        <f ca="1">AV49</f>
        <v>3.3333333333333333E-2</v>
      </c>
      <c r="K236" s="1341">
        <f ca="1">BB49</f>
        <v>0.26333333333333336</v>
      </c>
      <c r="L236" s="1341">
        <f ca="1">BH49</f>
        <v>2.6666666666666668E-2</v>
      </c>
      <c r="M236" s="1341">
        <f ca="1">BN49</f>
        <v>0.26333333333333336</v>
      </c>
      <c r="N236" s="1341">
        <f ca="1">BT49</f>
        <v>2.3333333333333334E-2</v>
      </c>
      <c r="O236" s="1341">
        <f ca="1">BZ49</f>
        <v>3.3333333333333333E-2</v>
      </c>
      <c r="P236" s="1341">
        <f ca="1">CF49</f>
        <v>6.6666666666666666E-2</v>
      </c>
      <c r="Q236" s="1341">
        <f ca="1">CL49</f>
        <v>7.3333333333333334E-2</v>
      </c>
      <c r="R236" s="1341">
        <f ca="1">CR49</f>
        <v>0.25666666666666665</v>
      </c>
      <c r="S236" s="544"/>
      <c r="AP236" s="633"/>
      <c r="AT236" s="577"/>
      <c r="AV236" s="633"/>
      <c r="AZ236" s="577"/>
      <c r="BB236" s="633"/>
      <c r="BF236" s="577"/>
      <c r="BH236" s="633"/>
      <c r="BL236" s="577"/>
      <c r="BN236" s="633"/>
      <c r="BR236" s="577"/>
      <c r="BT236" s="633"/>
      <c r="BX236" s="577"/>
      <c r="BZ236" s="633"/>
      <c r="CB236" s="577"/>
      <c r="CD236" s="633"/>
      <c r="CG236" s="544"/>
      <c r="CH236" s="577"/>
      <c r="CM236" s="544"/>
      <c r="CS236" s="544"/>
    </row>
    <row r="237" spans="1:97" s="576" customFormat="1" ht="14.15" customHeight="1">
      <c r="A237" s="544"/>
      <c r="B237" s="632" t="s">
        <v>361</v>
      </c>
      <c r="C237" s="1341">
        <f ca="1">F61</f>
        <v>0.11333333333333334</v>
      </c>
      <c r="D237" s="1341">
        <f ca="1">L61</f>
        <v>0.18666666666666668</v>
      </c>
      <c r="E237" s="1341">
        <f ca="1">R61</f>
        <v>9.3333333333333338E-2</v>
      </c>
      <c r="F237" s="1341">
        <f ca="1">X61</f>
        <v>0.03</v>
      </c>
      <c r="G237" s="1341">
        <f ca="1">AD61</f>
        <v>4.3333333333333335E-2</v>
      </c>
      <c r="H237" s="1341">
        <f ca="1">AJ61</f>
        <v>3.3333333333333333E-2</v>
      </c>
      <c r="I237" s="1341">
        <f ca="1">AP61</f>
        <v>3.3333333333333333E-2</v>
      </c>
      <c r="J237" s="1341">
        <f ca="1">AV61</f>
        <v>0.03</v>
      </c>
      <c r="K237" s="1341">
        <f ca="1">BB61</f>
        <v>0.26333333333333336</v>
      </c>
      <c r="L237" s="1341">
        <f ca="1">BH61</f>
        <v>0.03</v>
      </c>
      <c r="M237" s="1341">
        <f ca="1">BN61</f>
        <v>0.26333333333333336</v>
      </c>
      <c r="N237" s="1341">
        <f ca="1">BT61</f>
        <v>2.3333333333333334E-2</v>
      </c>
      <c r="O237" s="1341">
        <f ca="1">BZ61</f>
        <v>2.6666666666666668E-2</v>
      </c>
      <c r="P237" s="1341">
        <f ca="1">CF61</f>
        <v>6.6666666666666666E-2</v>
      </c>
      <c r="Q237" s="1341">
        <f ca="1">CL61</f>
        <v>7.3333333333333334E-2</v>
      </c>
      <c r="R237" s="1341">
        <f ca="1">CR61</f>
        <v>0.25666666666666665</v>
      </c>
      <c r="S237" s="544"/>
      <c r="AP237" s="633"/>
      <c r="AT237" s="577"/>
      <c r="AV237" s="633"/>
      <c r="AZ237" s="577"/>
      <c r="BB237" s="633"/>
      <c r="BF237" s="577"/>
      <c r="BH237" s="633"/>
      <c r="BL237" s="577"/>
      <c r="BN237" s="633"/>
      <c r="BR237" s="577"/>
      <c r="BT237" s="633"/>
      <c r="BX237" s="577"/>
      <c r="BZ237" s="633"/>
      <c r="CB237" s="577"/>
      <c r="CD237" s="633"/>
      <c r="CG237" s="544"/>
      <c r="CH237" s="577"/>
      <c r="CM237" s="544"/>
      <c r="CS237" s="544"/>
    </row>
    <row r="238" spans="1:97" s="576" customFormat="1" ht="14.15" customHeight="1">
      <c r="A238" s="544"/>
      <c r="B238" s="632" t="s">
        <v>362</v>
      </c>
      <c r="C238" s="1341">
        <f ca="1">F73</f>
        <v>0.11333333333333334</v>
      </c>
      <c r="D238" s="1341">
        <f ca="1">L73</f>
        <v>0.18666666666666668</v>
      </c>
      <c r="E238" s="1341">
        <f ca="1">R73</f>
        <v>9.3333333333333338E-2</v>
      </c>
      <c r="F238" s="1341">
        <f ca="1">X73</f>
        <v>3.3333333333333333E-2</v>
      </c>
      <c r="G238" s="1341">
        <f ca="1">AD73</f>
        <v>3.3333333333333333E-2</v>
      </c>
      <c r="H238" s="1341">
        <f ca="1">AJ73</f>
        <v>3.3333333333333333E-2</v>
      </c>
      <c r="I238" s="1341">
        <f ca="1">AP73</f>
        <v>0.04</v>
      </c>
      <c r="J238" s="1341">
        <f ca="1">AV73</f>
        <v>0.03</v>
      </c>
      <c r="K238" s="1341">
        <f ca="1">BB73</f>
        <v>0.26333333333333336</v>
      </c>
      <c r="L238" s="1341">
        <f ca="1">BH73</f>
        <v>3.3333333333333333E-2</v>
      </c>
      <c r="M238" s="1341">
        <f ca="1">BN73</f>
        <v>0.26333333333333336</v>
      </c>
      <c r="N238" s="1341">
        <f ca="1">BT73</f>
        <v>2.3333333333333334E-2</v>
      </c>
      <c r="O238" s="1341">
        <f ca="1">BZ73</f>
        <v>2.6666666666666668E-2</v>
      </c>
      <c r="P238" s="1341">
        <f ca="1">CF73</f>
        <v>6.6666666666666666E-2</v>
      </c>
      <c r="Q238" s="1341">
        <f ca="1">CL73</f>
        <v>7.3333333333333334E-2</v>
      </c>
      <c r="R238" s="1341">
        <f ca="1">CR73</f>
        <v>0.25666666666666665</v>
      </c>
      <c r="S238" s="544"/>
      <c r="AP238" s="633"/>
      <c r="AT238" s="577"/>
      <c r="AV238" s="633"/>
      <c r="AZ238" s="577"/>
      <c r="BB238" s="633"/>
      <c r="BF238" s="577"/>
      <c r="BH238" s="633"/>
      <c r="BL238" s="577"/>
      <c r="BN238" s="633"/>
      <c r="BR238" s="577"/>
      <c r="BT238" s="633"/>
      <c r="BX238" s="577"/>
      <c r="BZ238" s="633"/>
      <c r="CB238" s="577"/>
      <c r="CD238" s="633"/>
      <c r="CG238" s="544"/>
      <c r="CH238" s="577"/>
      <c r="CM238" s="544"/>
      <c r="CS238" s="544"/>
    </row>
    <row r="239" spans="1:97" s="576" customFormat="1" ht="14.15" customHeight="1">
      <c r="A239" s="544"/>
      <c r="B239" s="632" t="s">
        <v>363</v>
      </c>
      <c r="C239" s="1341">
        <f ca="1">F85</f>
        <v>9.3333333333333338E-2</v>
      </c>
      <c r="D239" s="1341">
        <f ca="1">L85</f>
        <v>0.18666666666666668</v>
      </c>
      <c r="E239" s="1341">
        <f ca="1">R85</f>
        <v>4.4018000000000126E-2</v>
      </c>
      <c r="F239" s="1341">
        <f ca="1">X85</f>
        <v>4.3333333333333335E-2</v>
      </c>
      <c r="G239" s="1341">
        <f ca="1">AD85</f>
        <v>0.03</v>
      </c>
      <c r="H239" s="1341">
        <f ca="1">AJ85</f>
        <v>3.6666666666666667E-2</v>
      </c>
      <c r="I239" s="1341">
        <f ca="1">AP85</f>
        <v>3.3333333333333333E-2</v>
      </c>
      <c r="J239" s="1341">
        <f ca="1">AV85</f>
        <v>0.03</v>
      </c>
      <c r="K239" s="1341">
        <f ca="1">BB85</f>
        <v>0.26333333333333336</v>
      </c>
      <c r="L239" s="1341">
        <f ca="1">BH85</f>
        <v>3.3333333333333333E-2</v>
      </c>
      <c r="M239" s="1341">
        <f ca="1">BN85</f>
        <v>0.26333333333333336</v>
      </c>
      <c r="N239" s="1341">
        <f ca="1">BT85</f>
        <v>2.3333333333333334E-2</v>
      </c>
      <c r="O239" s="1341">
        <f ca="1">BZ85</f>
        <v>2.3333333333333334E-2</v>
      </c>
      <c r="P239" s="1341">
        <f ca="1">CF85</f>
        <v>6.6666666666666666E-2</v>
      </c>
      <c r="Q239" s="1341">
        <f ca="1">CL85</f>
        <v>7.3333333333333334E-2</v>
      </c>
      <c r="R239" s="1341">
        <f ca="1">CR85</f>
        <v>0.25666666666666665</v>
      </c>
      <c r="S239" s="544"/>
      <c r="AP239" s="633"/>
      <c r="AT239" s="577"/>
      <c r="AV239" s="633"/>
      <c r="AZ239" s="577"/>
      <c r="BB239" s="633"/>
      <c r="BF239" s="577"/>
      <c r="BH239" s="633"/>
      <c r="BL239" s="577"/>
      <c r="BN239" s="633"/>
      <c r="BR239" s="577"/>
      <c r="BT239" s="633"/>
      <c r="BX239" s="577"/>
      <c r="BZ239" s="633"/>
      <c r="CB239" s="577"/>
      <c r="CD239" s="633"/>
      <c r="CG239" s="544"/>
      <c r="CH239" s="577"/>
      <c r="CM239" s="544"/>
      <c r="CS239" s="544"/>
    </row>
    <row r="240" spans="1:97" s="576" customFormat="1" ht="14.15" customHeight="1">
      <c r="A240" s="544"/>
      <c r="B240" s="632" t="s">
        <v>364</v>
      </c>
      <c r="C240" s="1341">
        <f ca="1">F97</f>
        <v>0.11333333333333334</v>
      </c>
      <c r="D240" s="1341">
        <f ca="1">L97</f>
        <v>0.18666666666666668</v>
      </c>
      <c r="E240" s="1341">
        <f ca="1">R97</f>
        <v>9.3333333333333338E-2</v>
      </c>
      <c r="F240" s="1341">
        <f ca="1">X97</f>
        <v>4.3333333333333335E-2</v>
      </c>
      <c r="G240" s="1341">
        <f ca="1">AD97</f>
        <v>3.3333333333333333E-2</v>
      </c>
      <c r="H240" s="1341">
        <f ca="1">AJ97</f>
        <v>4.3333333333333335E-2</v>
      </c>
      <c r="I240" s="1341">
        <f ca="1">AP97</f>
        <v>3.3333333333333333E-2</v>
      </c>
      <c r="J240" s="1341">
        <f ca="1">AV97</f>
        <v>3.6666666666666667E-2</v>
      </c>
      <c r="K240" s="1341">
        <f ca="1">BB97</f>
        <v>0.26333333333333336</v>
      </c>
      <c r="L240" s="1341">
        <f ca="1">BH97</f>
        <v>3.3333333333333333E-2</v>
      </c>
      <c r="M240" s="1341">
        <f ca="1">BN97</f>
        <v>0.26333333333333336</v>
      </c>
      <c r="N240" s="1341">
        <f ca="1">BT97</f>
        <v>0.02</v>
      </c>
      <c r="O240" s="1341">
        <f ca="1">BZ97</f>
        <v>0.03</v>
      </c>
      <c r="P240" s="1341">
        <f ca="1">CF97</f>
        <v>6.6666666666666666E-2</v>
      </c>
      <c r="Q240" s="1341">
        <f ca="1">CL97</f>
        <v>7.3333333333333334E-2</v>
      </c>
      <c r="R240" s="1341">
        <f ca="1">CR97</f>
        <v>0.25666666666666665</v>
      </c>
      <c r="S240" s="544"/>
      <c r="AP240" s="633"/>
      <c r="AT240" s="577"/>
      <c r="AV240" s="633"/>
      <c r="AZ240" s="577"/>
      <c r="BB240" s="633"/>
      <c r="BF240" s="577"/>
      <c r="BH240" s="633"/>
      <c r="BL240" s="577"/>
      <c r="BN240" s="633"/>
      <c r="BR240" s="577"/>
      <c r="BT240" s="633"/>
      <c r="BX240" s="577"/>
      <c r="BZ240" s="633"/>
      <c r="CB240" s="577"/>
      <c r="CD240" s="633"/>
      <c r="CG240" s="544"/>
      <c r="CH240" s="577"/>
      <c r="CM240" s="544"/>
      <c r="CS240" s="544"/>
    </row>
    <row r="241" spans="1:97" s="576" customFormat="1" ht="14.15" customHeight="1">
      <c r="A241" s="544"/>
      <c r="B241" s="612" t="s">
        <v>365</v>
      </c>
      <c r="C241" s="1341">
        <f ca="1">F109</f>
        <v>0.11333333333333334</v>
      </c>
      <c r="D241" s="1341">
        <f ca="1">L109</f>
        <v>0.1</v>
      </c>
      <c r="E241" s="1341">
        <f ca="1">R109</f>
        <v>0.1</v>
      </c>
      <c r="F241" s="1341">
        <f ca="1">X109</f>
        <v>0.04</v>
      </c>
      <c r="G241" s="1341">
        <f ca="1">AD109</f>
        <v>3.6666666666666667E-2</v>
      </c>
      <c r="H241" s="1341">
        <f ca="1">AJ109</f>
        <v>4.6666666666666669E-2</v>
      </c>
      <c r="I241" s="1341">
        <f ca="1">AP109</f>
        <v>0.03</v>
      </c>
      <c r="J241" s="1341">
        <f ca="1">AV109</f>
        <v>3.3333333333333333E-2</v>
      </c>
      <c r="K241" s="1341">
        <f ca="1">BB109</f>
        <v>0.26333333333333336</v>
      </c>
      <c r="L241" s="1341">
        <f ca="1">BH109</f>
        <v>3.3333333333333333E-2</v>
      </c>
      <c r="M241" s="1341">
        <f ca="1">BN109</f>
        <v>0.26333333333333336</v>
      </c>
      <c r="N241" s="1341">
        <f ca="1">BT109</f>
        <v>2.3333333333333334E-2</v>
      </c>
      <c r="O241" s="1341">
        <f ca="1">BZ109</f>
        <v>0.03</v>
      </c>
      <c r="P241" s="1341">
        <f ca="1">CF109</f>
        <v>6.6666666666666666E-2</v>
      </c>
      <c r="Q241" s="1341">
        <f ca="1">CL109</f>
        <v>7.3333333333333334E-2</v>
      </c>
      <c r="R241" s="1341">
        <f ca="1">CR109</f>
        <v>0.25666666666666665</v>
      </c>
      <c r="S241" s="544"/>
      <c r="AE241" s="633"/>
      <c r="AF241" s="633"/>
      <c r="AG241" s="633"/>
      <c r="AH241" s="633"/>
      <c r="AN241" s="577"/>
      <c r="AT241" s="577"/>
      <c r="AZ241" s="577"/>
      <c r="BF241" s="577"/>
      <c r="BL241" s="577"/>
      <c r="BR241" s="577"/>
      <c r="BX241" s="577"/>
      <c r="CB241" s="577"/>
      <c r="CG241" s="544"/>
      <c r="CH241" s="577"/>
      <c r="CM241" s="544"/>
      <c r="CS241" s="544"/>
    </row>
    <row r="242" spans="1:97" s="576" customFormat="1" ht="14.15" customHeight="1">
      <c r="A242" s="544"/>
      <c r="B242" s="612" t="s">
        <v>366</v>
      </c>
      <c r="C242" s="1341">
        <f ca="1">F121</f>
        <v>0.11333333333333334</v>
      </c>
      <c r="D242" s="1341">
        <f ca="1">L121</f>
        <v>0.1</v>
      </c>
      <c r="E242" s="1341">
        <f ca="1">R121</f>
        <v>0.1</v>
      </c>
      <c r="F242" s="1341">
        <f ca="1">X121</f>
        <v>8.666666666666667E-2</v>
      </c>
      <c r="G242" s="1341">
        <f ca="1">AD121</f>
        <v>2.6666666666666668E-2</v>
      </c>
      <c r="H242" s="1341">
        <f ca="1">AJ121</f>
        <v>4.6666666666666669E-2</v>
      </c>
      <c r="I242" s="1341">
        <f ca="1">AP121</f>
        <v>2.6666666666666668E-2</v>
      </c>
      <c r="J242" s="1341">
        <f ca="1">AV121</f>
        <v>3.6666666666666667E-2</v>
      </c>
      <c r="K242" s="1341">
        <f ca="1">BB121</f>
        <v>0.26333333333333336</v>
      </c>
      <c r="L242" s="1341">
        <f ca="1">BH121</f>
        <v>0.03</v>
      </c>
      <c r="M242" s="1341">
        <f ca="1">BN121</f>
        <v>0.26333333333333336</v>
      </c>
      <c r="N242" s="1341">
        <f ca="1">BT121</f>
        <v>2.3333333333333334E-2</v>
      </c>
      <c r="O242" s="1341">
        <f ca="1">BZ121</f>
        <v>3.3333333333333333E-2</v>
      </c>
      <c r="P242" s="1341">
        <f ca="1">CF121</f>
        <v>6.6666666666666666E-2</v>
      </c>
      <c r="Q242" s="1341">
        <f ca="1">CL121</f>
        <v>7.3333333333333334E-2</v>
      </c>
      <c r="R242" s="1341">
        <f ca="1">CR121</f>
        <v>0.25666666666666665</v>
      </c>
      <c r="S242" s="544"/>
      <c r="AE242" s="596"/>
      <c r="AF242" s="631"/>
      <c r="AH242" s="577"/>
      <c r="AJ242" s="631"/>
      <c r="AK242" s="596"/>
      <c r="AL242" s="634"/>
      <c r="AN242" s="577"/>
      <c r="AP242" s="631"/>
      <c r="AQ242" s="596"/>
      <c r="AR242" s="634"/>
      <c r="AT242" s="577"/>
      <c r="AV242" s="631"/>
      <c r="AW242" s="634"/>
      <c r="AX242" s="634"/>
      <c r="AZ242" s="577"/>
      <c r="BB242" s="631"/>
      <c r="BD242" s="634"/>
      <c r="BF242" s="577"/>
      <c r="BH242" s="631"/>
      <c r="BJ242" s="634"/>
      <c r="BL242" s="577"/>
      <c r="BN242" s="631"/>
      <c r="BP242" s="634"/>
      <c r="BR242" s="577"/>
      <c r="BT242" s="631"/>
      <c r="BV242" s="634"/>
      <c r="BX242" s="577"/>
      <c r="BZ242" s="631"/>
      <c r="CB242" s="577"/>
      <c r="CD242" s="631"/>
      <c r="CE242" s="596"/>
      <c r="CF242" s="634"/>
      <c r="CG242" s="544"/>
      <c r="CH242" s="577"/>
      <c r="CM242" s="544"/>
      <c r="CS242" s="544"/>
    </row>
    <row r="243" spans="1:97">
      <c r="B243" s="635">
        <f ca="1">ID!K98</f>
        <v>-26.693000000000005</v>
      </c>
      <c r="C243" s="543"/>
      <c r="D243" s="543"/>
      <c r="E243" s="543"/>
      <c r="F243" s="543"/>
      <c r="G243" s="543"/>
      <c r="H243" s="543"/>
      <c r="I243" s="543"/>
      <c r="J243" s="543"/>
      <c r="K243" s="543"/>
      <c r="L243" s="543"/>
      <c r="M243" s="543"/>
      <c r="N243" s="543"/>
      <c r="O243" s="543"/>
      <c r="P243" s="543"/>
      <c r="Q243" s="543"/>
      <c r="R243" s="650"/>
      <c r="S243" s="543"/>
      <c r="AE243" s="576"/>
      <c r="AF243" s="576"/>
      <c r="AG243" s="576"/>
      <c r="AH243" s="577"/>
      <c r="AJ243" s="595"/>
      <c r="AK243" s="576"/>
      <c r="AL243" s="576"/>
      <c r="AM243" s="576"/>
      <c r="AN243" s="577"/>
      <c r="AP243" s="595"/>
      <c r="AQ243" s="576"/>
      <c r="AR243" s="576"/>
      <c r="AS243" s="576"/>
      <c r="AT243" s="577"/>
      <c r="AV243" s="595"/>
      <c r="AW243" s="576"/>
      <c r="AX243" s="576"/>
      <c r="AY243" s="576"/>
      <c r="AZ243" s="577"/>
      <c r="BB243" s="595"/>
      <c r="BC243" s="576"/>
      <c r="BD243" s="576"/>
      <c r="BE243" s="576"/>
      <c r="BF243" s="577"/>
      <c r="BH243" s="595"/>
      <c r="BI243" s="576"/>
      <c r="BJ243" s="576"/>
      <c r="BK243" s="576"/>
      <c r="BL243" s="577"/>
      <c r="BN243" s="595"/>
      <c r="BO243" s="576"/>
      <c r="BP243" s="576"/>
      <c r="BQ243" s="576"/>
      <c r="BR243" s="577"/>
      <c r="BT243" s="595"/>
      <c r="BU243" s="576"/>
      <c r="BV243" s="576"/>
      <c r="BW243" s="576"/>
      <c r="BX243" s="577"/>
      <c r="BZ243" s="595"/>
      <c r="CA243" s="576"/>
      <c r="CB243" s="577"/>
      <c r="CD243" s="595"/>
      <c r="CE243" s="576"/>
      <c r="CF243" s="576"/>
      <c r="CG243" s="544"/>
      <c r="CH243" s="577"/>
    </row>
    <row r="244" spans="1:97" ht="14.5">
      <c r="B244" s="636" t="s">
        <v>378</v>
      </c>
      <c r="C244" s="687">
        <f ca="1">MAX(C227:L227)</f>
        <v>3.6666666666666667E-2</v>
      </c>
      <c r="D244" s="543"/>
      <c r="E244" s="543"/>
      <c r="F244" s="543"/>
      <c r="G244" s="543"/>
      <c r="H244" s="543"/>
      <c r="I244" s="543"/>
      <c r="J244" s="543"/>
      <c r="K244" s="543"/>
      <c r="L244" s="543"/>
      <c r="M244" s="543"/>
      <c r="N244" s="543"/>
      <c r="O244" s="543"/>
      <c r="P244" s="543"/>
      <c r="Q244" s="543"/>
      <c r="R244" s="650"/>
      <c r="S244" s="543"/>
      <c r="AE244" s="576"/>
      <c r="AF244" s="576"/>
      <c r="AG244" s="576"/>
      <c r="AH244" s="577"/>
      <c r="AJ244" s="595"/>
      <c r="AK244" s="576"/>
      <c r="AL244" s="576"/>
      <c r="AM244" s="576"/>
      <c r="AN244" s="577"/>
      <c r="AP244" s="595"/>
      <c r="AQ244" s="576"/>
      <c r="AR244" s="576"/>
      <c r="AS244" s="576"/>
      <c r="AT244" s="577"/>
      <c r="AV244" s="595"/>
      <c r="AW244" s="576"/>
      <c r="AX244" s="576"/>
      <c r="AY244" s="576"/>
      <c r="AZ244" s="577"/>
      <c r="BB244" s="595"/>
      <c r="BC244" s="576"/>
      <c r="BD244" s="576"/>
      <c r="BE244" s="576"/>
      <c r="BF244" s="577"/>
      <c r="BH244" s="595"/>
      <c r="BI244" s="576"/>
      <c r="BJ244" s="576"/>
      <c r="BK244" s="576"/>
      <c r="BL244" s="577"/>
      <c r="BN244" s="595"/>
      <c r="BO244" s="576"/>
      <c r="BP244" s="576"/>
      <c r="BQ244" s="576"/>
      <c r="BR244" s="577"/>
      <c r="BT244" s="595"/>
      <c r="BU244" s="576"/>
      <c r="BV244" s="576"/>
      <c r="BW244" s="576"/>
      <c r="BX244" s="577"/>
      <c r="BZ244" s="595"/>
      <c r="CA244" s="576"/>
      <c r="CB244" s="577"/>
      <c r="CD244" s="595"/>
      <c r="CE244" s="576"/>
      <c r="CF244" s="576"/>
      <c r="CG244" s="544"/>
      <c r="CH244" s="577"/>
    </row>
    <row r="245" spans="1:97">
      <c r="B245" s="636" t="s">
        <v>379</v>
      </c>
      <c r="C245" s="636">
        <f>MAX(C226:L226)</f>
        <v>0.11</v>
      </c>
      <c r="D245" s="543"/>
      <c r="E245" s="543"/>
      <c r="F245" s="543"/>
      <c r="G245" s="543"/>
      <c r="H245" s="543"/>
      <c r="I245" s="543"/>
      <c r="J245" s="543"/>
      <c r="K245" s="543"/>
      <c r="L245" s="543"/>
      <c r="M245" s="543"/>
      <c r="N245" s="543"/>
      <c r="O245" s="543"/>
      <c r="P245" s="543"/>
      <c r="Q245" s="543"/>
      <c r="R245" s="543"/>
      <c r="S245" s="543"/>
      <c r="AE245" s="576"/>
      <c r="AF245" s="576"/>
      <c r="AG245" s="576"/>
      <c r="AH245" s="577"/>
      <c r="AJ245" s="595"/>
      <c r="AK245" s="576"/>
      <c r="AL245" s="576"/>
      <c r="AM245" s="576"/>
      <c r="AN245" s="577"/>
      <c r="AP245" s="595"/>
      <c r="AQ245" s="576"/>
      <c r="AR245" s="576"/>
      <c r="AS245" s="576"/>
      <c r="AT245" s="577"/>
      <c r="AV245" s="595"/>
      <c r="AW245" s="576"/>
      <c r="AX245" s="576"/>
      <c r="AY245" s="576"/>
      <c r="AZ245" s="577"/>
      <c r="BB245" s="595"/>
      <c r="BC245" s="576"/>
      <c r="BD245" s="576"/>
      <c r="BE245" s="576"/>
      <c r="BF245" s="577"/>
      <c r="BH245" s="595"/>
      <c r="BI245" s="576"/>
      <c r="BJ245" s="576"/>
      <c r="BK245" s="576"/>
      <c r="BL245" s="577"/>
      <c r="BN245" s="595"/>
      <c r="BO245" s="576"/>
      <c r="BP245" s="576"/>
      <c r="BQ245" s="576"/>
      <c r="BR245" s="577"/>
      <c r="BT245" s="595"/>
      <c r="BU245" s="576"/>
      <c r="BV245" s="576"/>
      <c r="BW245" s="576"/>
      <c r="BX245" s="577"/>
      <c r="BZ245" s="595"/>
      <c r="CA245" s="576"/>
      <c r="CB245" s="577"/>
      <c r="CD245" s="595"/>
      <c r="CE245" s="576"/>
      <c r="CF245" s="576"/>
      <c r="CG245" s="544"/>
      <c r="CH245" s="577"/>
    </row>
    <row r="246" spans="1:97">
      <c r="B246" s="543"/>
      <c r="C246" s="543"/>
      <c r="D246" s="543"/>
      <c r="E246" s="543"/>
      <c r="F246" s="543"/>
      <c r="G246" s="543"/>
      <c r="H246" s="543"/>
      <c r="I246" s="543"/>
      <c r="J246" s="543"/>
      <c r="K246" s="543"/>
      <c r="L246" s="543"/>
      <c r="M246" s="543"/>
      <c r="N246" s="543"/>
      <c r="O246" s="543"/>
      <c r="P246" s="543"/>
      <c r="Q246" s="543"/>
      <c r="R246" s="543"/>
      <c r="S246" s="543"/>
      <c r="AE246" s="576"/>
      <c r="AF246" s="576"/>
      <c r="AG246" s="576"/>
      <c r="AH246" s="577"/>
      <c r="AJ246" s="595"/>
      <c r="AK246" s="576"/>
      <c r="AL246" s="576"/>
      <c r="AM246" s="576"/>
      <c r="AN246" s="577"/>
      <c r="AP246" s="595"/>
      <c r="AQ246" s="576"/>
      <c r="AR246" s="576"/>
      <c r="AS246" s="576"/>
      <c r="AT246" s="577"/>
      <c r="AV246" s="595"/>
      <c r="AW246" s="576"/>
      <c r="AX246" s="576"/>
      <c r="AY246" s="576"/>
      <c r="AZ246" s="577"/>
      <c r="BB246" s="595"/>
      <c r="BC246" s="576"/>
      <c r="BD246" s="576"/>
      <c r="BE246" s="576"/>
      <c r="BF246" s="577"/>
      <c r="BH246" s="595"/>
      <c r="BI246" s="576"/>
      <c r="BJ246" s="576"/>
      <c r="BK246" s="576"/>
      <c r="BL246" s="577"/>
      <c r="BN246" s="595"/>
      <c r="BO246" s="576"/>
      <c r="BP246" s="576"/>
      <c r="BQ246" s="576"/>
      <c r="BR246" s="577"/>
      <c r="BT246" s="595"/>
      <c r="BU246" s="576"/>
      <c r="BV246" s="576"/>
      <c r="BW246" s="576"/>
      <c r="BX246" s="577"/>
      <c r="BZ246" s="595"/>
      <c r="CA246" s="576"/>
      <c r="CB246" s="577"/>
      <c r="CD246" s="595"/>
      <c r="CE246" s="576"/>
      <c r="CF246" s="576"/>
      <c r="CG246" s="544"/>
      <c r="CH246" s="577"/>
    </row>
    <row r="247" spans="1:97" s="543" customFormat="1">
      <c r="T247" s="544"/>
      <c r="U247" s="544"/>
      <c r="V247" s="544"/>
      <c r="W247" s="544"/>
      <c r="X247" s="544"/>
      <c r="Y247" s="544"/>
      <c r="Z247" s="544"/>
      <c r="AA247" s="544"/>
      <c r="AB247" s="544"/>
      <c r="AE247" s="544"/>
      <c r="AF247" s="544"/>
      <c r="AG247" s="544"/>
      <c r="AH247" s="545"/>
      <c r="AJ247" s="557"/>
      <c r="AK247" s="544"/>
      <c r="AL247" s="544"/>
      <c r="AM247" s="544"/>
      <c r="AN247" s="545"/>
      <c r="AP247" s="557"/>
      <c r="AQ247" s="544"/>
      <c r="AR247" s="544"/>
      <c r="AS247" s="544"/>
      <c r="AT247" s="545"/>
      <c r="AV247" s="557"/>
      <c r="AW247" s="544"/>
      <c r="AX247" s="544"/>
      <c r="AY247" s="544"/>
      <c r="AZ247" s="545"/>
      <c r="BB247" s="557"/>
      <c r="BC247" s="544"/>
      <c r="BD247" s="544"/>
      <c r="BE247" s="544"/>
      <c r="BF247" s="545"/>
      <c r="BH247" s="557"/>
      <c r="BI247" s="544"/>
      <c r="BJ247" s="544"/>
      <c r="BK247" s="544"/>
      <c r="BL247" s="545"/>
      <c r="BN247" s="557"/>
      <c r="BO247" s="544"/>
      <c r="BP247" s="544"/>
      <c r="BQ247" s="544"/>
      <c r="BR247" s="545"/>
      <c r="BT247" s="557"/>
      <c r="BU247" s="544"/>
      <c r="BV247" s="544"/>
      <c r="BW247" s="544"/>
      <c r="BX247" s="545"/>
      <c r="BZ247" s="557"/>
      <c r="CA247" s="544"/>
      <c r="CB247" s="545"/>
      <c r="CD247" s="557"/>
      <c r="CE247" s="544"/>
      <c r="CF247" s="544"/>
      <c r="CG247" s="544"/>
      <c r="CH247" s="545"/>
    </row>
    <row r="248" spans="1:97" s="543" customFormat="1">
      <c r="T248" s="544"/>
      <c r="U248" s="544"/>
      <c r="V248" s="544"/>
      <c r="W248" s="544"/>
      <c r="X248" s="544"/>
      <c r="Y248" s="544"/>
      <c r="Z248" s="544"/>
      <c r="AA248" s="544"/>
      <c r="AB248" s="544"/>
      <c r="AE248" s="544"/>
      <c r="AF248" s="544"/>
      <c r="AG248" s="544"/>
      <c r="AH248" s="545"/>
      <c r="AJ248" s="557"/>
      <c r="AK248" s="544"/>
      <c r="AL248" s="544"/>
      <c r="AM248" s="544"/>
      <c r="AN248" s="545"/>
      <c r="AP248" s="557"/>
      <c r="AQ248" s="544"/>
      <c r="AR248" s="544"/>
      <c r="AS248" s="544"/>
      <c r="AT248" s="545"/>
      <c r="AV248" s="557"/>
      <c r="AW248" s="544"/>
      <c r="AX248" s="544"/>
      <c r="AY248" s="544"/>
      <c r="AZ248" s="545"/>
      <c r="BB248" s="557"/>
      <c r="BC248" s="544"/>
      <c r="BD248" s="544"/>
      <c r="BE248" s="544"/>
      <c r="BF248" s="545"/>
      <c r="BH248" s="557"/>
      <c r="BI248" s="544"/>
      <c r="BJ248" s="544"/>
      <c r="BK248" s="544"/>
      <c r="BL248" s="545"/>
      <c r="BN248" s="557"/>
      <c r="BO248" s="544"/>
      <c r="BP248" s="544"/>
      <c r="BQ248" s="544"/>
      <c r="BR248" s="545"/>
      <c r="BT248" s="557"/>
      <c r="BU248" s="544"/>
      <c r="BV248" s="544"/>
      <c r="BW248" s="544"/>
      <c r="BX248" s="545"/>
      <c r="BZ248" s="557"/>
      <c r="CA248" s="544"/>
      <c r="CB248" s="545"/>
      <c r="CD248" s="557"/>
      <c r="CE248" s="544"/>
      <c r="CF248" s="544"/>
      <c r="CG248" s="544"/>
      <c r="CH248" s="545"/>
    </row>
    <row r="249" spans="1:97" s="543" customFormat="1">
      <c r="T249" s="544"/>
      <c r="U249" s="544"/>
      <c r="V249" s="544"/>
      <c r="W249" s="544"/>
      <c r="X249" s="544"/>
      <c r="Y249" s="544"/>
      <c r="Z249" s="544"/>
      <c r="AA249" s="544"/>
      <c r="AB249" s="544"/>
      <c r="AE249" s="544"/>
      <c r="AF249" s="544"/>
      <c r="AG249" s="544"/>
      <c r="AH249" s="545"/>
      <c r="AJ249" s="557"/>
      <c r="AK249" s="544"/>
      <c r="AL249" s="544"/>
      <c r="AM249" s="544"/>
      <c r="AN249" s="545"/>
      <c r="AP249" s="557"/>
      <c r="AQ249" s="544"/>
      <c r="AR249" s="544"/>
      <c r="AS249" s="544"/>
      <c r="AT249" s="545"/>
      <c r="AV249" s="557"/>
      <c r="AW249" s="544"/>
      <c r="AX249" s="544"/>
      <c r="AY249" s="544"/>
      <c r="AZ249" s="545"/>
      <c r="BB249" s="557"/>
      <c r="BC249" s="544"/>
      <c r="BD249" s="544"/>
      <c r="BE249" s="544"/>
      <c r="BF249" s="545"/>
      <c r="BH249" s="557"/>
      <c r="BI249" s="544"/>
      <c r="BJ249" s="544"/>
      <c r="BK249" s="544"/>
      <c r="BL249" s="545"/>
      <c r="BN249" s="557"/>
      <c r="BO249" s="544"/>
      <c r="BP249" s="544"/>
      <c r="BQ249" s="544"/>
      <c r="BR249" s="545"/>
      <c r="BT249" s="557"/>
      <c r="BU249" s="544"/>
      <c r="BV249" s="544"/>
      <c r="BW249" s="544"/>
      <c r="BX249" s="545"/>
      <c r="BZ249" s="557"/>
      <c r="CA249" s="544"/>
      <c r="CB249" s="545"/>
      <c r="CD249" s="557"/>
      <c r="CE249" s="544"/>
      <c r="CF249" s="544"/>
      <c r="CG249" s="544"/>
      <c r="CH249" s="545"/>
    </row>
    <row r="250" spans="1:97" ht="27" customHeight="1">
      <c r="B250" s="637" t="s">
        <v>380</v>
      </c>
      <c r="C250" s="593" t="s">
        <v>381</v>
      </c>
      <c r="D250" s="637" t="s">
        <v>382</v>
      </c>
      <c r="E250" s="537" t="s">
        <v>281</v>
      </c>
      <c r="F250" s="638" t="s">
        <v>383</v>
      </c>
      <c r="G250" s="543"/>
      <c r="H250" s="637" t="s">
        <v>384</v>
      </c>
      <c r="I250" s="593" t="s">
        <v>381</v>
      </c>
      <c r="J250" s="637" t="s">
        <v>382</v>
      </c>
      <c r="K250" s="537" t="s">
        <v>281</v>
      </c>
      <c r="L250" s="638" t="s">
        <v>383</v>
      </c>
      <c r="M250" s="543"/>
      <c r="AE250" s="576"/>
      <c r="AF250" s="576"/>
      <c r="AG250" s="576"/>
      <c r="AH250" s="577"/>
      <c r="AJ250" s="595"/>
      <c r="AK250" s="576"/>
      <c r="AL250" s="576"/>
      <c r="AM250" s="576"/>
      <c r="AN250" s="577"/>
      <c r="AP250" s="595"/>
      <c r="AQ250" s="576"/>
      <c r="AR250" s="576"/>
      <c r="AS250" s="576"/>
      <c r="AT250" s="577"/>
      <c r="AV250" s="595"/>
      <c r="AW250" s="576"/>
      <c r="AX250" s="576"/>
      <c r="AY250" s="576"/>
      <c r="AZ250" s="577"/>
      <c r="BB250" s="595"/>
      <c r="BC250" s="576"/>
      <c r="BD250" s="576"/>
      <c r="BE250" s="576"/>
      <c r="BF250" s="577"/>
      <c r="BH250" s="595"/>
      <c r="BI250" s="576"/>
      <c r="BJ250" s="576"/>
      <c r="BK250" s="576"/>
      <c r="BL250" s="577"/>
      <c r="BN250" s="595"/>
      <c r="BO250" s="576"/>
      <c r="BP250" s="576"/>
      <c r="BQ250" s="576"/>
      <c r="BR250" s="577"/>
      <c r="BT250" s="595"/>
      <c r="BU250" s="576"/>
      <c r="BV250" s="576"/>
      <c r="BW250" s="576"/>
      <c r="BX250" s="577"/>
      <c r="BZ250" s="595"/>
      <c r="CA250" s="576"/>
      <c r="CB250" s="577"/>
      <c r="CD250" s="595"/>
      <c r="CE250" s="576"/>
      <c r="CF250" s="576"/>
      <c r="CG250" s="544"/>
      <c r="CH250" s="577"/>
    </row>
    <row r="251" spans="1:97" ht="14.15" customHeight="1">
      <c r="B251" s="639" t="s">
        <v>385</v>
      </c>
      <c r="C251" s="537">
        <f>ID!C63</f>
        <v>-27</v>
      </c>
      <c r="D251" s="711">
        <f ca="1">(FORECAST(C251,OFFSET($C$212:$C$219,MATCH(C251,$B$212:$B$219,1)-1,0,2),OFFSET($B$212:$B$219,MATCH(C251,$B$212:$B$219,1)-1,0,2)))+C251</f>
        <v>-26.698</v>
      </c>
      <c r="E251" s="537">
        <f ca="1">D251-C251</f>
        <v>0.3019999999999996</v>
      </c>
      <c r="F251" s="638"/>
      <c r="G251" s="543"/>
      <c r="H251" s="639" t="s">
        <v>385</v>
      </c>
      <c r="I251" s="537">
        <f>ID!D63</f>
        <v>-27</v>
      </c>
      <c r="J251" s="711">
        <f ca="1">(FORECAST(I251,OFFSET($C$212:$C$219,MATCH(I251,$B$212:$B$219,1)-1,0,2),OFFSET($B$212:$B$219,MATCH(I251,$B$212:$B$219,1)-1,0,2)))+I251</f>
        <v>-26.698</v>
      </c>
      <c r="K251" s="537">
        <f t="shared" ref="K251:K260" ca="1" si="363">J251-I251</f>
        <v>0.3019999999999996</v>
      </c>
      <c r="L251" s="638"/>
      <c r="M251" s="543"/>
      <c r="O251" s="548" t="s">
        <v>386</v>
      </c>
      <c r="P251" s="653">
        <v>-23</v>
      </c>
      <c r="AE251" s="576"/>
      <c r="AF251" s="576"/>
      <c r="AG251" s="576"/>
      <c r="AH251" s="577"/>
      <c r="AJ251" s="595"/>
      <c r="AK251" s="576"/>
      <c r="AL251" s="576"/>
      <c r="AM251" s="576"/>
      <c r="AN251" s="577"/>
      <c r="AP251" s="595"/>
      <c r="AQ251" s="576"/>
      <c r="AR251" s="576"/>
      <c r="AS251" s="576"/>
      <c r="AT251" s="577"/>
      <c r="AV251" s="595"/>
      <c r="AW251" s="576"/>
      <c r="AX251" s="576"/>
      <c r="AY251" s="576"/>
      <c r="AZ251" s="577"/>
      <c r="BB251" s="595"/>
      <c r="BC251" s="576"/>
      <c r="BD251" s="576"/>
      <c r="BE251" s="576"/>
      <c r="BF251" s="577"/>
      <c r="BH251" s="595"/>
      <c r="BI251" s="576"/>
      <c r="BJ251" s="576"/>
      <c r="BK251" s="576"/>
      <c r="BL251" s="577"/>
      <c r="BN251" s="595"/>
      <c r="BO251" s="576"/>
      <c r="BP251" s="576"/>
      <c r="BQ251" s="576"/>
      <c r="BR251" s="577"/>
      <c r="BT251" s="595"/>
      <c r="BU251" s="576"/>
      <c r="BV251" s="576"/>
      <c r="BW251" s="576"/>
      <c r="BX251" s="577"/>
      <c r="BZ251" s="595"/>
      <c r="CA251" s="576"/>
      <c r="CB251" s="577"/>
      <c r="CD251" s="595"/>
      <c r="CE251" s="576"/>
      <c r="CF251" s="576"/>
      <c r="CG251" s="544"/>
      <c r="CH251" s="577"/>
    </row>
    <row r="252" spans="1:97" ht="14.15" customHeight="1">
      <c r="B252" s="639" t="s">
        <v>387</v>
      </c>
      <c r="C252" s="537">
        <f>ID!C64</f>
        <v>-27</v>
      </c>
      <c r="D252" s="711">
        <f ca="1">(FORECAST(C252,OFFSET($D$212:$D$219,MATCH(C252,$B$212:$B$219,1)-1,0,2),OFFSET($B$212:$B$219,MATCH(C252,$B$212:$B$219,1)-1,0,2)))+C252</f>
        <v>-26.728000000000002</v>
      </c>
      <c r="E252" s="537">
        <f t="shared" ref="E252:E260" ca="1" si="364">D252-C252</f>
        <v>0.27199999999999847</v>
      </c>
      <c r="F252" s="638"/>
      <c r="G252" s="543"/>
      <c r="H252" s="639" t="s">
        <v>387</v>
      </c>
      <c r="I252" s="537">
        <f>ID!D64</f>
        <v>-27</v>
      </c>
      <c r="J252" s="711">
        <f ca="1">(FORECAST(I252,OFFSET($D$212:$D$219,MATCH(I252,$B$212:$B$219,1)-1,0,2),OFFSET($B$212:$B$219,MATCH(I252,$B$212:$B$219,1)-1,0,2)))+I252</f>
        <v>-26.728000000000002</v>
      </c>
      <c r="K252" s="537">
        <f t="shared" ca="1" si="363"/>
        <v>0.27199999999999847</v>
      </c>
      <c r="L252" s="638"/>
      <c r="M252" s="543"/>
      <c r="O252" s="548" t="s">
        <v>388</v>
      </c>
      <c r="P252" s="710">
        <f>(R256/R254)*(P251-P253)+P255</f>
        <v>-0.72</v>
      </c>
      <c r="AE252" s="596"/>
      <c r="AF252" s="631"/>
      <c r="AG252" s="576"/>
      <c r="AH252" s="577"/>
      <c r="AJ252" s="631"/>
      <c r="AK252" s="596"/>
      <c r="AL252" s="631"/>
      <c r="AM252" s="576"/>
      <c r="AN252" s="577"/>
      <c r="AP252" s="631"/>
      <c r="AQ252" s="596"/>
      <c r="AR252" s="631"/>
      <c r="AS252" s="576"/>
      <c r="AT252" s="577"/>
      <c r="AV252" s="631"/>
      <c r="AW252" s="631"/>
      <c r="AX252" s="631"/>
      <c r="AY252" s="576"/>
      <c r="AZ252" s="577"/>
      <c r="BB252" s="631"/>
      <c r="BC252" s="576"/>
      <c r="BD252" s="631"/>
      <c r="BE252" s="576"/>
      <c r="BF252" s="577"/>
      <c r="BH252" s="631"/>
      <c r="BI252" s="576"/>
      <c r="BJ252" s="631"/>
      <c r="BK252" s="576"/>
      <c r="BL252" s="577"/>
      <c r="BN252" s="631"/>
      <c r="BO252" s="576"/>
      <c r="BP252" s="631"/>
      <c r="BQ252" s="576"/>
      <c r="BR252" s="577"/>
      <c r="BT252" s="631"/>
      <c r="BU252" s="576"/>
      <c r="BV252" s="631"/>
      <c r="BW252" s="576"/>
      <c r="BX252" s="577"/>
      <c r="BZ252" s="631"/>
      <c r="CA252" s="576"/>
      <c r="CB252" s="577"/>
      <c r="CD252" s="631"/>
      <c r="CE252" s="596"/>
      <c r="CF252" s="631"/>
      <c r="CG252" s="544"/>
      <c r="CH252" s="577"/>
    </row>
    <row r="253" spans="1:97" ht="14.15" customHeight="1">
      <c r="B253" s="639" t="s">
        <v>389</v>
      </c>
      <c r="C253" s="537">
        <f>ID!C65</f>
        <v>-27</v>
      </c>
      <c r="D253" s="711">
        <f ca="1">(FORECAST(C253,OFFSET($E$212:$E$219,MATCH(C253,$B$212:$B$219,1)-1,0,2),OFFSET($B$212:$B$219,MATCH(C253,$B$212:$B$219,1)-1,0,2)))+C253</f>
        <v>-26.693999999999999</v>
      </c>
      <c r="E253" s="537">
        <f t="shared" ca="1" si="364"/>
        <v>0.30600000000000094</v>
      </c>
      <c r="F253" s="638"/>
      <c r="G253" s="543"/>
      <c r="H253" s="639" t="s">
        <v>389</v>
      </c>
      <c r="I253" s="537">
        <f>ID!D65</f>
        <v>-27</v>
      </c>
      <c r="J253" s="711">
        <f ca="1">(FORECAST(I253,OFFSET($E$212:$E$219,MATCH(I253,$B$212:$B$219,1)-1,0,2),OFFSET($B$212:$B$219,MATCH(I253,$B$212:$B$219,1)-1,0,2)))+I253</f>
        <v>-26.693999999999999</v>
      </c>
      <c r="K253" s="537">
        <f t="shared" ca="1" si="363"/>
        <v>0.30600000000000094</v>
      </c>
      <c r="L253" s="638"/>
      <c r="M253" s="543"/>
      <c r="O253" s="548" t="s">
        <v>390</v>
      </c>
      <c r="P253" s="653">
        <v>-20</v>
      </c>
      <c r="AE253" s="576"/>
      <c r="AF253" s="576"/>
      <c r="AG253" s="576"/>
      <c r="AH253" s="577"/>
      <c r="AJ253" s="595"/>
      <c r="AK253" s="576"/>
      <c r="AL253" s="576"/>
      <c r="AM253" s="576"/>
      <c r="AN253" s="577"/>
      <c r="AP253" s="595"/>
      <c r="AQ253" s="576"/>
      <c r="AR253" s="576"/>
      <c r="AS253" s="576"/>
      <c r="AT253" s="577"/>
      <c r="AV253" s="595"/>
      <c r="AW253" s="576"/>
      <c r="AX253" s="576"/>
      <c r="AY253" s="576"/>
      <c r="AZ253" s="577"/>
      <c r="BB253" s="595"/>
      <c r="BC253" s="576"/>
      <c r="BD253" s="576"/>
      <c r="BE253" s="576"/>
      <c r="BF253" s="577"/>
      <c r="BH253" s="595"/>
      <c r="BI253" s="576"/>
      <c r="BJ253" s="576"/>
      <c r="BK253" s="576"/>
      <c r="BL253" s="577"/>
      <c r="BN253" s="595"/>
      <c r="BO253" s="576"/>
      <c r="BP253" s="576"/>
      <c r="BQ253" s="576"/>
      <c r="BR253" s="577"/>
      <c r="BT253" s="595"/>
      <c r="BU253" s="576"/>
      <c r="BV253" s="576"/>
      <c r="BW253" s="576"/>
      <c r="BX253" s="577"/>
      <c r="BZ253" s="595"/>
      <c r="CA253" s="576"/>
      <c r="CB253" s="577"/>
      <c r="CD253" s="595"/>
      <c r="CE253" s="576"/>
      <c r="CF253" s="576"/>
      <c r="CG253" s="544"/>
      <c r="CH253" s="577"/>
    </row>
    <row r="254" spans="1:97" ht="14.15" customHeight="1">
      <c r="B254" s="639" t="s">
        <v>391</v>
      </c>
      <c r="C254" s="537">
        <f>ID!C66</f>
        <v>-27</v>
      </c>
      <c r="D254" s="711">
        <f ca="1">(FORECAST(C254,OFFSET($F$212:$F$219,MATCH(C254,$B$212:$B$219,1)-1,0,2),OFFSET($B$212:$B$219,MATCH(C254,$B$212:$B$219,1)-1,0,2)))+C254</f>
        <v>-26.687999999999999</v>
      </c>
      <c r="E254" s="537">
        <f t="shared" ca="1" si="364"/>
        <v>0.31200000000000117</v>
      </c>
      <c r="F254" s="638"/>
      <c r="G254" s="543"/>
      <c r="H254" s="639" t="s">
        <v>391</v>
      </c>
      <c r="I254" s="537">
        <f>ID!D66</f>
        <v>-27</v>
      </c>
      <c r="J254" s="711">
        <f ca="1">(FORECAST(I254,OFFSET($F$212:$F$219,MATCH(I254,$B$212:$B$219,1)-1,0,2),OFFSET($B$212:$B$219,MATCH(I254,$B$212:$B$219,1)-1,0,2)))+I254</f>
        <v>-26.687999999999999</v>
      </c>
      <c r="K254" s="537">
        <f t="shared" ca="1" si="363"/>
        <v>0.31200000000000117</v>
      </c>
      <c r="L254" s="638"/>
      <c r="M254" s="543"/>
      <c r="O254" s="548" t="s">
        <v>392</v>
      </c>
      <c r="P254" s="653">
        <v>-25</v>
      </c>
      <c r="R254" s="548">
        <f>P254-P253</f>
        <v>-5</v>
      </c>
      <c r="AE254" s="576"/>
      <c r="AF254" s="576"/>
      <c r="AG254" s="576"/>
      <c r="AH254" s="577"/>
      <c r="AJ254" s="595"/>
      <c r="AK254" s="576"/>
      <c r="AL254" s="576"/>
      <c r="AM254" s="576"/>
      <c r="AN254" s="577"/>
      <c r="AP254" s="595"/>
      <c r="AQ254" s="576"/>
      <c r="AR254" s="576"/>
      <c r="AS254" s="576"/>
      <c r="AT254" s="577"/>
      <c r="AV254" s="595"/>
      <c r="AW254" s="576"/>
      <c r="AX254" s="576"/>
      <c r="AY254" s="576"/>
      <c r="AZ254" s="577"/>
      <c r="BB254" s="595"/>
      <c r="BC254" s="576"/>
      <c r="BD254" s="576"/>
      <c r="BE254" s="576"/>
      <c r="BF254" s="577"/>
      <c r="BH254" s="595"/>
      <c r="BI254" s="576"/>
      <c r="BJ254" s="576"/>
      <c r="BK254" s="576"/>
      <c r="BL254" s="577"/>
      <c r="BN254" s="595"/>
      <c r="BO254" s="576"/>
      <c r="BP254" s="576"/>
      <c r="BQ254" s="576"/>
      <c r="BR254" s="577"/>
      <c r="BT254" s="595"/>
      <c r="BU254" s="576"/>
      <c r="BV254" s="576"/>
      <c r="BW254" s="576"/>
      <c r="BX254" s="577"/>
      <c r="BZ254" s="595"/>
      <c r="CA254" s="576"/>
      <c r="CB254" s="577"/>
      <c r="CD254" s="595"/>
      <c r="CE254" s="576"/>
      <c r="CF254" s="576"/>
      <c r="CG254" s="544"/>
      <c r="CH254" s="577"/>
    </row>
    <row r="255" spans="1:97" ht="14.15" customHeight="1">
      <c r="B255" s="639" t="s">
        <v>393</v>
      </c>
      <c r="C255" s="537">
        <f>ID!C67</f>
        <v>-27</v>
      </c>
      <c r="D255" s="711">
        <f ca="1">(FORECAST(C255,OFFSET($G$212:$G$219,MATCH(C255,$B$212:$B$219,1)-1,0,2),OFFSET($B$212:$B$219,MATCH(C255,$B$212:$B$219,1)-1,0,2)))+C255</f>
        <v>-26.684000000000001</v>
      </c>
      <c r="E255" s="537">
        <f t="shared" ca="1" si="364"/>
        <v>0.31599999999999895</v>
      </c>
      <c r="F255" s="638"/>
      <c r="G255" s="543"/>
      <c r="H255" s="639" t="s">
        <v>393</v>
      </c>
      <c r="I255" s="537">
        <f>ID!D67</f>
        <v>-27</v>
      </c>
      <c r="J255" s="711">
        <f ca="1">(FORECAST(I255,OFFSET($G$212:$G$219,MATCH(I255,$B$212:$B$219,1)-1,0,2),OFFSET($B$212:$B$219,MATCH(I255,$B$212:$B$219,1)-1,0,2)))+I255</f>
        <v>-26.684000000000001</v>
      </c>
      <c r="K255" s="537">
        <f t="shared" ca="1" si="363"/>
        <v>0.31599999999999895</v>
      </c>
      <c r="L255" s="638"/>
      <c r="M255" s="543"/>
      <c r="O255" s="548" t="s">
        <v>394</v>
      </c>
      <c r="P255" s="653">
        <v>-1.8</v>
      </c>
      <c r="AE255" s="576"/>
      <c r="AF255" s="576"/>
      <c r="AG255" s="576"/>
      <c r="AH255" s="577"/>
      <c r="AJ255" s="595"/>
      <c r="AK255" s="576"/>
      <c r="AL255" s="576"/>
      <c r="AM255" s="576"/>
      <c r="AN255" s="577"/>
      <c r="AP255" s="595"/>
      <c r="AQ255" s="576"/>
      <c r="AR255" s="576"/>
      <c r="AS255" s="576"/>
      <c r="AT255" s="577"/>
      <c r="AV255" s="595"/>
      <c r="AW255" s="576"/>
      <c r="AX255" s="576"/>
      <c r="AY255" s="576"/>
      <c r="AZ255" s="577"/>
      <c r="BB255" s="595"/>
      <c r="BC255" s="576"/>
      <c r="BD255" s="576"/>
      <c r="BE255" s="576"/>
      <c r="BF255" s="577"/>
      <c r="BH255" s="595"/>
      <c r="BI255" s="576"/>
      <c r="BJ255" s="576"/>
      <c r="BK255" s="576"/>
      <c r="BL255" s="577"/>
      <c r="BN255" s="595"/>
      <c r="BO255" s="576"/>
      <c r="BP255" s="576"/>
      <c r="BQ255" s="576"/>
      <c r="BR255" s="577"/>
      <c r="BT255" s="595"/>
      <c r="BU255" s="576"/>
      <c r="BV255" s="576"/>
      <c r="BW255" s="576"/>
      <c r="BX255" s="577"/>
      <c r="BZ255" s="595"/>
      <c r="CA255" s="576"/>
      <c r="CB255" s="577"/>
      <c r="CD255" s="595"/>
      <c r="CE255" s="576"/>
      <c r="CF255" s="576"/>
      <c r="CG255" s="544"/>
      <c r="CH255" s="577"/>
    </row>
    <row r="256" spans="1:97" ht="14.15" customHeight="1">
      <c r="B256" s="639" t="s">
        <v>395</v>
      </c>
      <c r="C256" s="537">
        <f>ID!C68</f>
        <v>-27</v>
      </c>
      <c r="D256" s="711">
        <f ca="1">(FORECAST(C256,OFFSET($H$212:$H$219,MATCH(C256,$B$212:$B$219,1)-1,0,2),OFFSET($B$212:$B$219,MATCH(C256,$B$212:$B$219,1)-1,0,2)))+C256</f>
        <v>-26.681999999999999</v>
      </c>
      <c r="E256" s="537">
        <f t="shared" ca="1" si="364"/>
        <v>0.31800000000000139</v>
      </c>
      <c r="F256" s="638"/>
      <c r="G256" s="543"/>
      <c r="H256" s="639" t="s">
        <v>395</v>
      </c>
      <c r="I256" s="537">
        <f>ID!D68</f>
        <v>-27</v>
      </c>
      <c r="J256" s="711">
        <f ca="1">(FORECAST(I256,OFFSET($H$212:$H$219,MATCH(I256,$B$212:$B$219,1)-1,0,2),OFFSET($B$212:$B$219,MATCH(I256,$B$212:$B$219,1)-1,0,2)))+I256</f>
        <v>-26.681999999999999</v>
      </c>
      <c r="K256" s="537">
        <f t="shared" ca="1" si="363"/>
        <v>0.31800000000000139</v>
      </c>
      <c r="L256" s="638"/>
      <c r="M256" s="543"/>
      <c r="O256" s="548" t="s">
        <v>396</v>
      </c>
      <c r="P256" s="653">
        <v>0</v>
      </c>
      <c r="R256" s="548">
        <f>P256-P255</f>
        <v>1.8</v>
      </c>
      <c r="AE256" s="576"/>
      <c r="AF256" s="576"/>
      <c r="AG256" s="576"/>
      <c r="AH256" s="577"/>
      <c r="AJ256" s="595"/>
      <c r="AK256" s="576"/>
      <c r="AL256" s="576"/>
      <c r="AM256" s="576"/>
      <c r="AN256" s="577"/>
      <c r="AP256" s="595"/>
      <c r="AQ256" s="576"/>
      <c r="AR256" s="576"/>
      <c r="AS256" s="576"/>
      <c r="AT256" s="577"/>
      <c r="AV256" s="595"/>
      <c r="AW256" s="576"/>
      <c r="AX256" s="576"/>
      <c r="AY256" s="576"/>
      <c r="AZ256" s="577"/>
      <c r="BB256" s="595"/>
      <c r="BC256" s="576"/>
      <c r="BD256" s="576"/>
      <c r="BE256" s="576"/>
      <c r="BF256" s="577"/>
      <c r="BH256" s="595"/>
      <c r="BI256" s="576"/>
      <c r="BJ256" s="576"/>
      <c r="BK256" s="576"/>
      <c r="BL256" s="577"/>
      <c r="BN256" s="595"/>
      <c r="BO256" s="576"/>
      <c r="BP256" s="576"/>
      <c r="BQ256" s="576"/>
      <c r="BR256" s="577"/>
      <c r="BT256" s="595"/>
      <c r="BU256" s="576"/>
      <c r="BV256" s="576"/>
      <c r="BW256" s="576"/>
      <c r="BX256" s="577"/>
      <c r="BZ256" s="595"/>
      <c r="CA256" s="576"/>
      <c r="CB256" s="577"/>
      <c r="CD256" s="595"/>
      <c r="CE256" s="576"/>
      <c r="CF256" s="576"/>
      <c r="CG256" s="544"/>
      <c r="CH256" s="577"/>
    </row>
    <row r="257" spans="2:86" ht="14.15" customHeight="1">
      <c r="B257" s="639" t="s">
        <v>397</v>
      </c>
      <c r="C257" s="537">
        <f>ID!C69</f>
        <v>-27</v>
      </c>
      <c r="D257" s="711">
        <f ca="1">(FORECAST(C257,OFFSET($I$212:$I$219,MATCH(C257,$B$212:$B$219,1)-1,0,2),OFFSET($B$212:$B$219,MATCH(C257,$B$212:$B$219,1)-1,0,2)))+C257</f>
        <v>-26.658000000000001</v>
      </c>
      <c r="E257" s="537">
        <f t="shared" ca="1" si="364"/>
        <v>0.34199999999999875</v>
      </c>
      <c r="F257" s="638"/>
      <c r="G257" s="543"/>
      <c r="H257" s="639" t="s">
        <v>397</v>
      </c>
      <c r="I257" s="537">
        <f>ID!D69</f>
        <v>-27</v>
      </c>
      <c r="J257" s="711">
        <f ca="1">(FORECAST(I257,OFFSET($I$212:$I$219,MATCH(I257,$B$212:$B$219,1)-1,0,2),OFFSET($B$212:$B$219,MATCH(I257,$B$212:$B$219,1)-1,0,2)))+I257</f>
        <v>-26.658000000000001</v>
      </c>
      <c r="K257" s="537">
        <f t="shared" ca="1" si="363"/>
        <v>0.34199999999999875</v>
      </c>
      <c r="L257" s="638"/>
      <c r="M257" s="543"/>
      <c r="AE257" s="576"/>
      <c r="AF257" s="576"/>
      <c r="AG257" s="576"/>
      <c r="AH257" s="577"/>
      <c r="AJ257" s="595"/>
      <c r="AK257" s="576"/>
      <c r="AL257" s="576"/>
      <c r="AM257" s="576"/>
      <c r="AN257" s="577"/>
      <c r="AP257" s="595"/>
      <c r="AQ257" s="576"/>
      <c r="AR257" s="576"/>
      <c r="AS257" s="576"/>
      <c r="AT257" s="577"/>
      <c r="AV257" s="595"/>
      <c r="AW257" s="576"/>
      <c r="AX257" s="576"/>
      <c r="AY257" s="576"/>
      <c r="AZ257" s="577"/>
      <c r="BB257" s="595"/>
      <c r="BC257" s="576"/>
      <c r="BD257" s="576"/>
      <c r="BE257" s="576"/>
      <c r="BF257" s="577"/>
      <c r="BH257" s="595"/>
      <c r="BI257" s="576"/>
      <c r="BJ257" s="576"/>
      <c r="BK257" s="576"/>
      <c r="BL257" s="577"/>
      <c r="BN257" s="595"/>
      <c r="BO257" s="576"/>
      <c r="BP257" s="576"/>
      <c r="BQ257" s="576"/>
      <c r="BR257" s="577"/>
      <c r="BT257" s="595"/>
      <c r="BU257" s="576"/>
      <c r="BV257" s="576"/>
      <c r="BW257" s="576"/>
      <c r="BX257" s="577"/>
      <c r="BZ257" s="595"/>
      <c r="CA257" s="576"/>
      <c r="CB257" s="577"/>
      <c r="CD257" s="595"/>
      <c r="CE257" s="576"/>
      <c r="CF257" s="576"/>
      <c r="CG257" s="544"/>
      <c r="CH257" s="577"/>
    </row>
    <row r="258" spans="2:86" ht="14.15" customHeight="1">
      <c r="B258" s="639" t="s">
        <v>398</v>
      </c>
      <c r="C258" s="537">
        <f>ID!C70</f>
        <v>-27</v>
      </c>
      <c r="D258" s="711">
        <f ca="1">(FORECAST(C258,OFFSET($J$212:$J$219,MATCH(C258,$B$212:$B$219,1)-1,0,2),OFFSET($B$212:$B$219,MATCH(C258,$B$212:$B$219,1)-1,0,2)))+C258</f>
        <v>-26.664000000000001</v>
      </c>
      <c r="E258" s="537">
        <f t="shared" ca="1" si="364"/>
        <v>0.33599999999999852</v>
      </c>
      <c r="F258" s="638"/>
      <c r="G258" s="543"/>
      <c r="H258" s="639" t="s">
        <v>398</v>
      </c>
      <c r="I258" s="537">
        <f>ID!D70</f>
        <v>-27</v>
      </c>
      <c r="J258" s="711">
        <f ca="1">(FORECAST(I258,OFFSET($J$212:$J$219,MATCH(I258,$B$212:$B$219,1)-1,0,2),OFFSET($B$212:$B$219,MATCH(I258,$B$212:$B$219,1)-1,0,2)))+I258</f>
        <v>-26.664000000000001</v>
      </c>
      <c r="K258" s="537">
        <f t="shared" ca="1" si="363"/>
        <v>0.33599999999999852</v>
      </c>
      <c r="L258" s="638"/>
      <c r="M258" s="543"/>
      <c r="AE258" s="576"/>
      <c r="AF258" s="576"/>
      <c r="AG258" s="576"/>
      <c r="AH258" s="577"/>
      <c r="AJ258" s="595"/>
      <c r="AK258" s="576"/>
      <c r="AL258" s="576"/>
      <c r="AM258" s="576"/>
      <c r="AN258" s="577"/>
      <c r="AP258" s="595"/>
      <c r="AQ258" s="576"/>
      <c r="AR258" s="576"/>
      <c r="AS258" s="576"/>
      <c r="AT258" s="577"/>
      <c r="AV258" s="595"/>
      <c r="AW258" s="576"/>
      <c r="AX258" s="576"/>
      <c r="AY258" s="576"/>
      <c r="AZ258" s="577"/>
      <c r="BB258" s="595"/>
      <c r="BC258" s="576"/>
      <c r="BD258" s="576"/>
      <c r="BE258" s="576"/>
      <c r="BF258" s="577"/>
      <c r="BH258" s="595"/>
      <c r="BI258" s="576"/>
      <c r="BJ258" s="576"/>
      <c r="BK258" s="576"/>
      <c r="BL258" s="577"/>
      <c r="BN258" s="595"/>
      <c r="BO258" s="576"/>
      <c r="BP258" s="576"/>
      <c r="BQ258" s="576"/>
      <c r="BR258" s="577"/>
      <c r="BT258" s="595"/>
      <c r="BU258" s="576"/>
      <c r="BV258" s="576"/>
      <c r="BW258" s="576"/>
      <c r="BX258" s="577"/>
      <c r="BZ258" s="595"/>
      <c r="CA258" s="576"/>
      <c r="CB258" s="577"/>
      <c r="CD258" s="595"/>
      <c r="CE258" s="576"/>
      <c r="CF258" s="576"/>
      <c r="CG258" s="544"/>
      <c r="CH258" s="577"/>
    </row>
    <row r="259" spans="2:86" ht="14.15" customHeight="1">
      <c r="B259" s="639" t="s">
        <v>399</v>
      </c>
      <c r="C259" s="711" t="s">
        <v>101</v>
      </c>
      <c r="D259" s="711" t="s">
        <v>101</v>
      </c>
      <c r="E259" s="711" t="s">
        <v>101</v>
      </c>
      <c r="F259" s="638"/>
      <c r="G259" s="543"/>
      <c r="H259" s="639" t="s">
        <v>399</v>
      </c>
      <c r="I259" s="711" t="s">
        <v>101</v>
      </c>
      <c r="J259" s="711" t="s">
        <v>101</v>
      </c>
      <c r="K259" s="711" t="s">
        <v>101</v>
      </c>
      <c r="L259" s="638"/>
      <c r="M259" s="543"/>
      <c r="AE259" s="576"/>
      <c r="AF259" s="576"/>
      <c r="AG259" s="576"/>
      <c r="AH259" s="577"/>
      <c r="AJ259" s="595"/>
      <c r="AK259" s="576"/>
      <c r="AL259" s="576"/>
      <c r="AM259" s="576"/>
      <c r="AN259" s="577"/>
      <c r="AP259" s="595"/>
      <c r="AQ259" s="576"/>
      <c r="AR259" s="576"/>
      <c r="AS259" s="576"/>
      <c r="AT259" s="577"/>
      <c r="AV259" s="595"/>
      <c r="AW259" s="576"/>
      <c r="AX259" s="576"/>
      <c r="AY259" s="576"/>
      <c r="AZ259" s="577"/>
      <c r="BB259" s="595"/>
      <c r="BC259" s="576"/>
      <c r="BD259" s="576"/>
      <c r="BE259" s="576"/>
      <c r="BF259" s="577"/>
      <c r="BH259" s="595"/>
      <c r="BI259" s="576"/>
      <c r="BJ259" s="576"/>
      <c r="BK259" s="576"/>
      <c r="BL259" s="577"/>
      <c r="BN259" s="595"/>
      <c r="BO259" s="576"/>
      <c r="BP259" s="576"/>
      <c r="BQ259" s="576"/>
      <c r="BR259" s="577"/>
      <c r="BT259" s="595"/>
      <c r="BU259" s="576"/>
      <c r="BV259" s="576"/>
      <c r="BW259" s="576"/>
      <c r="BX259" s="577"/>
      <c r="BZ259" s="595"/>
      <c r="CA259" s="576"/>
      <c r="CB259" s="577"/>
      <c r="CD259" s="595"/>
      <c r="CE259" s="576"/>
      <c r="CF259" s="576"/>
      <c r="CG259" s="544"/>
      <c r="CH259" s="577"/>
    </row>
    <row r="260" spans="2:86" ht="14.15" customHeight="1">
      <c r="B260" s="639" t="s">
        <v>400</v>
      </c>
      <c r="C260" s="711" t="s">
        <v>101</v>
      </c>
      <c r="D260" s="711" t="s">
        <v>101</v>
      </c>
      <c r="E260" s="711" t="s">
        <v>101</v>
      </c>
      <c r="F260" s="638"/>
      <c r="G260" s="543"/>
      <c r="H260" s="639" t="s">
        <v>400</v>
      </c>
      <c r="I260" s="711" t="s">
        <v>101</v>
      </c>
      <c r="J260" s="711" t="s">
        <v>101</v>
      </c>
      <c r="K260" s="711" t="s">
        <v>101</v>
      </c>
      <c r="L260" s="638"/>
      <c r="M260" s="543"/>
      <c r="AE260" s="576"/>
      <c r="AF260" s="576"/>
      <c r="AG260" s="576"/>
      <c r="AH260" s="577"/>
      <c r="AJ260" s="595"/>
      <c r="AK260" s="576"/>
      <c r="AL260" s="576"/>
      <c r="AM260" s="576"/>
      <c r="AN260" s="577"/>
      <c r="AP260" s="595"/>
      <c r="AQ260" s="576"/>
      <c r="AR260" s="576"/>
      <c r="AS260" s="576"/>
      <c r="AT260" s="577"/>
      <c r="AV260" s="595"/>
      <c r="AW260" s="576"/>
      <c r="AX260" s="576"/>
      <c r="AY260" s="576"/>
      <c r="AZ260" s="577"/>
      <c r="BB260" s="595"/>
      <c r="BC260" s="576"/>
      <c r="BD260" s="576"/>
      <c r="BE260" s="576"/>
      <c r="BF260" s="577"/>
      <c r="BH260" s="595"/>
      <c r="BI260" s="576"/>
      <c r="BJ260" s="576"/>
      <c r="BK260" s="576"/>
      <c r="BL260" s="577"/>
      <c r="BN260" s="595"/>
      <c r="BO260" s="576"/>
      <c r="BP260" s="576"/>
      <c r="BQ260" s="576"/>
      <c r="BR260" s="577"/>
      <c r="BT260" s="595"/>
      <c r="BU260" s="576"/>
      <c r="BV260" s="576"/>
      <c r="BW260" s="576"/>
      <c r="BX260" s="577"/>
      <c r="BZ260" s="595"/>
      <c r="CA260" s="576"/>
      <c r="CB260" s="577"/>
      <c r="CD260" s="595"/>
      <c r="CE260" s="576"/>
      <c r="CF260" s="576"/>
      <c r="CG260" s="544"/>
      <c r="CH260" s="577"/>
    </row>
    <row r="261" spans="2:86" s="543" customFormat="1" ht="14.15" customHeight="1">
      <c r="T261" s="544"/>
      <c r="U261" s="544"/>
      <c r="V261" s="544"/>
      <c r="W261" s="544"/>
      <c r="X261" s="544"/>
      <c r="Y261" s="544"/>
      <c r="Z261" s="544"/>
      <c r="AA261" s="544"/>
      <c r="AB261" s="544"/>
      <c r="AE261" s="557"/>
      <c r="AF261" s="557"/>
      <c r="AG261" s="557"/>
      <c r="AH261" s="556"/>
      <c r="AL261" s="544"/>
      <c r="AN261" s="545"/>
      <c r="AR261" s="544"/>
      <c r="AT261" s="545"/>
      <c r="AW261" s="544"/>
      <c r="AX261" s="544"/>
      <c r="AZ261" s="545"/>
      <c r="BD261" s="544"/>
      <c r="BF261" s="545"/>
      <c r="BJ261" s="544"/>
      <c r="BL261" s="545"/>
      <c r="BP261" s="544"/>
      <c r="BR261" s="545"/>
      <c r="BV261" s="544"/>
      <c r="BX261" s="545"/>
      <c r="CB261" s="545"/>
      <c r="CF261" s="544"/>
      <c r="CH261" s="545"/>
    </row>
    <row r="262" spans="2:86" s="543" customFormat="1" ht="14.15" customHeight="1">
      <c r="T262" s="544"/>
      <c r="U262" s="544"/>
      <c r="V262" s="544"/>
      <c r="W262" s="544"/>
      <c r="X262" s="544"/>
      <c r="Y262" s="544"/>
      <c r="Z262" s="544"/>
      <c r="AA262" s="544"/>
      <c r="AB262" s="544"/>
      <c r="AE262" s="558"/>
      <c r="AF262" s="640"/>
      <c r="AG262" s="544"/>
      <c r="AH262" s="545"/>
      <c r="AJ262" s="641"/>
      <c r="AK262" s="558"/>
      <c r="AL262" s="640"/>
      <c r="AM262" s="544"/>
      <c r="AN262" s="545"/>
      <c r="AP262" s="641"/>
      <c r="AQ262" s="558"/>
      <c r="AR262" s="640"/>
      <c r="AS262" s="544"/>
      <c r="AT262" s="545"/>
      <c r="AV262" s="641"/>
      <c r="AW262" s="640"/>
      <c r="AX262" s="640"/>
      <c r="AY262" s="544"/>
      <c r="AZ262" s="545"/>
      <c r="BB262" s="641"/>
      <c r="BC262" s="544"/>
      <c r="BD262" s="640"/>
      <c r="BE262" s="544"/>
      <c r="BF262" s="545"/>
      <c r="BH262" s="641"/>
      <c r="BI262" s="544"/>
      <c r="BJ262" s="640"/>
      <c r="BK262" s="544"/>
      <c r="BL262" s="545"/>
      <c r="BN262" s="641"/>
      <c r="BO262" s="544"/>
      <c r="BP262" s="640"/>
      <c r="BQ262" s="544"/>
      <c r="BR262" s="545"/>
      <c r="BT262" s="641"/>
      <c r="BU262" s="544"/>
      <c r="BV262" s="640"/>
      <c r="BW262" s="544"/>
      <c r="BX262" s="545"/>
      <c r="BZ262" s="641"/>
      <c r="CA262" s="544"/>
      <c r="CB262" s="545"/>
      <c r="CD262" s="641"/>
      <c r="CE262" s="558"/>
      <c r="CF262" s="640"/>
      <c r="CG262" s="544"/>
      <c r="CH262" s="545"/>
    </row>
    <row r="263" spans="2:86" ht="25.4" customHeight="1">
      <c r="B263" s="637" t="s">
        <v>401</v>
      </c>
      <c r="C263" s="593" t="s">
        <v>381</v>
      </c>
      <c r="D263" s="637" t="s">
        <v>382</v>
      </c>
      <c r="E263" s="537" t="s">
        <v>281</v>
      </c>
      <c r="F263" s="638" t="s">
        <v>383</v>
      </c>
      <c r="G263" s="543"/>
      <c r="H263" s="637" t="s">
        <v>402</v>
      </c>
      <c r="I263" s="593" t="s">
        <v>381</v>
      </c>
      <c r="J263" s="637" t="s">
        <v>382</v>
      </c>
      <c r="K263" s="537" t="s">
        <v>281</v>
      </c>
      <c r="L263" s="638" t="s">
        <v>383</v>
      </c>
      <c r="M263" s="543"/>
      <c r="AE263" s="576"/>
      <c r="AF263" s="576"/>
      <c r="AG263" s="576"/>
      <c r="AH263" s="577"/>
      <c r="AJ263" s="595"/>
      <c r="AK263" s="576"/>
      <c r="AL263" s="576"/>
      <c r="AM263" s="576"/>
      <c r="AN263" s="577"/>
      <c r="AP263" s="595"/>
      <c r="AQ263" s="576"/>
      <c r="AR263" s="576"/>
      <c r="AS263" s="576"/>
      <c r="AT263" s="577"/>
      <c r="AV263" s="595"/>
      <c r="AW263" s="576"/>
      <c r="AX263" s="576"/>
      <c r="AY263" s="576"/>
      <c r="AZ263" s="577"/>
      <c r="BB263" s="595"/>
      <c r="BC263" s="576"/>
      <c r="BD263" s="576"/>
      <c r="BE263" s="576"/>
      <c r="BF263" s="577"/>
      <c r="BH263" s="595"/>
      <c r="BI263" s="576"/>
      <c r="BJ263" s="576"/>
      <c r="BK263" s="576"/>
      <c r="BL263" s="577"/>
      <c r="BN263" s="595"/>
      <c r="BO263" s="576"/>
      <c r="BP263" s="576"/>
      <c r="BQ263" s="576"/>
      <c r="BR263" s="577"/>
      <c r="BT263" s="595"/>
      <c r="BU263" s="576"/>
      <c r="BV263" s="576"/>
      <c r="BW263" s="576"/>
      <c r="BX263" s="577"/>
      <c r="BZ263" s="595"/>
      <c r="CA263" s="576"/>
      <c r="CB263" s="577"/>
      <c r="CD263" s="595"/>
      <c r="CE263" s="576"/>
      <c r="CF263" s="576"/>
      <c r="CG263" s="544"/>
      <c r="CH263" s="577"/>
    </row>
    <row r="264" spans="2:86" ht="14.15" customHeight="1">
      <c r="B264" s="639" t="s">
        <v>385</v>
      </c>
      <c r="C264" s="537">
        <f>ID!E63</f>
        <v>-27</v>
      </c>
      <c r="D264" s="711">
        <f ca="1">(FORECAST(C264,OFFSET($C$212:$C$219,MATCH(C264,$B$212:$B$219,1)-1,0,2),OFFSET($B$212:$B$219,MATCH(C264,$B$212:$B$219,1)-1,0,2)))+C264</f>
        <v>-26.698</v>
      </c>
      <c r="E264" s="537">
        <f t="shared" ref="E264:E273" ca="1" si="365">D264-C264</f>
        <v>0.3019999999999996</v>
      </c>
      <c r="F264" s="638"/>
      <c r="G264" s="543"/>
      <c r="H264" s="639" t="s">
        <v>385</v>
      </c>
      <c r="I264" s="537">
        <f>ID!F63</f>
        <v>-27</v>
      </c>
      <c r="J264" s="711">
        <f ca="1">(FORECAST(I264,OFFSET($C$212:$C$219,MATCH(I264,$B$212:$B$219,1)-1,0,2),OFFSET($B$212:$B$219,MATCH(I264,$B$212:$B$219,1)-1,0,2)))+I264</f>
        <v>-26.698</v>
      </c>
      <c r="K264" s="537">
        <f t="shared" ref="K264:K273" ca="1" si="366">J264-I264</f>
        <v>0.3019999999999996</v>
      </c>
      <c r="L264" s="638"/>
      <c r="M264" s="543"/>
      <c r="AE264" s="576"/>
      <c r="AF264" s="576"/>
      <c r="AG264" s="576"/>
      <c r="AH264" s="577"/>
      <c r="AJ264" s="595"/>
      <c r="AK264" s="576"/>
      <c r="AL264" s="576"/>
      <c r="AM264" s="576"/>
      <c r="AN264" s="577"/>
      <c r="AP264" s="595"/>
      <c r="AQ264" s="576"/>
      <c r="AR264" s="576"/>
      <c r="AS264" s="576"/>
      <c r="AT264" s="577"/>
      <c r="AV264" s="595"/>
      <c r="AW264" s="576"/>
      <c r="AX264" s="576"/>
      <c r="AY264" s="576"/>
      <c r="AZ264" s="577"/>
      <c r="BB264" s="595"/>
      <c r="BC264" s="576"/>
      <c r="BD264" s="576"/>
      <c r="BE264" s="576"/>
      <c r="BF264" s="577"/>
      <c r="BH264" s="595"/>
      <c r="BI264" s="576"/>
      <c r="BJ264" s="576"/>
      <c r="BK264" s="576"/>
      <c r="BL264" s="577"/>
      <c r="BN264" s="595"/>
      <c r="BO264" s="576"/>
      <c r="BP264" s="576"/>
      <c r="BQ264" s="576"/>
      <c r="BR264" s="577"/>
      <c r="BT264" s="595"/>
      <c r="BU264" s="576"/>
      <c r="BV264" s="576"/>
      <c r="BW264" s="576"/>
      <c r="BX264" s="577"/>
      <c r="BZ264" s="595"/>
      <c r="CA264" s="576"/>
      <c r="CB264" s="577"/>
      <c r="CD264" s="595"/>
      <c r="CE264" s="576"/>
      <c r="CF264" s="576"/>
      <c r="CG264" s="544"/>
      <c r="CH264" s="577"/>
    </row>
    <row r="265" spans="2:86" ht="14.15" customHeight="1">
      <c r="B265" s="639" t="s">
        <v>387</v>
      </c>
      <c r="C265" s="537">
        <f>ID!E64</f>
        <v>-27</v>
      </c>
      <c r="D265" s="711">
        <f ca="1">(FORECAST(C265,OFFSET($D$212:$D$219,MATCH(C265,$B$212:$B$219,1)-1,0,2),OFFSET($B$212:$B$219,MATCH(C265,$B$212:$B$219,1)-1,0,2)))+C265</f>
        <v>-26.728000000000002</v>
      </c>
      <c r="E265" s="537">
        <f t="shared" ca="1" si="365"/>
        <v>0.27199999999999847</v>
      </c>
      <c r="F265" s="638"/>
      <c r="G265" s="543"/>
      <c r="H265" s="639" t="s">
        <v>387</v>
      </c>
      <c r="I265" s="537">
        <f>ID!F64</f>
        <v>-27</v>
      </c>
      <c r="J265" s="711">
        <f ca="1">(FORECAST(I265,OFFSET($D$212:$D$219,MATCH(I265,$B$212:$B$219,1)-1,0,2),OFFSET($B$212:$B$219,MATCH(I265,$B$212:$B$219,1)-1,0,2)))+I265</f>
        <v>-26.728000000000002</v>
      </c>
      <c r="K265" s="537">
        <f t="shared" ca="1" si="366"/>
        <v>0.27199999999999847</v>
      </c>
      <c r="L265" s="638"/>
      <c r="M265" s="543"/>
      <c r="AE265" s="576"/>
      <c r="AF265" s="576"/>
      <c r="AG265" s="576"/>
      <c r="AH265" s="577"/>
      <c r="AJ265" s="595"/>
      <c r="AK265" s="576"/>
      <c r="AL265" s="576"/>
      <c r="AM265" s="576"/>
      <c r="AN265" s="577"/>
      <c r="AP265" s="595"/>
      <c r="AQ265" s="576"/>
      <c r="AR265" s="576"/>
      <c r="AS265" s="576"/>
      <c r="AT265" s="577"/>
      <c r="AV265" s="595"/>
      <c r="AW265" s="576"/>
      <c r="AX265" s="576"/>
      <c r="AY265" s="576"/>
      <c r="AZ265" s="577"/>
      <c r="BB265" s="595"/>
      <c r="BC265" s="576"/>
      <c r="BD265" s="576"/>
      <c r="BE265" s="576"/>
      <c r="BF265" s="577"/>
      <c r="BH265" s="595"/>
      <c r="BI265" s="576"/>
      <c r="BJ265" s="576"/>
      <c r="BK265" s="576"/>
      <c r="BL265" s="577"/>
      <c r="BN265" s="595"/>
      <c r="BO265" s="576"/>
      <c r="BP265" s="576"/>
      <c r="BQ265" s="576"/>
      <c r="BR265" s="577"/>
      <c r="BT265" s="595"/>
      <c r="BU265" s="576"/>
      <c r="BV265" s="576"/>
      <c r="BW265" s="576"/>
      <c r="BX265" s="577"/>
      <c r="BZ265" s="595"/>
      <c r="CA265" s="576"/>
      <c r="CB265" s="577"/>
      <c r="CD265" s="595"/>
      <c r="CE265" s="576"/>
      <c r="CF265" s="576"/>
      <c r="CG265" s="544"/>
      <c r="CH265" s="577"/>
    </row>
    <row r="266" spans="2:86" ht="14.15" customHeight="1">
      <c r="B266" s="639" t="s">
        <v>389</v>
      </c>
      <c r="C266" s="537">
        <f>ID!E65</f>
        <v>-27</v>
      </c>
      <c r="D266" s="711">
        <f ca="1">(FORECAST(C266,OFFSET($E$212:$E$219,MATCH(C266,$B$212:$B$219,1)-1,0,2),OFFSET($B$212:$B$219,MATCH(C266,$B$212:$B$219,1)-1,0,2)))+C266</f>
        <v>-26.693999999999999</v>
      </c>
      <c r="E266" s="537">
        <f t="shared" ca="1" si="365"/>
        <v>0.30600000000000094</v>
      </c>
      <c r="F266" s="638"/>
      <c r="G266" s="543"/>
      <c r="H266" s="639" t="s">
        <v>389</v>
      </c>
      <c r="I266" s="537">
        <f>ID!F65</f>
        <v>-27</v>
      </c>
      <c r="J266" s="711">
        <f ca="1">(FORECAST(I266,OFFSET($E$212:$E$219,MATCH(I266,$B$212:$B$219,1)-1,0,2),OFFSET($B$212:$B$219,MATCH(I266,$B$212:$B$219,1)-1,0,2)))+I266</f>
        <v>-26.693999999999999</v>
      </c>
      <c r="K266" s="537">
        <f t="shared" ca="1" si="366"/>
        <v>0.30600000000000094</v>
      </c>
      <c r="L266" s="638"/>
      <c r="M266" s="543"/>
      <c r="AE266" s="576"/>
      <c r="AF266" s="576"/>
      <c r="AG266" s="576"/>
      <c r="AH266" s="577"/>
      <c r="AJ266" s="595"/>
      <c r="AK266" s="576"/>
      <c r="AL266" s="576"/>
      <c r="AM266" s="576"/>
      <c r="AN266" s="577"/>
      <c r="AP266" s="595"/>
      <c r="AQ266" s="576"/>
      <c r="AR266" s="576"/>
      <c r="AS266" s="576"/>
      <c r="AT266" s="577"/>
      <c r="AV266" s="595"/>
      <c r="AW266" s="576"/>
      <c r="AX266" s="576"/>
      <c r="AY266" s="576"/>
      <c r="AZ266" s="577"/>
      <c r="BB266" s="595"/>
      <c r="BC266" s="576"/>
      <c r="BD266" s="576"/>
      <c r="BE266" s="576"/>
      <c r="BF266" s="577"/>
      <c r="BH266" s="595"/>
      <c r="BI266" s="576"/>
      <c r="BJ266" s="576"/>
      <c r="BK266" s="576"/>
      <c r="BL266" s="577"/>
      <c r="BN266" s="595"/>
      <c r="BO266" s="576"/>
      <c r="BP266" s="576"/>
      <c r="BQ266" s="576"/>
      <c r="BR266" s="577"/>
      <c r="BT266" s="595"/>
      <c r="BU266" s="576"/>
      <c r="BV266" s="576"/>
      <c r="BW266" s="576"/>
      <c r="BX266" s="577"/>
      <c r="BZ266" s="595"/>
      <c r="CA266" s="576"/>
      <c r="CB266" s="577"/>
      <c r="CD266" s="595"/>
      <c r="CE266" s="576"/>
      <c r="CF266" s="576"/>
      <c r="CG266" s="544"/>
      <c r="CH266" s="577"/>
    </row>
    <row r="267" spans="2:86" ht="14.15" customHeight="1">
      <c r="B267" s="639" t="s">
        <v>391</v>
      </c>
      <c r="C267" s="537">
        <f>ID!E66</f>
        <v>-27</v>
      </c>
      <c r="D267" s="711">
        <f ca="1">(FORECAST(C267,OFFSET($F$212:$F$219,MATCH(C267,$B$212:$B$219,1)-1,0,2),OFFSET($B$212:$B$219,MATCH(C267,$B$212:$B$219,1)-1,0,2)))+C267</f>
        <v>-26.687999999999999</v>
      </c>
      <c r="E267" s="537">
        <f t="shared" ca="1" si="365"/>
        <v>0.31200000000000117</v>
      </c>
      <c r="F267" s="638"/>
      <c r="G267" s="543"/>
      <c r="H267" s="639" t="s">
        <v>391</v>
      </c>
      <c r="I267" s="537">
        <f>ID!F66</f>
        <v>-27</v>
      </c>
      <c r="J267" s="711">
        <f ca="1">(FORECAST(I267,OFFSET($F$212:$F$219,MATCH(I267,$B$212:$B$219,1)-1,0,2),OFFSET($B$212:$B$219,MATCH(I267,$B$212:$B$219,1)-1,0,2)))+I267</f>
        <v>-26.687999999999999</v>
      </c>
      <c r="K267" s="537">
        <f t="shared" ca="1" si="366"/>
        <v>0.31200000000000117</v>
      </c>
      <c r="L267" s="638"/>
      <c r="M267" s="543"/>
      <c r="AE267" s="576"/>
      <c r="AF267" s="576"/>
      <c r="AG267" s="576"/>
      <c r="AH267" s="577"/>
      <c r="AJ267" s="595"/>
      <c r="AK267" s="576"/>
      <c r="AL267" s="576"/>
      <c r="AM267" s="576"/>
      <c r="AN267" s="577"/>
      <c r="AP267" s="595"/>
      <c r="AQ267" s="576"/>
      <c r="AR267" s="576"/>
      <c r="AS267" s="576"/>
      <c r="AT267" s="577"/>
      <c r="AV267" s="595"/>
      <c r="AW267" s="576"/>
      <c r="AX267" s="576"/>
      <c r="AY267" s="576"/>
      <c r="AZ267" s="577"/>
      <c r="BB267" s="595"/>
      <c r="BC267" s="576"/>
      <c r="BD267" s="576"/>
      <c r="BE267" s="576"/>
      <c r="BF267" s="577"/>
      <c r="BH267" s="595"/>
      <c r="BI267" s="576"/>
      <c r="BJ267" s="576"/>
      <c r="BK267" s="576"/>
      <c r="BL267" s="577"/>
      <c r="BN267" s="595"/>
      <c r="BO267" s="576"/>
      <c r="BP267" s="576"/>
      <c r="BQ267" s="576"/>
      <c r="BR267" s="577"/>
      <c r="BT267" s="595"/>
      <c r="BU267" s="576"/>
      <c r="BV267" s="576"/>
      <c r="BW267" s="576"/>
      <c r="BX267" s="577"/>
      <c r="BZ267" s="595"/>
      <c r="CA267" s="576"/>
      <c r="CB267" s="577"/>
      <c r="CD267" s="595"/>
      <c r="CE267" s="576"/>
      <c r="CF267" s="576"/>
      <c r="CG267" s="544"/>
      <c r="CH267" s="577"/>
    </row>
    <row r="268" spans="2:86" ht="14.15" customHeight="1">
      <c r="B268" s="639" t="s">
        <v>393</v>
      </c>
      <c r="C268" s="537">
        <f>ID!E67</f>
        <v>-27</v>
      </c>
      <c r="D268" s="711">
        <f ca="1">(FORECAST(C268,OFFSET($G$212:$G$219,MATCH(C268,$B$212:$B$219,1)-1,0,2),OFFSET($B$212:$B$219,MATCH(C268,$B$212:$B$219,1)-1,0,2)))+C268</f>
        <v>-26.684000000000001</v>
      </c>
      <c r="E268" s="537">
        <f t="shared" ca="1" si="365"/>
        <v>0.31599999999999895</v>
      </c>
      <c r="F268" s="638"/>
      <c r="G268" s="543"/>
      <c r="H268" s="639" t="s">
        <v>393</v>
      </c>
      <c r="I268" s="537">
        <f>ID!F67</f>
        <v>-27</v>
      </c>
      <c r="J268" s="711">
        <f ca="1">(FORECAST(I268,OFFSET($G$212:$G$219,MATCH(I268,$B$212:$B$219,1)-1,0,2),OFFSET($B$212:$B$219,MATCH(I268,$B$212:$B$219,1)-1,0,2)))+I268</f>
        <v>-26.684000000000001</v>
      </c>
      <c r="K268" s="537">
        <f t="shared" ca="1" si="366"/>
        <v>0.31599999999999895</v>
      </c>
      <c r="L268" s="638"/>
      <c r="M268" s="543"/>
      <c r="AE268" s="576"/>
      <c r="AF268" s="576"/>
      <c r="AG268" s="576"/>
      <c r="AH268" s="577"/>
      <c r="AJ268" s="595"/>
      <c r="AK268" s="576"/>
      <c r="AL268" s="576"/>
      <c r="AM268" s="576"/>
      <c r="AN268" s="577"/>
      <c r="AP268" s="595"/>
      <c r="AQ268" s="576"/>
      <c r="AR268" s="576"/>
      <c r="AS268" s="576"/>
      <c r="AT268" s="577"/>
      <c r="AV268" s="595"/>
      <c r="AW268" s="576"/>
      <c r="AX268" s="576"/>
      <c r="AY268" s="576"/>
      <c r="AZ268" s="577"/>
      <c r="BB268" s="595"/>
      <c r="BC268" s="576"/>
      <c r="BD268" s="576"/>
      <c r="BE268" s="576"/>
      <c r="BF268" s="577"/>
      <c r="BH268" s="595"/>
      <c r="BI268" s="576"/>
      <c r="BJ268" s="576"/>
      <c r="BK268" s="576"/>
      <c r="BL268" s="577"/>
      <c r="BN268" s="595"/>
      <c r="BO268" s="576"/>
      <c r="BP268" s="576"/>
      <c r="BQ268" s="576"/>
      <c r="BR268" s="577"/>
      <c r="BT268" s="595"/>
      <c r="BU268" s="576"/>
      <c r="BV268" s="576"/>
      <c r="BW268" s="576"/>
      <c r="BX268" s="577"/>
      <c r="BZ268" s="595"/>
      <c r="CA268" s="576"/>
      <c r="CB268" s="577"/>
      <c r="CD268" s="595"/>
      <c r="CE268" s="576"/>
      <c r="CF268" s="576"/>
      <c r="CG268" s="544"/>
      <c r="CH268" s="577"/>
    </row>
    <row r="269" spans="2:86" ht="14.15" customHeight="1">
      <c r="B269" s="639" t="s">
        <v>395</v>
      </c>
      <c r="C269" s="537">
        <f>ID!E68</f>
        <v>-27</v>
      </c>
      <c r="D269" s="711">
        <f ca="1">(FORECAST(C269,OFFSET($H$212:$H$219,MATCH(C269,$B$212:$B$219,1)-1,0,2),OFFSET($B$212:$B$219,MATCH(C269,$B$212:$B$219,1)-1,0,2)))+C269</f>
        <v>-26.681999999999999</v>
      </c>
      <c r="E269" s="537">
        <f t="shared" ca="1" si="365"/>
        <v>0.31800000000000139</v>
      </c>
      <c r="F269" s="638"/>
      <c r="G269" s="543"/>
      <c r="H269" s="639" t="s">
        <v>395</v>
      </c>
      <c r="I269" s="537">
        <f>ID!F68</f>
        <v>-27</v>
      </c>
      <c r="J269" s="711">
        <f ca="1">(FORECAST(I269,OFFSET($H$212:$H$219,MATCH(I269,$B$212:$B$219,1)-1,0,2),OFFSET($B$212:$B$219,MATCH(I269,$B$212:$B$219,1)-1,0,2)))+I269</f>
        <v>-26.681999999999999</v>
      </c>
      <c r="K269" s="537">
        <f t="shared" ca="1" si="366"/>
        <v>0.31800000000000139</v>
      </c>
      <c r="L269" s="638"/>
      <c r="M269" s="543"/>
      <c r="AE269" s="576"/>
      <c r="AF269" s="576"/>
      <c r="AG269" s="576"/>
      <c r="AH269" s="577"/>
      <c r="AJ269" s="595"/>
      <c r="AK269" s="576"/>
      <c r="AL269" s="576"/>
      <c r="AM269" s="576"/>
      <c r="AN269" s="577"/>
      <c r="AP269" s="595"/>
      <c r="AQ269" s="576"/>
      <c r="AR269" s="576"/>
      <c r="AS269" s="576"/>
      <c r="AT269" s="577"/>
      <c r="AV269" s="595"/>
      <c r="AW269" s="576"/>
      <c r="AX269" s="576"/>
      <c r="AY269" s="576"/>
      <c r="AZ269" s="577"/>
      <c r="BB269" s="595"/>
      <c r="BC269" s="576"/>
      <c r="BD269" s="576"/>
      <c r="BE269" s="576"/>
      <c r="BF269" s="577"/>
      <c r="BH269" s="595"/>
      <c r="BI269" s="576"/>
      <c r="BJ269" s="576"/>
      <c r="BK269" s="576"/>
      <c r="BL269" s="577"/>
      <c r="BN269" s="595"/>
      <c r="BO269" s="576"/>
      <c r="BP269" s="576"/>
      <c r="BQ269" s="576"/>
      <c r="BR269" s="577"/>
      <c r="BT269" s="595"/>
      <c r="BU269" s="576"/>
      <c r="BV269" s="576"/>
      <c r="BW269" s="576"/>
      <c r="BX269" s="577"/>
      <c r="BZ269" s="595"/>
      <c r="CA269" s="576"/>
      <c r="CB269" s="577"/>
      <c r="CD269" s="595"/>
      <c r="CE269" s="576"/>
      <c r="CF269" s="576"/>
      <c r="CG269" s="544"/>
      <c r="CH269" s="577"/>
    </row>
    <row r="270" spans="2:86" ht="14.15" customHeight="1">
      <c r="B270" s="639" t="s">
        <v>397</v>
      </c>
      <c r="C270" s="537">
        <f>ID!E69</f>
        <v>-27</v>
      </c>
      <c r="D270" s="711">
        <f ca="1">(FORECAST(C270,OFFSET($I$212:$I$219,MATCH(C270,$B$212:$B$219,1)-1,0,2),OFFSET($B$212:$B$219,MATCH(C270,$B$212:$B$219,1)-1,0,2)))+C270</f>
        <v>-26.658000000000001</v>
      </c>
      <c r="E270" s="537">
        <f t="shared" ca="1" si="365"/>
        <v>0.34199999999999875</v>
      </c>
      <c r="F270" s="638"/>
      <c r="G270" s="543"/>
      <c r="H270" s="639" t="s">
        <v>397</v>
      </c>
      <c r="I270" s="537">
        <f>ID!F69</f>
        <v>-27</v>
      </c>
      <c r="J270" s="711">
        <f ca="1">(FORECAST(I270,OFFSET($I$212:$I$219,MATCH(I270,$B$212:$B$219,1)-1,0,2),OFFSET($B$212:$B$219,MATCH(I270,$B$212:$B$219,1)-1,0,2)))+I270</f>
        <v>-26.658000000000001</v>
      </c>
      <c r="K270" s="537">
        <f t="shared" ca="1" si="366"/>
        <v>0.34199999999999875</v>
      </c>
      <c r="L270" s="638"/>
      <c r="M270" s="543"/>
      <c r="AE270" s="576"/>
      <c r="AF270" s="576"/>
      <c r="AG270" s="576"/>
      <c r="AH270" s="577"/>
      <c r="AJ270" s="595"/>
      <c r="AK270" s="576"/>
      <c r="AL270" s="576"/>
      <c r="AM270" s="576"/>
      <c r="AN270" s="577"/>
      <c r="AP270" s="595"/>
      <c r="AQ270" s="576"/>
      <c r="AR270" s="576"/>
      <c r="AS270" s="576"/>
      <c r="AT270" s="577"/>
      <c r="AV270" s="595"/>
      <c r="AW270" s="576"/>
      <c r="AX270" s="576"/>
      <c r="AY270" s="576"/>
      <c r="AZ270" s="577"/>
      <c r="BB270" s="595"/>
      <c r="BC270" s="576"/>
      <c r="BD270" s="576"/>
      <c r="BE270" s="576"/>
      <c r="BF270" s="577"/>
      <c r="BH270" s="595"/>
      <c r="BI270" s="576"/>
      <c r="BJ270" s="576"/>
      <c r="BK270" s="576"/>
      <c r="BL270" s="577"/>
      <c r="BN270" s="595"/>
      <c r="BO270" s="576"/>
      <c r="BP270" s="576"/>
      <c r="BQ270" s="576"/>
      <c r="BR270" s="577"/>
      <c r="BT270" s="595"/>
      <c r="BU270" s="576"/>
      <c r="BV270" s="576"/>
      <c r="BW270" s="576"/>
      <c r="BX270" s="577"/>
      <c r="BZ270" s="595"/>
      <c r="CA270" s="576"/>
      <c r="CB270" s="577"/>
      <c r="CD270" s="595"/>
      <c r="CE270" s="576"/>
      <c r="CF270" s="576"/>
      <c r="CG270" s="544"/>
      <c r="CH270" s="577"/>
    </row>
    <row r="271" spans="2:86" ht="14.15" customHeight="1">
      <c r="B271" s="639" t="s">
        <v>398</v>
      </c>
      <c r="C271" s="537">
        <f>ID!E70</f>
        <v>-27</v>
      </c>
      <c r="D271" s="711">
        <f ca="1">(FORECAST(C271,OFFSET($J$212:$J$219,MATCH(C271,$B$212:$B$219,1)-1,0,2),OFFSET($B$212:$B$219,MATCH(C271,$B$212:$B$219,1)-1,0,2)))+C271</f>
        <v>-26.664000000000001</v>
      </c>
      <c r="E271" s="537">
        <f t="shared" ca="1" si="365"/>
        <v>0.33599999999999852</v>
      </c>
      <c r="F271" s="638"/>
      <c r="G271" s="543"/>
      <c r="H271" s="639" t="s">
        <v>398</v>
      </c>
      <c r="I271" s="537">
        <f>ID!F70</f>
        <v>-27</v>
      </c>
      <c r="J271" s="711">
        <f ca="1">(FORECAST(I271,OFFSET($J$212:$J$219,MATCH(I271,$B$212:$B$219,1)-1,0,2),OFFSET($B$212:$B$219,MATCH(I271,$B$212:$B$219,1)-1,0,2)))+I271</f>
        <v>-26.664000000000001</v>
      </c>
      <c r="K271" s="537">
        <f t="shared" ca="1" si="366"/>
        <v>0.33599999999999852</v>
      </c>
      <c r="L271" s="638"/>
      <c r="M271" s="543"/>
      <c r="AE271" s="576"/>
      <c r="AF271" s="576"/>
      <c r="AG271" s="576"/>
      <c r="AH271" s="577"/>
      <c r="AJ271" s="595"/>
      <c r="AK271" s="576"/>
      <c r="AL271" s="576"/>
      <c r="AM271" s="576"/>
      <c r="AN271" s="577"/>
      <c r="AP271" s="595"/>
      <c r="AQ271" s="576"/>
      <c r="AR271" s="576"/>
      <c r="AS271" s="576"/>
      <c r="AT271" s="577"/>
      <c r="AV271" s="595"/>
      <c r="AW271" s="576"/>
      <c r="AX271" s="576"/>
      <c r="AY271" s="576"/>
      <c r="AZ271" s="577"/>
      <c r="BB271" s="595"/>
      <c r="BC271" s="576"/>
      <c r="BD271" s="576"/>
      <c r="BE271" s="576"/>
      <c r="BF271" s="577"/>
      <c r="BH271" s="595"/>
      <c r="BI271" s="576"/>
      <c r="BJ271" s="576"/>
      <c r="BK271" s="576"/>
      <c r="BL271" s="577"/>
      <c r="BN271" s="595"/>
      <c r="BO271" s="576"/>
      <c r="BP271" s="576"/>
      <c r="BQ271" s="576"/>
      <c r="BR271" s="577"/>
      <c r="BT271" s="595"/>
      <c r="BU271" s="576"/>
      <c r="BV271" s="576"/>
      <c r="BW271" s="576"/>
      <c r="BX271" s="577"/>
      <c r="BZ271" s="595"/>
      <c r="CA271" s="576"/>
      <c r="CB271" s="577"/>
      <c r="CD271" s="595"/>
      <c r="CE271" s="576"/>
      <c r="CF271" s="576"/>
      <c r="CG271" s="544"/>
      <c r="CH271" s="577"/>
    </row>
    <row r="272" spans="2:86" ht="14.15" customHeight="1">
      <c r="B272" s="639" t="s">
        <v>399</v>
      </c>
      <c r="C272" s="711" t="s">
        <v>101</v>
      </c>
      <c r="D272" s="711" t="s">
        <v>101</v>
      </c>
      <c r="E272" s="711" t="s">
        <v>101</v>
      </c>
      <c r="F272" s="638"/>
      <c r="G272" s="543"/>
      <c r="H272" s="639" t="s">
        <v>399</v>
      </c>
      <c r="I272" s="711" t="s">
        <v>101</v>
      </c>
      <c r="J272" s="711" t="s">
        <v>101</v>
      </c>
      <c r="K272" s="711" t="s">
        <v>101</v>
      </c>
      <c r="L272" s="638"/>
      <c r="M272" s="543"/>
      <c r="AE272" s="596"/>
      <c r="AF272" s="634"/>
      <c r="AG272" s="576"/>
      <c r="AH272" s="577"/>
      <c r="AJ272" s="631"/>
      <c r="AK272" s="596"/>
      <c r="AL272" s="634"/>
      <c r="AM272" s="576"/>
      <c r="AN272" s="577"/>
      <c r="AP272" s="631"/>
      <c r="AQ272" s="596"/>
      <c r="AR272" s="634"/>
      <c r="AS272" s="576"/>
      <c r="AT272" s="577"/>
      <c r="AV272" s="631"/>
      <c r="AW272" s="634"/>
      <c r="AX272" s="634"/>
      <c r="AY272" s="576"/>
      <c r="AZ272" s="577"/>
      <c r="BB272" s="631"/>
      <c r="BC272" s="576"/>
      <c r="BD272" s="634"/>
      <c r="BE272" s="576"/>
      <c r="BF272" s="577"/>
      <c r="BH272" s="631"/>
      <c r="BI272" s="576"/>
      <c r="BJ272" s="634"/>
      <c r="BK272" s="576"/>
      <c r="BL272" s="577"/>
      <c r="BN272" s="631"/>
      <c r="BO272" s="576"/>
      <c r="BP272" s="634"/>
      <c r="BQ272" s="576"/>
      <c r="BR272" s="577"/>
      <c r="BT272" s="631"/>
      <c r="BU272" s="576"/>
      <c r="BV272" s="634"/>
      <c r="BW272" s="576"/>
      <c r="BX272" s="577"/>
      <c r="BZ272" s="631"/>
      <c r="CA272" s="576"/>
      <c r="CB272" s="577"/>
      <c r="CD272" s="631"/>
      <c r="CE272" s="596"/>
      <c r="CF272" s="634"/>
      <c r="CG272" s="544"/>
      <c r="CH272" s="577"/>
    </row>
    <row r="273" spans="2:86" ht="14.15" customHeight="1">
      <c r="B273" s="639" t="s">
        <v>400</v>
      </c>
      <c r="C273" s="711" t="s">
        <v>101</v>
      </c>
      <c r="D273" s="711" t="s">
        <v>101</v>
      </c>
      <c r="E273" s="711" t="s">
        <v>101</v>
      </c>
      <c r="F273" s="638"/>
      <c r="G273" s="543"/>
      <c r="H273" s="639" t="s">
        <v>400</v>
      </c>
      <c r="I273" s="711" t="s">
        <v>101</v>
      </c>
      <c r="J273" s="711" t="s">
        <v>101</v>
      </c>
      <c r="K273" s="711" t="s">
        <v>101</v>
      </c>
      <c r="L273" s="638"/>
      <c r="M273" s="543"/>
      <c r="AE273" s="576"/>
      <c r="AF273" s="576"/>
      <c r="AG273" s="576"/>
      <c r="AH273" s="577"/>
      <c r="AJ273" s="595"/>
      <c r="AK273" s="576"/>
      <c r="AL273" s="576"/>
      <c r="AM273" s="576"/>
      <c r="AN273" s="577"/>
      <c r="AP273" s="595"/>
      <c r="AQ273" s="576"/>
      <c r="AR273" s="576"/>
      <c r="AS273" s="576"/>
      <c r="AT273" s="577"/>
      <c r="AV273" s="595"/>
      <c r="AW273" s="576"/>
      <c r="AX273" s="576"/>
      <c r="AY273" s="576"/>
      <c r="AZ273" s="577"/>
      <c r="BB273" s="595"/>
      <c r="BC273" s="576"/>
      <c r="BD273" s="576"/>
      <c r="BE273" s="576"/>
      <c r="BF273" s="577"/>
      <c r="BH273" s="595"/>
      <c r="BI273" s="576"/>
      <c r="BJ273" s="576"/>
      <c r="BK273" s="576"/>
      <c r="BL273" s="577"/>
      <c r="BN273" s="595"/>
      <c r="BO273" s="576"/>
      <c r="BP273" s="576"/>
      <c r="BQ273" s="576"/>
      <c r="BR273" s="577"/>
      <c r="BT273" s="595"/>
      <c r="BU273" s="576"/>
      <c r="BV273" s="576"/>
      <c r="BW273" s="576"/>
      <c r="BX273" s="577"/>
      <c r="BZ273" s="595"/>
      <c r="CA273" s="576"/>
      <c r="CB273" s="577"/>
      <c r="CD273" s="595"/>
      <c r="CE273" s="576"/>
      <c r="CF273" s="576"/>
      <c r="CG273" s="544"/>
      <c r="CH273" s="577"/>
    </row>
    <row r="274" spans="2:86" s="543" customFormat="1" ht="14.15" customHeight="1">
      <c r="T274" s="544"/>
      <c r="U274" s="544"/>
      <c r="V274" s="544"/>
      <c r="W274" s="544"/>
      <c r="X274" s="544"/>
      <c r="Y274" s="544"/>
      <c r="Z274" s="544"/>
      <c r="AA274" s="544"/>
      <c r="AB274" s="544"/>
      <c r="AE274" s="544"/>
      <c r="AF274" s="544"/>
      <c r="AG274" s="544"/>
      <c r="AH274" s="545"/>
      <c r="AJ274" s="557"/>
      <c r="AK274" s="544"/>
      <c r="AL274" s="544"/>
      <c r="AM274" s="544"/>
      <c r="AN274" s="545"/>
      <c r="AP274" s="557"/>
      <c r="AQ274" s="544"/>
      <c r="AR274" s="544"/>
      <c r="AS274" s="544"/>
      <c r="AT274" s="545"/>
      <c r="AV274" s="557"/>
      <c r="AW274" s="544"/>
      <c r="AX274" s="544"/>
      <c r="AY274" s="544"/>
      <c r="AZ274" s="545"/>
      <c r="BB274" s="557"/>
      <c r="BC274" s="544"/>
      <c r="BD274" s="544"/>
      <c r="BE274" s="544"/>
      <c r="BF274" s="545"/>
      <c r="BH274" s="557"/>
      <c r="BI274" s="544"/>
      <c r="BJ274" s="544"/>
      <c r="BK274" s="544"/>
      <c r="BL274" s="545"/>
      <c r="BN274" s="557"/>
      <c r="BO274" s="544"/>
      <c r="BP274" s="544"/>
      <c r="BQ274" s="544"/>
      <c r="BR274" s="545"/>
      <c r="BT274" s="557"/>
      <c r="BU274" s="544"/>
      <c r="BV274" s="544"/>
      <c r="BW274" s="544"/>
      <c r="BX274" s="545"/>
      <c r="BZ274" s="557"/>
      <c r="CA274" s="544"/>
      <c r="CB274" s="545"/>
      <c r="CD274" s="557"/>
      <c r="CE274" s="544"/>
      <c r="CF274" s="544"/>
      <c r="CG274" s="544"/>
      <c r="CH274" s="545"/>
    </row>
    <row r="275" spans="2:86" s="543" customFormat="1" ht="14.15" customHeight="1">
      <c r="T275" s="544"/>
      <c r="U275" s="544"/>
      <c r="V275" s="544"/>
      <c r="W275" s="544"/>
      <c r="X275" s="544"/>
      <c r="Y275" s="544"/>
      <c r="Z275" s="544"/>
      <c r="AA275" s="544"/>
      <c r="AB275" s="544"/>
      <c r="AE275" s="544"/>
      <c r="AF275" s="544"/>
      <c r="AG275" s="544"/>
      <c r="AH275" s="545"/>
      <c r="AJ275" s="557"/>
      <c r="AK275" s="544"/>
      <c r="AL275" s="544"/>
      <c r="AM275" s="544"/>
      <c r="AN275" s="545"/>
      <c r="AP275" s="557"/>
      <c r="AQ275" s="544"/>
      <c r="AR275" s="544"/>
      <c r="AS275" s="544"/>
      <c r="AT275" s="545"/>
      <c r="AV275" s="557"/>
      <c r="AW275" s="544"/>
      <c r="AX275" s="544"/>
      <c r="AY275" s="544"/>
      <c r="AZ275" s="545"/>
      <c r="BB275" s="557"/>
      <c r="BC275" s="544"/>
      <c r="BD275" s="544"/>
      <c r="BE275" s="544"/>
      <c r="BF275" s="545"/>
      <c r="BH275" s="557"/>
      <c r="BI275" s="544"/>
      <c r="BJ275" s="544"/>
      <c r="BK275" s="544"/>
      <c r="BL275" s="545"/>
      <c r="BN275" s="557"/>
      <c r="BO275" s="544"/>
      <c r="BP275" s="544"/>
      <c r="BQ275" s="544"/>
      <c r="BR275" s="545"/>
      <c r="BT275" s="557"/>
      <c r="BU275" s="544"/>
      <c r="BV275" s="544"/>
      <c r="BW275" s="544"/>
      <c r="BX275" s="545"/>
      <c r="BZ275" s="557"/>
      <c r="CA275" s="544"/>
      <c r="CB275" s="545"/>
      <c r="CD275" s="557"/>
      <c r="CE275" s="544"/>
      <c r="CF275" s="544"/>
      <c r="CG275" s="544"/>
      <c r="CH275" s="545"/>
    </row>
    <row r="276" spans="2:86" ht="26.5" customHeight="1">
      <c r="B276" s="637" t="s">
        <v>403</v>
      </c>
      <c r="C276" s="593" t="s">
        <v>381</v>
      </c>
      <c r="D276" s="637" t="s">
        <v>382</v>
      </c>
      <c r="E276" s="537" t="s">
        <v>281</v>
      </c>
      <c r="F276" s="638" t="s">
        <v>383</v>
      </c>
      <c r="G276" s="543"/>
      <c r="H276" s="637" t="s">
        <v>404</v>
      </c>
      <c r="I276" s="593" t="s">
        <v>381</v>
      </c>
      <c r="J276" s="637" t="s">
        <v>382</v>
      </c>
      <c r="K276" s="537" t="s">
        <v>281</v>
      </c>
      <c r="L276" s="638" t="s">
        <v>383</v>
      </c>
      <c r="M276" s="543"/>
      <c r="AE276" s="576"/>
      <c r="AF276" s="576"/>
      <c r="AG276" s="576"/>
      <c r="AH276" s="577"/>
      <c r="AJ276" s="595"/>
      <c r="AK276" s="576"/>
      <c r="AL276" s="576"/>
      <c r="AM276" s="576"/>
      <c r="AN276" s="577"/>
      <c r="AP276" s="595"/>
      <c r="AQ276" s="576"/>
      <c r="AR276" s="576"/>
      <c r="AS276" s="576"/>
      <c r="AT276" s="577"/>
      <c r="AV276" s="595"/>
      <c r="AW276" s="576"/>
      <c r="AX276" s="576"/>
      <c r="AY276" s="576"/>
      <c r="AZ276" s="577"/>
      <c r="BB276" s="595"/>
      <c r="BC276" s="576"/>
      <c r="BD276" s="576"/>
      <c r="BE276" s="576"/>
      <c r="BF276" s="577"/>
      <c r="BH276" s="595"/>
      <c r="BI276" s="576"/>
      <c r="BJ276" s="576"/>
      <c r="BK276" s="576"/>
      <c r="BL276" s="577"/>
      <c r="BN276" s="595"/>
      <c r="BO276" s="576"/>
      <c r="BP276" s="576"/>
      <c r="BQ276" s="576"/>
      <c r="BR276" s="577"/>
      <c r="BT276" s="595"/>
      <c r="BU276" s="576"/>
      <c r="BV276" s="576"/>
      <c r="BW276" s="576"/>
      <c r="BX276" s="577"/>
      <c r="BZ276" s="595"/>
      <c r="CA276" s="576"/>
      <c r="CB276" s="577"/>
      <c r="CD276" s="595"/>
      <c r="CE276" s="576"/>
      <c r="CF276" s="576"/>
      <c r="CG276" s="544"/>
      <c r="CH276" s="577"/>
    </row>
    <row r="277" spans="2:86">
      <c r="B277" s="639" t="s">
        <v>385</v>
      </c>
      <c r="C277" s="537">
        <f>ID!G63</f>
        <v>-27</v>
      </c>
      <c r="D277" s="711">
        <f ca="1">(FORECAST(C277,OFFSET($C$212:$C$219,MATCH(C277,$B$212:$B$219,1)-1,0,2),OFFSET($B$212:$B$219,MATCH(C277,$B$212:$B$219,1)-1,0,2)))+C277</f>
        <v>-26.698</v>
      </c>
      <c r="E277" s="537">
        <f t="shared" ref="E277:E286" ca="1" si="367">D277-C277</f>
        <v>0.3019999999999996</v>
      </c>
      <c r="F277" s="638"/>
      <c r="G277" s="543"/>
      <c r="H277" s="639" t="s">
        <v>385</v>
      </c>
      <c r="I277" s="537">
        <f>ID!H63</f>
        <v>-27</v>
      </c>
      <c r="J277" s="711">
        <f ca="1">(FORECAST(I277,OFFSET($C$212:$C$219,MATCH(I277,$B$212:$B$219,1)-1,0,2),OFFSET($B$212:$B$219,MATCH(I277,$B$212:$B$219,1)-1,0,2)))+I277</f>
        <v>-26.698</v>
      </c>
      <c r="K277" s="537">
        <f t="shared" ref="K277:K286" ca="1" si="368">J277-I277</f>
        <v>0.3019999999999996</v>
      </c>
      <c r="L277" s="638"/>
      <c r="M277" s="543"/>
      <c r="AE277" s="576"/>
      <c r="AF277" s="576"/>
      <c r="AG277" s="576"/>
      <c r="AH277" s="577"/>
      <c r="AJ277" s="595"/>
      <c r="AK277" s="576"/>
      <c r="AL277" s="576"/>
      <c r="AM277" s="576"/>
      <c r="AN277" s="577"/>
      <c r="AP277" s="595"/>
      <c r="AQ277" s="576"/>
      <c r="AR277" s="576"/>
      <c r="AS277" s="576"/>
      <c r="AT277" s="577"/>
      <c r="AV277" s="595"/>
      <c r="AW277" s="576"/>
      <c r="AX277" s="576"/>
      <c r="AY277" s="576"/>
      <c r="AZ277" s="577"/>
      <c r="BB277" s="595"/>
      <c r="BC277" s="576"/>
      <c r="BD277" s="576"/>
      <c r="BE277" s="576"/>
      <c r="BF277" s="577"/>
      <c r="BH277" s="595"/>
      <c r="BI277" s="576"/>
      <c r="BJ277" s="576"/>
      <c r="BK277" s="576"/>
      <c r="BL277" s="577"/>
      <c r="BN277" s="595"/>
      <c r="BO277" s="576"/>
      <c r="BP277" s="576"/>
      <c r="BQ277" s="576"/>
      <c r="BR277" s="577"/>
      <c r="BT277" s="595"/>
      <c r="BU277" s="576"/>
      <c r="BV277" s="576"/>
      <c r="BW277" s="576"/>
      <c r="BX277" s="577"/>
      <c r="BZ277" s="595"/>
      <c r="CA277" s="576"/>
      <c r="CB277" s="577"/>
      <c r="CD277" s="595"/>
      <c r="CE277" s="576"/>
      <c r="CF277" s="576"/>
      <c r="CG277" s="544"/>
      <c r="CH277" s="577"/>
    </row>
    <row r="278" spans="2:86">
      <c r="B278" s="639" t="s">
        <v>387</v>
      </c>
      <c r="C278" s="537">
        <f>ID!G64</f>
        <v>-27</v>
      </c>
      <c r="D278" s="711">
        <f ca="1">(FORECAST(C278,OFFSET($D$212:$D$219,MATCH(C278,$B$212:$B$219,1)-1,0,2),OFFSET($B$212:$B$219,MATCH(C278,$B$212:$B$219,1)-1,0,2)))+C278</f>
        <v>-26.728000000000002</v>
      </c>
      <c r="E278" s="537">
        <f t="shared" ca="1" si="367"/>
        <v>0.27199999999999847</v>
      </c>
      <c r="F278" s="638"/>
      <c r="G278" s="543"/>
      <c r="H278" s="639" t="s">
        <v>387</v>
      </c>
      <c r="I278" s="537">
        <f>ID!H64</f>
        <v>-27</v>
      </c>
      <c r="J278" s="711">
        <f ca="1">(FORECAST(I278,OFFSET($D$212:$D$219,MATCH(I278,$B$212:$B$219,1)-1,0,2),OFFSET($B$212:$B$219,MATCH(I278,$B$212:$B$219,1)-1,0,2)))+I278</f>
        <v>-26.728000000000002</v>
      </c>
      <c r="K278" s="537">
        <f t="shared" ca="1" si="368"/>
        <v>0.27199999999999847</v>
      </c>
      <c r="L278" s="638"/>
      <c r="M278" s="543"/>
      <c r="AE278" s="576"/>
      <c r="AF278" s="576"/>
      <c r="AG278" s="576"/>
      <c r="AH278" s="577"/>
      <c r="AJ278" s="595"/>
      <c r="AK278" s="576"/>
      <c r="AL278" s="576"/>
      <c r="AM278" s="576"/>
      <c r="AN278" s="577"/>
      <c r="AP278" s="595"/>
      <c r="AQ278" s="576"/>
      <c r="AR278" s="576"/>
      <c r="AS278" s="576"/>
      <c r="AT278" s="577"/>
      <c r="AV278" s="595"/>
      <c r="AW278" s="576"/>
      <c r="AX278" s="576"/>
      <c r="AY278" s="576"/>
      <c r="AZ278" s="577"/>
      <c r="BB278" s="595"/>
      <c r="BC278" s="576"/>
      <c r="BD278" s="576"/>
      <c r="BE278" s="576"/>
      <c r="BF278" s="577"/>
      <c r="BH278" s="595"/>
      <c r="BI278" s="576"/>
      <c r="BJ278" s="576"/>
      <c r="BK278" s="576"/>
      <c r="BL278" s="577"/>
      <c r="BN278" s="595"/>
      <c r="BO278" s="576"/>
      <c r="BP278" s="576"/>
      <c r="BQ278" s="576"/>
      <c r="BR278" s="577"/>
      <c r="BT278" s="595"/>
      <c r="BU278" s="576"/>
      <c r="BV278" s="576"/>
      <c r="BW278" s="576"/>
      <c r="BX278" s="577"/>
      <c r="BZ278" s="595"/>
      <c r="CA278" s="576"/>
      <c r="CB278" s="577"/>
      <c r="CD278" s="595"/>
      <c r="CE278" s="576"/>
      <c r="CF278" s="576"/>
      <c r="CG278" s="544"/>
      <c r="CH278" s="577"/>
    </row>
    <row r="279" spans="2:86">
      <c r="B279" s="639" t="s">
        <v>389</v>
      </c>
      <c r="C279" s="537">
        <f>ID!G65</f>
        <v>-27</v>
      </c>
      <c r="D279" s="711">
        <f ca="1">(FORECAST(C279,OFFSET($E$212:$E$219,MATCH(C279,$B$212:$B$219,1)-1,0,2),OFFSET($B$212:$B$219,MATCH(C279,$B$212:$B$219,1)-1,0,2)))+C279</f>
        <v>-26.693999999999999</v>
      </c>
      <c r="E279" s="537">
        <f t="shared" ca="1" si="367"/>
        <v>0.30600000000000094</v>
      </c>
      <c r="F279" s="638"/>
      <c r="G279" s="543"/>
      <c r="H279" s="639" t="s">
        <v>389</v>
      </c>
      <c r="I279" s="537">
        <f>ID!H65</f>
        <v>-27</v>
      </c>
      <c r="J279" s="711">
        <f ca="1">(FORECAST(I279,OFFSET($E$212:$E$219,MATCH(I279,$B$212:$B$219,1)-1,0,2),OFFSET($B$212:$B$219,MATCH(I279,$B$212:$B$219,1)-1,0,2)))+I279</f>
        <v>-26.693999999999999</v>
      </c>
      <c r="K279" s="537">
        <f t="shared" ca="1" si="368"/>
        <v>0.30600000000000094</v>
      </c>
      <c r="L279" s="638"/>
      <c r="M279" s="543"/>
      <c r="AE279" s="576"/>
      <c r="AF279" s="576"/>
      <c r="AG279" s="576"/>
      <c r="AH279" s="577"/>
      <c r="AJ279" s="595"/>
      <c r="AK279" s="576"/>
      <c r="AL279" s="576"/>
      <c r="AM279" s="576"/>
      <c r="AN279" s="577"/>
      <c r="AP279" s="595"/>
      <c r="AQ279" s="576"/>
      <c r="AR279" s="576"/>
      <c r="AS279" s="576"/>
      <c r="AT279" s="577"/>
      <c r="AV279" s="595"/>
      <c r="AW279" s="576"/>
      <c r="AX279" s="576"/>
      <c r="AY279" s="576"/>
      <c r="AZ279" s="577"/>
      <c r="BB279" s="595"/>
      <c r="BC279" s="576"/>
      <c r="BD279" s="576"/>
      <c r="BE279" s="576"/>
      <c r="BF279" s="577"/>
      <c r="BH279" s="595"/>
      <c r="BI279" s="576"/>
      <c r="BJ279" s="576"/>
      <c r="BK279" s="576"/>
      <c r="BL279" s="577"/>
      <c r="BN279" s="595"/>
      <c r="BO279" s="576"/>
      <c r="BP279" s="576"/>
      <c r="BQ279" s="576"/>
      <c r="BR279" s="577"/>
      <c r="BT279" s="595"/>
      <c r="BU279" s="576"/>
      <c r="BV279" s="576"/>
      <c r="BW279" s="576"/>
      <c r="BX279" s="577"/>
      <c r="BZ279" s="595"/>
      <c r="CA279" s="576"/>
      <c r="CB279" s="577"/>
      <c r="CD279" s="595"/>
      <c r="CE279" s="576"/>
      <c r="CF279" s="576"/>
      <c r="CG279" s="544"/>
      <c r="CH279" s="577"/>
    </row>
    <row r="280" spans="2:86">
      <c r="B280" s="639" t="s">
        <v>391</v>
      </c>
      <c r="C280" s="537">
        <f>ID!G66</f>
        <v>-27</v>
      </c>
      <c r="D280" s="711">
        <f ca="1">(FORECAST(C280,OFFSET($F$212:$F$219,MATCH(C280,$B$212:$B$219,1)-1,0,2),OFFSET($B$212:$B$219,MATCH(C280,$B$212:$B$219,1)-1,0,2)))+C280</f>
        <v>-26.687999999999999</v>
      </c>
      <c r="E280" s="537">
        <f t="shared" ca="1" si="367"/>
        <v>0.31200000000000117</v>
      </c>
      <c r="F280" s="638"/>
      <c r="G280" s="543"/>
      <c r="H280" s="639" t="s">
        <v>391</v>
      </c>
      <c r="I280" s="537">
        <f>ID!H66</f>
        <v>-27</v>
      </c>
      <c r="J280" s="711">
        <f ca="1">(FORECAST(I280,OFFSET($F$212:$F$219,MATCH(I280,$B$212:$B$219,1)-1,0,2),OFFSET($B$212:$B$219,MATCH(I280,$B$212:$B$219,1)-1,0,2)))+I280</f>
        <v>-26.687999999999999</v>
      </c>
      <c r="K280" s="537">
        <f t="shared" ca="1" si="368"/>
        <v>0.31200000000000117</v>
      </c>
      <c r="L280" s="638"/>
      <c r="M280" s="543"/>
      <c r="AE280" s="576"/>
      <c r="AF280" s="576"/>
      <c r="AG280" s="576"/>
      <c r="AH280" s="577"/>
      <c r="AJ280" s="595"/>
      <c r="AK280" s="576"/>
      <c r="AL280" s="576"/>
      <c r="AM280" s="576"/>
      <c r="AN280" s="577"/>
      <c r="AP280" s="595"/>
      <c r="AQ280" s="576"/>
      <c r="AR280" s="576"/>
      <c r="AS280" s="576"/>
      <c r="AT280" s="577"/>
      <c r="AV280" s="595"/>
      <c r="AW280" s="576"/>
      <c r="AX280" s="576"/>
      <c r="AY280" s="576"/>
      <c r="AZ280" s="577"/>
      <c r="BB280" s="595"/>
      <c r="BC280" s="576"/>
      <c r="BD280" s="576"/>
      <c r="BE280" s="576"/>
      <c r="BF280" s="577"/>
      <c r="BH280" s="595"/>
      <c r="BI280" s="576"/>
      <c r="BJ280" s="576"/>
      <c r="BK280" s="576"/>
      <c r="BL280" s="577"/>
      <c r="BN280" s="595"/>
      <c r="BO280" s="576"/>
      <c r="BP280" s="576"/>
      <c r="BQ280" s="576"/>
      <c r="BR280" s="577"/>
      <c r="BT280" s="595"/>
      <c r="BU280" s="576"/>
      <c r="BV280" s="576"/>
      <c r="BW280" s="576"/>
      <c r="BX280" s="577"/>
      <c r="BZ280" s="595"/>
      <c r="CA280" s="576"/>
      <c r="CB280" s="577"/>
      <c r="CD280" s="595"/>
      <c r="CE280" s="576"/>
      <c r="CF280" s="576"/>
      <c r="CG280" s="544"/>
      <c r="CH280" s="577"/>
    </row>
    <row r="281" spans="2:86">
      <c r="B281" s="639" t="s">
        <v>393</v>
      </c>
      <c r="C281" s="537">
        <f>ID!G67</f>
        <v>-27</v>
      </c>
      <c r="D281" s="711">
        <f ca="1">(FORECAST(C281,OFFSET($G$212:$G$219,MATCH(C281,$B$212:$B$219,1)-1,0,2),OFFSET($B$212:$B$219,MATCH(C281,$B$212:$B$219,1)-1,0,2)))+C281</f>
        <v>-26.684000000000001</v>
      </c>
      <c r="E281" s="537">
        <f t="shared" ca="1" si="367"/>
        <v>0.31599999999999895</v>
      </c>
      <c r="F281" s="638"/>
      <c r="G281" s="543"/>
      <c r="H281" s="639" t="s">
        <v>393</v>
      </c>
      <c r="I281" s="537">
        <f>ID!H67</f>
        <v>-27</v>
      </c>
      <c r="J281" s="711">
        <f ca="1">(FORECAST(I281,OFFSET($G$212:$G$219,MATCH(I281,$B$212:$B$219,1)-1,0,2),OFFSET($B$212:$B$219,MATCH(I281,$B$212:$B$219,1)-1,0,2)))+I281</f>
        <v>-26.684000000000001</v>
      </c>
      <c r="K281" s="537">
        <f t="shared" ca="1" si="368"/>
        <v>0.31599999999999895</v>
      </c>
      <c r="L281" s="638"/>
      <c r="M281" s="543"/>
      <c r="P281" s="595"/>
      <c r="Q281" s="576"/>
      <c r="R281" s="576"/>
      <c r="S281" s="576"/>
      <c r="T281" s="642"/>
      <c r="U281" s="642"/>
      <c r="V281" s="642"/>
      <c r="W281" s="642"/>
      <c r="X281" s="642"/>
      <c r="Y281" s="642"/>
      <c r="Z281" s="642"/>
      <c r="AA281" s="642"/>
      <c r="AB281" s="642"/>
      <c r="AD281" s="595"/>
      <c r="AH281" s="548"/>
      <c r="AJ281" s="548"/>
      <c r="AN281" s="548"/>
      <c r="AP281" s="548"/>
      <c r="AT281" s="548"/>
      <c r="AV281" s="548"/>
      <c r="AZ281" s="548"/>
      <c r="BB281" s="548"/>
      <c r="BF281" s="548"/>
      <c r="BH281" s="548"/>
      <c r="BL281" s="548"/>
      <c r="BN281" s="548"/>
      <c r="BR281" s="548"/>
      <c r="BT281" s="548"/>
      <c r="BX281" s="548"/>
      <c r="BZ281" s="548"/>
    </row>
    <row r="282" spans="2:86">
      <c r="B282" s="639" t="s">
        <v>395</v>
      </c>
      <c r="C282" s="537">
        <f>ID!G68</f>
        <v>-27</v>
      </c>
      <c r="D282" s="711">
        <f ca="1">(FORECAST(C282,OFFSET($H$212:$H$219,MATCH(C282,$B$212:$B$219,1)-1,0,2),OFFSET($B$212:$B$219,MATCH(C282,$B$212:$B$219,1)-1,0,2)))+C282</f>
        <v>-26.681999999999999</v>
      </c>
      <c r="E282" s="537">
        <f t="shared" ca="1" si="367"/>
        <v>0.31800000000000139</v>
      </c>
      <c r="F282" s="638"/>
      <c r="G282" s="543"/>
      <c r="H282" s="639" t="s">
        <v>395</v>
      </c>
      <c r="I282" s="537">
        <f>ID!H68</f>
        <v>-27</v>
      </c>
      <c r="J282" s="711">
        <f ca="1">(FORECAST(I282,OFFSET($H$212:$H$219,MATCH(I282,$B$212:$B$219,1)-1,0,2),OFFSET($B$212:$B$219,MATCH(I282,$B$212:$B$219,1)-1,0,2)))+I282</f>
        <v>-26.681999999999999</v>
      </c>
      <c r="K282" s="537">
        <f t="shared" ca="1" si="368"/>
        <v>0.31800000000000139</v>
      </c>
      <c r="L282" s="638"/>
      <c r="M282" s="543"/>
      <c r="P282" s="595"/>
      <c r="Q282" s="576"/>
      <c r="R282" s="576"/>
      <c r="S282" s="576"/>
      <c r="T282" s="642"/>
      <c r="U282" s="642"/>
      <c r="V282" s="642"/>
      <c r="W282" s="642"/>
      <c r="X282" s="642"/>
      <c r="Y282" s="642"/>
      <c r="Z282" s="642"/>
      <c r="AA282" s="642"/>
      <c r="AB282" s="642"/>
      <c r="AD282" s="595"/>
      <c r="AF282" s="595"/>
      <c r="AG282" s="576"/>
      <c r="AI282" s="576"/>
      <c r="AL282" s="595"/>
      <c r="AM282" s="576"/>
      <c r="AO282" s="576"/>
      <c r="AR282" s="595"/>
      <c r="AS282" s="576"/>
      <c r="AU282" s="576"/>
      <c r="AX282" s="595"/>
      <c r="AY282" s="576"/>
      <c r="BA282" s="576"/>
      <c r="BD282" s="595"/>
      <c r="BE282" s="576"/>
      <c r="BG282" s="576"/>
      <c r="BJ282" s="595"/>
      <c r="BK282" s="576"/>
      <c r="BM282" s="576"/>
      <c r="BP282" s="595"/>
      <c r="BQ282" s="576"/>
      <c r="BS282" s="576"/>
      <c r="BV282" s="595"/>
      <c r="BW282" s="576"/>
      <c r="BY282" s="576"/>
    </row>
    <row r="283" spans="2:86">
      <c r="B283" s="639" t="s">
        <v>397</v>
      </c>
      <c r="C283" s="537">
        <f>ID!G69</f>
        <v>-27</v>
      </c>
      <c r="D283" s="711">
        <f ca="1">(FORECAST(C283,OFFSET($I$212:$I$219,MATCH(C283,$B$212:$B$219,1)-1,0,2),OFFSET($B$212:$B$219,MATCH(C283,$B$212:$B$219,1)-1,0,2)))+C283</f>
        <v>-26.658000000000001</v>
      </c>
      <c r="E283" s="537">
        <f t="shared" ca="1" si="367"/>
        <v>0.34199999999999875</v>
      </c>
      <c r="F283" s="638"/>
      <c r="G283" s="543"/>
      <c r="H283" s="639" t="s">
        <v>397</v>
      </c>
      <c r="I283" s="537">
        <f>ID!H69</f>
        <v>-27</v>
      </c>
      <c r="J283" s="711">
        <f ca="1">(FORECAST(I283,OFFSET($I$212:$I$219,MATCH(I283,$B$212:$B$219,1)-1,0,2),OFFSET($B$212:$B$219,MATCH(I283,$B$212:$B$219,1)-1,0,2)))+I283</f>
        <v>-26.658000000000001</v>
      </c>
      <c r="K283" s="537">
        <f t="shared" ca="1" si="368"/>
        <v>0.34199999999999875</v>
      </c>
      <c r="L283" s="638"/>
      <c r="M283" s="543"/>
      <c r="P283" s="595"/>
      <c r="Q283" s="576"/>
      <c r="R283" s="576"/>
      <c r="S283" s="576"/>
      <c r="T283" s="642"/>
      <c r="U283" s="642"/>
      <c r="V283" s="642"/>
      <c r="W283" s="642"/>
      <c r="X283" s="642"/>
      <c r="Y283" s="642"/>
      <c r="Z283" s="642"/>
      <c r="AA283" s="642"/>
      <c r="AB283" s="642"/>
      <c r="AD283" s="595"/>
      <c r="AF283" s="595"/>
      <c r="AG283" s="576"/>
      <c r="AI283" s="576"/>
      <c r="AL283" s="595"/>
      <c r="AM283" s="576"/>
      <c r="AO283" s="576"/>
      <c r="AR283" s="595"/>
      <c r="AS283" s="576"/>
      <c r="AU283" s="576"/>
      <c r="AX283" s="595"/>
      <c r="AY283" s="576"/>
      <c r="BA283" s="576"/>
      <c r="BD283" s="595"/>
      <c r="BE283" s="576"/>
      <c r="BG283" s="576"/>
      <c r="BJ283" s="595"/>
      <c r="BK283" s="576"/>
      <c r="BM283" s="576"/>
      <c r="BP283" s="595"/>
      <c r="BQ283" s="576"/>
      <c r="BS283" s="576"/>
      <c r="BV283" s="595"/>
      <c r="BW283" s="576"/>
      <c r="BY283" s="576"/>
    </row>
    <row r="284" spans="2:86">
      <c r="B284" s="639" t="s">
        <v>398</v>
      </c>
      <c r="C284" s="537">
        <f>ID!G70</f>
        <v>-27</v>
      </c>
      <c r="D284" s="711">
        <f ca="1">(FORECAST(C284,OFFSET($J$212:$J$219,MATCH(C284,$B$212:$B$219,1)-1,0,2),OFFSET($B$212:$B$219,MATCH(C284,$B$212:$B$219,1)-1,0,2)))+C284</f>
        <v>-26.664000000000001</v>
      </c>
      <c r="E284" s="537">
        <f t="shared" ca="1" si="367"/>
        <v>0.33599999999999852</v>
      </c>
      <c r="F284" s="638"/>
      <c r="G284" s="543"/>
      <c r="H284" s="639" t="s">
        <v>398</v>
      </c>
      <c r="I284" s="537">
        <f>ID!H70</f>
        <v>-27</v>
      </c>
      <c r="J284" s="711">
        <f ca="1">(FORECAST(I284,OFFSET($J$212:$J$219,MATCH(I284,$B$212:$B$219,1)-1,0,2),OFFSET($B$212:$B$219,MATCH(I284,$B$212:$B$219,1)-1,0,2)))+I284</f>
        <v>-26.664000000000001</v>
      </c>
      <c r="K284" s="537">
        <f t="shared" ca="1" si="368"/>
        <v>0.33599999999999852</v>
      </c>
      <c r="L284" s="638"/>
      <c r="M284" s="543"/>
      <c r="P284" s="595"/>
      <c r="Q284" s="576"/>
      <c r="R284" s="576"/>
      <c r="S284" s="576"/>
      <c r="T284" s="642"/>
      <c r="U284" s="642"/>
      <c r="V284" s="642"/>
      <c r="W284" s="642"/>
      <c r="X284" s="642"/>
      <c r="Y284" s="642"/>
      <c r="Z284" s="642"/>
      <c r="AA284" s="642"/>
      <c r="AB284" s="642"/>
      <c r="AD284" s="595"/>
      <c r="AF284" s="595"/>
      <c r="AG284" s="576"/>
      <c r="AI284" s="576"/>
      <c r="AL284" s="595"/>
      <c r="AM284" s="576"/>
      <c r="AO284" s="576"/>
      <c r="AR284" s="595"/>
      <c r="AS284" s="576"/>
      <c r="AU284" s="576"/>
      <c r="AX284" s="595"/>
      <c r="AY284" s="576"/>
      <c r="BA284" s="576"/>
      <c r="BD284" s="595"/>
      <c r="BE284" s="576"/>
      <c r="BG284" s="576"/>
      <c r="BJ284" s="595"/>
      <c r="BK284" s="576"/>
      <c r="BM284" s="576"/>
      <c r="BP284" s="595"/>
      <c r="BQ284" s="576"/>
      <c r="BS284" s="576"/>
      <c r="BV284" s="595"/>
      <c r="BW284" s="576"/>
      <c r="BY284" s="576"/>
    </row>
    <row r="285" spans="2:86">
      <c r="B285" s="639" t="s">
        <v>399</v>
      </c>
      <c r="C285" s="711" t="s">
        <v>101</v>
      </c>
      <c r="D285" s="711" t="s">
        <v>101</v>
      </c>
      <c r="E285" s="711" t="s">
        <v>101</v>
      </c>
      <c r="F285" s="638"/>
      <c r="G285" s="543"/>
      <c r="H285" s="639" t="s">
        <v>399</v>
      </c>
      <c r="I285" s="711" t="s">
        <v>101</v>
      </c>
      <c r="J285" s="711" t="s">
        <v>101</v>
      </c>
      <c r="K285" s="711" t="s">
        <v>101</v>
      </c>
      <c r="L285" s="638"/>
      <c r="M285" s="543"/>
      <c r="P285" s="595"/>
      <c r="Q285" s="576"/>
      <c r="R285" s="576"/>
      <c r="S285" s="576"/>
      <c r="T285" s="642"/>
      <c r="U285" s="642"/>
      <c r="V285" s="642"/>
      <c r="W285" s="642"/>
      <c r="X285" s="642"/>
      <c r="Y285" s="642"/>
      <c r="Z285" s="642"/>
      <c r="AA285" s="642"/>
      <c r="AB285" s="642"/>
      <c r="AD285" s="595"/>
      <c r="AF285" s="595"/>
      <c r="AG285" s="576"/>
      <c r="AI285" s="576"/>
      <c r="AL285" s="595"/>
      <c r="AM285" s="576"/>
      <c r="AO285" s="576"/>
      <c r="AR285" s="595"/>
      <c r="AS285" s="576"/>
      <c r="AU285" s="576"/>
      <c r="AX285" s="595"/>
      <c r="AY285" s="576"/>
      <c r="BA285" s="576"/>
      <c r="BD285" s="595"/>
      <c r="BE285" s="576"/>
      <c r="BG285" s="576"/>
      <c r="BJ285" s="595"/>
      <c r="BK285" s="576"/>
      <c r="BM285" s="576"/>
      <c r="BP285" s="595"/>
      <c r="BQ285" s="576"/>
      <c r="BS285" s="576"/>
      <c r="BV285" s="595"/>
      <c r="BW285" s="576"/>
      <c r="BY285" s="576"/>
    </row>
    <row r="286" spans="2:86">
      <c r="B286" s="639" t="s">
        <v>400</v>
      </c>
      <c r="C286" s="711" t="s">
        <v>101</v>
      </c>
      <c r="D286" s="711" t="s">
        <v>101</v>
      </c>
      <c r="E286" s="711" t="s">
        <v>101</v>
      </c>
      <c r="F286" s="638"/>
      <c r="G286" s="543"/>
      <c r="H286" s="639" t="s">
        <v>400</v>
      </c>
      <c r="I286" s="711" t="s">
        <v>101</v>
      </c>
      <c r="J286" s="711" t="s">
        <v>101</v>
      </c>
      <c r="K286" s="711" t="s">
        <v>101</v>
      </c>
      <c r="L286" s="638"/>
      <c r="M286" s="543"/>
      <c r="P286" s="595"/>
      <c r="Q286" s="576"/>
      <c r="R286" s="576"/>
      <c r="S286" s="576"/>
      <c r="T286" s="642"/>
      <c r="U286" s="642"/>
      <c r="V286" s="642"/>
      <c r="W286" s="642"/>
      <c r="X286" s="642"/>
      <c r="Y286" s="642"/>
      <c r="Z286" s="642"/>
      <c r="AA286" s="642"/>
      <c r="AB286" s="642"/>
      <c r="AD286" s="595"/>
      <c r="AF286" s="595"/>
      <c r="AG286" s="576"/>
      <c r="AI286" s="576"/>
      <c r="AL286" s="595"/>
      <c r="AM286" s="576"/>
      <c r="AO286" s="576"/>
      <c r="AR286" s="595"/>
      <c r="AS286" s="576"/>
      <c r="AU286" s="576"/>
      <c r="AX286" s="595"/>
      <c r="AY286" s="576"/>
      <c r="BA286" s="576"/>
      <c r="BD286" s="595"/>
      <c r="BE286" s="576"/>
      <c r="BG286" s="576"/>
      <c r="BJ286" s="595"/>
      <c r="BK286" s="576"/>
      <c r="BM286" s="576"/>
      <c r="BP286" s="595"/>
      <c r="BQ286" s="576"/>
      <c r="BS286" s="576"/>
      <c r="BV286" s="595"/>
      <c r="BW286" s="576"/>
      <c r="BY286" s="576"/>
    </row>
    <row r="287" spans="2:86" s="543" customFormat="1">
      <c r="C287" s="544"/>
      <c r="P287" s="557"/>
      <c r="Q287" s="544"/>
      <c r="R287" s="544"/>
      <c r="S287" s="544"/>
      <c r="T287" s="545"/>
      <c r="U287" s="545"/>
      <c r="V287" s="545"/>
      <c r="W287" s="545"/>
      <c r="X287" s="545"/>
      <c r="Y287" s="545"/>
      <c r="Z287" s="545"/>
      <c r="AA287" s="545"/>
      <c r="AB287" s="545"/>
      <c r="AD287" s="557"/>
      <c r="AF287" s="557"/>
      <c r="AG287" s="544"/>
      <c r="AH287" s="544"/>
      <c r="AI287" s="544"/>
      <c r="AJ287" s="545"/>
      <c r="AL287" s="557"/>
      <c r="AM287" s="544"/>
      <c r="AN287" s="544"/>
      <c r="AO287" s="544"/>
      <c r="AP287" s="545"/>
      <c r="AR287" s="557"/>
      <c r="AS287" s="544"/>
      <c r="AT287" s="544"/>
      <c r="AU287" s="544"/>
      <c r="AV287" s="545"/>
      <c r="AX287" s="557"/>
      <c r="AY287" s="544"/>
      <c r="AZ287" s="544"/>
      <c r="BA287" s="544"/>
      <c r="BB287" s="545"/>
      <c r="BD287" s="557"/>
      <c r="BE287" s="544"/>
      <c r="BF287" s="544"/>
      <c r="BG287" s="544"/>
      <c r="BH287" s="545"/>
      <c r="BJ287" s="557"/>
      <c r="BK287" s="544"/>
      <c r="BL287" s="544"/>
      <c r="BM287" s="544"/>
      <c r="BN287" s="545"/>
      <c r="BP287" s="557"/>
      <c r="BQ287" s="544"/>
      <c r="BR287" s="544"/>
      <c r="BS287" s="544"/>
      <c r="BT287" s="545"/>
      <c r="BV287" s="557"/>
      <c r="BW287" s="544"/>
      <c r="BX287" s="544"/>
      <c r="BY287" s="544"/>
      <c r="BZ287" s="545"/>
    </row>
    <row r="288" spans="2:86" s="543" customFormat="1">
      <c r="P288" s="557"/>
      <c r="Q288" s="544"/>
      <c r="R288" s="544"/>
      <c r="S288" s="544"/>
      <c r="T288" s="545"/>
      <c r="U288" s="545"/>
      <c r="V288" s="545"/>
      <c r="W288" s="545"/>
      <c r="X288" s="545"/>
      <c r="Y288" s="545"/>
      <c r="Z288" s="545"/>
      <c r="AA288" s="545"/>
      <c r="AB288" s="545"/>
      <c r="AD288" s="557"/>
      <c r="AF288" s="557"/>
      <c r="AG288" s="544"/>
      <c r="AH288" s="544"/>
      <c r="AI288" s="544"/>
      <c r="AJ288" s="545"/>
      <c r="AL288" s="557"/>
      <c r="AM288" s="544"/>
      <c r="AN288" s="544"/>
      <c r="AO288" s="544"/>
      <c r="AP288" s="545"/>
      <c r="AR288" s="557"/>
      <c r="AS288" s="544"/>
      <c r="AT288" s="544"/>
      <c r="AU288" s="544"/>
      <c r="AV288" s="545"/>
      <c r="AX288" s="557"/>
      <c r="AY288" s="544"/>
      <c r="AZ288" s="544"/>
      <c r="BA288" s="544"/>
      <c r="BB288" s="545"/>
      <c r="BD288" s="557"/>
      <c r="BE288" s="544"/>
      <c r="BF288" s="544"/>
      <c r="BG288" s="544"/>
      <c r="BH288" s="545"/>
      <c r="BJ288" s="557"/>
      <c r="BK288" s="544"/>
      <c r="BL288" s="544"/>
      <c r="BM288" s="544"/>
      <c r="BN288" s="545"/>
      <c r="BP288" s="557"/>
      <c r="BQ288" s="544"/>
      <c r="BR288" s="544"/>
      <c r="BS288" s="544"/>
      <c r="BT288" s="545"/>
      <c r="BV288" s="557"/>
      <c r="BW288" s="544"/>
      <c r="BX288" s="544"/>
      <c r="BY288" s="544"/>
      <c r="BZ288" s="545"/>
    </row>
    <row r="289" spans="2:86" ht="26.5" customHeight="1">
      <c r="B289" s="637" t="s">
        <v>405</v>
      </c>
      <c r="C289" s="593" t="s">
        <v>381</v>
      </c>
      <c r="D289" s="637" t="s">
        <v>382</v>
      </c>
      <c r="E289" s="537" t="s">
        <v>281</v>
      </c>
      <c r="F289" s="638" t="s">
        <v>383</v>
      </c>
      <c r="G289" s="543"/>
      <c r="H289" s="637" t="s">
        <v>406</v>
      </c>
      <c r="I289" s="593" t="s">
        <v>381</v>
      </c>
      <c r="J289" s="637" t="s">
        <v>382</v>
      </c>
      <c r="K289" s="537" t="s">
        <v>281</v>
      </c>
      <c r="L289" s="638" t="s">
        <v>383</v>
      </c>
      <c r="M289" s="543"/>
      <c r="AE289" s="576"/>
      <c r="AF289" s="576"/>
      <c r="AG289" s="576"/>
      <c r="AH289" s="577"/>
      <c r="AJ289" s="595"/>
      <c r="AK289" s="576"/>
      <c r="AL289" s="576"/>
      <c r="AM289" s="576"/>
      <c r="AN289" s="577"/>
      <c r="AP289" s="595"/>
      <c r="AQ289" s="576"/>
      <c r="AR289" s="576"/>
      <c r="AS289" s="576"/>
      <c r="AT289" s="577"/>
      <c r="AV289" s="595"/>
      <c r="AW289" s="576"/>
      <c r="AX289" s="576"/>
      <c r="AY289" s="576"/>
      <c r="AZ289" s="577"/>
      <c r="BB289" s="595"/>
      <c r="BC289" s="576"/>
      <c r="BD289" s="576"/>
      <c r="BE289" s="576"/>
      <c r="BF289" s="577"/>
      <c r="BH289" s="595"/>
      <c r="BI289" s="576"/>
      <c r="BJ289" s="576"/>
      <c r="BK289" s="576"/>
      <c r="BL289" s="577"/>
      <c r="BN289" s="595"/>
      <c r="BO289" s="576"/>
      <c r="BP289" s="576"/>
      <c r="BQ289" s="576"/>
      <c r="BR289" s="577"/>
      <c r="BT289" s="595"/>
      <c r="BU289" s="576"/>
      <c r="BV289" s="576"/>
      <c r="BW289" s="576"/>
      <c r="BX289" s="577"/>
      <c r="BZ289" s="595"/>
      <c r="CA289" s="576"/>
      <c r="CB289" s="577"/>
      <c r="CD289" s="595"/>
      <c r="CE289" s="576"/>
      <c r="CF289" s="576"/>
      <c r="CG289" s="544"/>
      <c r="CH289" s="577"/>
    </row>
    <row r="290" spans="2:86">
      <c r="B290" s="639" t="s">
        <v>385</v>
      </c>
      <c r="C290" s="537">
        <f>ID!I63</f>
        <v>-27</v>
      </c>
      <c r="D290" s="711">
        <f ca="1">(FORECAST(C290,OFFSET($C$212:$C$219,MATCH(C290,$B$212:$B$219,1)-1,0,2),OFFSET($B$212:$B$219,MATCH(C290,$B$212:$B$219,1)-1,0,2)))+C290</f>
        <v>-26.698</v>
      </c>
      <c r="E290" s="537">
        <f t="shared" ref="E290:E299" ca="1" si="369">D290-C290</f>
        <v>0.3019999999999996</v>
      </c>
      <c r="F290" s="638"/>
      <c r="G290" s="543"/>
      <c r="H290" s="639" t="s">
        <v>385</v>
      </c>
      <c r="I290" s="537">
        <f>ID!J63</f>
        <v>-27</v>
      </c>
      <c r="J290" s="711">
        <f ca="1">(FORECAST(I290,OFFSET($C$212:$C$219,MATCH(I290,$B$212:$B$219,1)-1,0,2),OFFSET($B$212:$B$219,MATCH(I290,$B$212:$B$219,1)-1,0,2)))+I290</f>
        <v>-26.698</v>
      </c>
      <c r="K290" s="537">
        <f t="shared" ref="K290:K299" ca="1" si="370">J290-I290</f>
        <v>0.3019999999999996</v>
      </c>
      <c r="L290" s="638"/>
      <c r="M290" s="543"/>
      <c r="AE290" s="576"/>
      <c r="AF290" s="576"/>
      <c r="AG290" s="576"/>
      <c r="AH290" s="577"/>
      <c r="AJ290" s="595"/>
      <c r="AK290" s="576"/>
      <c r="AL290" s="576"/>
      <c r="AM290" s="576"/>
      <c r="AN290" s="577"/>
      <c r="AP290" s="595"/>
      <c r="AQ290" s="576"/>
      <c r="AR290" s="576"/>
      <c r="AS290" s="576"/>
      <c r="AT290" s="577"/>
      <c r="AV290" s="595"/>
      <c r="AW290" s="576"/>
      <c r="AX290" s="576"/>
      <c r="AY290" s="576"/>
      <c r="AZ290" s="577"/>
      <c r="BB290" s="595"/>
      <c r="BC290" s="576"/>
      <c r="BD290" s="576"/>
      <c r="BE290" s="576"/>
      <c r="BF290" s="577"/>
      <c r="BH290" s="595"/>
      <c r="BI290" s="576"/>
      <c r="BJ290" s="576"/>
      <c r="BK290" s="576"/>
      <c r="BL290" s="577"/>
      <c r="BN290" s="595"/>
      <c r="BO290" s="576"/>
      <c r="BP290" s="576"/>
      <c r="BQ290" s="576"/>
      <c r="BR290" s="577"/>
      <c r="BT290" s="595"/>
      <c r="BU290" s="576"/>
      <c r="BV290" s="576"/>
      <c r="BW290" s="576"/>
      <c r="BX290" s="577"/>
      <c r="BZ290" s="595"/>
      <c r="CA290" s="576"/>
      <c r="CB290" s="577"/>
      <c r="CD290" s="595"/>
      <c r="CE290" s="576"/>
      <c r="CF290" s="576"/>
      <c r="CG290" s="544"/>
      <c r="CH290" s="577"/>
    </row>
    <row r="291" spans="2:86">
      <c r="B291" s="639" t="s">
        <v>387</v>
      </c>
      <c r="C291" s="537">
        <f>ID!I64</f>
        <v>-27</v>
      </c>
      <c r="D291" s="711">
        <f ca="1">(FORECAST(C291,OFFSET($D$212:$D$219,MATCH(C291,$B$212:$B$219,1)-1,0,2),OFFSET($B$212:$B$219,MATCH(C291,$B$212:$B$219,1)-1,0,2)))+C291</f>
        <v>-26.728000000000002</v>
      </c>
      <c r="E291" s="537">
        <f t="shared" ca="1" si="369"/>
        <v>0.27199999999999847</v>
      </c>
      <c r="F291" s="638"/>
      <c r="G291" s="543"/>
      <c r="H291" s="639" t="s">
        <v>387</v>
      </c>
      <c r="I291" s="537">
        <f>ID!J64</f>
        <v>-27</v>
      </c>
      <c r="J291" s="711">
        <f ca="1">(FORECAST(I291,OFFSET($D$212:$D$219,MATCH(I291,$B$212:$B$219,1)-1,0,2),OFFSET($B$212:$B$219,MATCH(I291,$B$212:$B$219,1)-1,0,2)))+I291</f>
        <v>-26.728000000000002</v>
      </c>
      <c r="K291" s="537">
        <f t="shared" ca="1" si="370"/>
        <v>0.27199999999999847</v>
      </c>
      <c r="L291" s="638"/>
      <c r="M291" s="543"/>
      <c r="AE291" s="576"/>
      <c r="AF291" s="576"/>
      <c r="AG291" s="576"/>
      <c r="AH291" s="577"/>
      <c r="AJ291" s="595"/>
      <c r="AK291" s="576"/>
      <c r="AL291" s="576"/>
      <c r="AM291" s="576"/>
      <c r="AN291" s="577"/>
      <c r="AP291" s="595"/>
      <c r="AQ291" s="576"/>
      <c r="AR291" s="576"/>
      <c r="AS291" s="576"/>
      <c r="AT291" s="577"/>
      <c r="AV291" s="595"/>
      <c r="AW291" s="576"/>
      <c r="AX291" s="576"/>
      <c r="AY291" s="576"/>
      <c r="AZ291" s="577"/>
      <c r="BB291" s="595"/>
      <c r="BC291" s="576"/>
      <c r="BD291" s="576"/>
      <c r="BE291" s="576"/>
      <c r="BF291" s="577"/>
      <c r="BH291" s="595"/>
      <c r="BI291" s="576"/>
      <c r="BJ291" s="576"/>
      <c r="BK291" s="576"/>
      <c r="BL291" s="577"/>
      <c r="BN291" s="595"/>
      <c r="BO291" s="576"/>
      <c r="BP291" s="576"/>
      <c r="BQ291" s="576"/>
      <c r="BR291" s="577"/>
      <c r="BT291" s="595"/>
      <c r="BU291" s="576"/>
      <c r="BV291" s="576"/>
      <c r="BW291" s="576"/>
      <c r="BX291" s="577"/>
      <c r="BZ291" s="595"/>
      <c r="CA291" s="576"/>
      <c r="CB291" s="577"/>
      <c r="CD291" s="595"/>
      <c r="CE291" s="576"/>
      <c r="CF291" s="576"/>
      <c r="CG291" s="544"/>
      <c r="CH291" s="577"/>
    </row>
    <row r="292" spans="2:86">
      <c r="B292" s="639" t="s">
        <v>389</v>
      </c>
      <c r="C292" s="537">
        <f>ID!I65</f>
        <v>-27</v>
      </c>
      <c r="D292" s="711">
        <f ca="1">(FORECAST(C292,OFFSET($E$212:$E$219,MATCH(C292,$B$212:$B$219,1)-1,0,2),OFFSET($B$212:$B$219,MATCH(C292,$B$212:$B$219,1)-1,0,2)))+C292</f>
        <v>-26.693999999999999</v>
      </c>
      <c r="E292" s="537">
        <f t="shared" ca="1" si="369"/>
        <v>0.30600000000000094</v>
      </c>
      <c r="F292" s="638"/>
      <c r="G292" s="543"/>
      <c r="H292" s="639" t="s">
        <v>389</v>
      </c>
      <c r="I292" s="537">
        <f>ID!J65</f>
        <v>-27</v>
      </c>
      <c r="J292" s="711">
        <f ca="1">(FORECAST(I292,OFFSET($E$212:$E$219,MATCH(I292,$B$212:$B$219,1)-1,0,2),OFFSET($B$212:$B$219,MATCH(I292,$B$212:$B$219,1)-1,0,2)))+I292</f>
        <v>-26.693999999999999</v>
      </c>
      <c r="K292" s="537">
        <f t="shared" ca="1" si="370"/>
        <v>0.30600000000000094</v>
      </c>
      <c r="L292" s="638"/>
      <c r="M292" s="543"/>
      <c r="AE292" s="576"/>
      <c r="AF292" s="576"/>
      <c r="AG292" s="576"/>
      <c r="AH292" s="577"/>
      <c r="AJ292" s="595"/>
      <c r="AK292" s="576"/>
      <c r="AL292" s="576"/>
      <c r="AM292" s="576"/>
      <c r="AN292" s="577"/>
      <c r="AP292" s="595"/>
      <c r="AQ292" s="576"/>
      <c r="AR292" s="576"/>
      <c r="AS292" s="576"/>
      <c r="AT292" s="577"/>
      <c r="AV292" s="595"/>
      <c r="AW292" s="576"/>
      <c r="AX292" s="576"/>
      <c r="AY292" s="576"/>
      <c r="AZ292" s="577"/>
      <c r="BB292" s="595"/>
      <c r="BC292" s="576"/>
      <c r="BD292" s="576"/>
      <c r="BE292" s="576"/>
      <c r="BF292" s="577"/>
      <c r="BH292" s="595"/>
      <c r="BI292" s="576"/>
      <c r="BJ292" s="576"/>
      <c r="BK292" s="576"/>
      <c r="BL292" s="577"/>
      <c r="BN292" s="595"/>
      <c r="BO292" s="576"/>
      <c r="BP292" s="576"/>
      <c r="BQ292" s="576"/>
      <c r="BR292" s="577"/>
      <c r="BT292" s="595"/>
      <c r="BU292" s="576"/>
      <c r="BV292" s="576"/>
      <c r="BW292" s="576"/>
      <c r="BX292" s="577"/>
      <c r="BZ292" s="595"/>
      <c r="CA292" s="576"/>
      <c r="CB292" s="577"/>
      <c r="CD292" s="595"/>
      <c r="CE292" s="576"/>
      <c r="CF292" s="576"/>
      <c r="CG292" s="544"/>
      <c r="CH292" s="577"/>
    </row>
    <row r="293" spans="2:86">
      <c r="B293" s="639" t="s">
        <v>391</v>
      </c>
      <c r="C293" s="537">
        <f>ID!I66</f>
        <v>-27</v>
      </c>
      <c r="D293" s="711">
        <f ca="1">(FORECAST(C293,OFFSET($F$212:$F$219,MATCH(C293,$B$212:$B$219,1)-1,0,2),OFFSET($B$212:$B$219,MATCH(C293,$B$212:$B$219,1)-1,0,2)))+C293</f>
        <v>-26.687999999999999</v>
      </c>
      <c r="E293" s="537">
        <f t="shared" ca="1" si="369"/>
        <v>0.31200000000000117</v>
      </c>
      <c r="F293" s="638"/>
      <c r="G293" s="543"/>
      <c r="H293" s="639" t="s">
        <v>391</v>
      </c>
      <c r="I293" s="537">
        <f>ID!J66</f>
        <v>-27</v>
      </c>
      <c r="J293" s="711">
        <f ca="1">(FORECAST(I293,OFFSET($F$212:$F$219,MATCH(I293,$B$212:$B$219,1)-1,0,2),OFFSET($B$212:$B$219,MATCH(I293,$B$212:$B$219,1)-1,0,2)))+I293</f>
        <v>-26.687999999999999</v>
      </c>
      <c r="K293" s="537">
        <f t="shared" ca="1" si="370"/>
        <v>0.31200000000000117</v>
      </c>
      <c r="L293" s="638"/>
      <c r="M293" s="543"/>
      <c r="AE293" s="576"/>
      <c r="AF293" s="576"/>
      <c r="AG293" s="576"/>
      <c r="AH293" s="577"/>
      <c r="AJ293" s="595"/>
      <c r="AK293" s="576"/>
      <c r="AL293" s="576"/>
      <c r="AM293" s="576"/>
      <c r="AN293" s="577"/>
      <c r="AP293" s="595"/>
      <c r="AQ293" s="576"/>
      <c r="AR293" s="576"/>
      <c r="AS293" s="576"/>
      <c r="AT293" s="577"/>
      <c r="AV293" s="595"/>
      <c r="AW293" s="576"/>
      <c r="AX293" s="576"/>
      <c r="AY293" s="576"/>
      <c r="AZ293" s="577"/>
      <c r="BB293" s="595"/>
      <c r="BC293" s="576"/>
      <c r="BD293" s="576"/>
      <c r="BE293" s="576"/>
      <c r="BF293" s="577"/>
      <c r="BH293" s="595"/>
      <c r="BI293" s="576"/>
      <c r="BJ293" s="576"/>
      <c r="BK293" s="576"/>
      <c r="BL293" s="577"/>
      <c r="BN293" s="595"/>
      <c r="BO293" s="576"/>
      <c r="BP293" s="576"/>
      <c r="BQ293" s="576"/>
      <c r="BR293" s="577"/>
      <c r="BT293" s="595"/>
      <c r="BU293" s="576"/>
      <c r="BV293" s="576"/>
      <c r="BW293" s="576"/>
      <c r="BX293" s="577"/>
      <c r="BZ293" s="595"/>
      <c r="CA293" s="576"/>
      <c r="CB293" s="577"/>
      <c r="CD293" s="595"/>
      <c r="CE293" s="576"/>
      <c r="CF293" s="576"/>
      <c r="CG293" s="544"/>
      <c r="CH293" s="577"/>
    </row>
    <row r="294" spans="2:86">
      <c r="B294" s="639" t="s">
        <v>393</v>
      </c>
      <c r="C294" s="537">
        <f>ID!I67</f>
        <v>-27</v>
      </c>
      <c r="D294" s="711">
        <f ca="1">(FORECAST(C294,OFFSET($G$212:$G$219,MATCH(C294,$B$212:$B$219,1)-1,0,2),OFFSET($B$212:$B$219,MATCH(C294,$B$212:$B$219,1)-1,0,2)))+C294</f>
        <v>-26.684000000000001</v>
      </c>
      <c r="E294" s="537">
        <f t="shared" ca="1" si="369"/>
        <v>0.31599999999999895</v>
      </c>
      <c r="F294" s="638"/>
      <c r="G294" s="543"/>
      <c r="H294" s="639" t="s">
        <v>393</v>
      </c>
      <c r="I294" s="537">
        <f>ID!J67</f>
        <v>-27</v>
      </c>
      <c r="J294" s="711">
        <f ca="1">(FORECAST(I294,OFFSET($G$212:$G$219,MATCH(I294,$B$212:$B$219,1)-1,0,2),OFFSET($B$212:$B$219,MATCH(I294,$B$212:$B$219,1)-1,0,2)))+I294</f>
        <v>-26.684000000000001</v>
      </c>
      <c r="K294" s="537">
        <f t="shared" ca="1" si="370"/>
        <v>0.31599999999999895</v>
      </c>
      <c r="L294" s="638"/>
      <c r="M294" s="543"/>
      <c r="P294" s="595"/>
      <c r="Q294" s="576"/>
      <c r="R294" s="576"/>
      <c r="S294" s="576"/>
      <c r="T294" s="642"/>
      <c r="U294" s="642"/>
      <c r="V294" s="642"/>
      <c r="W294" s="642"/>
      <c r="X294" s="642"/>
      <c r="Y294" s="642"/>
      <c r="Z294" s="642"/>
      <c r="AA294" s="642"/>
      <c r="AB294" s="642"/>
      <c r="AD294" s="595"/>
      <c r="AH294" s="548"/>
      <c r="AJ294" s="548"/>
      <c r="AN294" s="548"/>
      <c r="AP294" s="548"/>
      <c r="AT294" s="548"/>
      <c r="AV294" s="548"/>
      <c r="AZ294" s="548"/>
      <c r="BB294" s="548"/>
      <c r="BF294" s="548"/>
      <c r="BH294" s="548"/>
      <c r="BL294" s="548"/>
      <c r="BN294" s="548"/>
      <c r="BR294" s="548"/>
      <c r="BT294" s="548"/>
      <c r="BX294" s="548"/>
      <c r="BZ294" s="548"/>
    </row>
    <row r="295" spans="2:86">
      <c r="B295" s="639" t="s">
        <v>395</v>
      </c>
      <c r="C295" s="537">
        <f>ID!I68</f>
        <v>-27</v>
      </c>
      <c r="D295" s="711">
        <f ca="1">(FORECAST(C295,OFFSET($H$212:$H$219,MATCH(C295,$B$212:$B$219,1)-1,0,2),OFFSET($B$212:$B$219,MATCH(C295,$B$212:$B$219,1)-1,0,2)))+C295</f>
        <v>-26.681999999999999</v>
      </c>
      <c r="E295" s="537">
        <f t="shared" ca="1" si="369"/>
        <v>0.31800000000000139</v>
      </c>
      <c r="F295" s="638"/>
      <c r="G295" s="543"/>
      <c r="H295" s="639" t="s">
        <v>395</v>
      </c>
      <c r="I295" s="537">
        <f>ID!J68</f>
        <v>-27</v>
      </c>
      <c r="J295" s="711">
        <f ca="1">(FORECAST(I295,OFFSET($H$212:$H$219,MATCH(I295,$B$212:$B$219,1)-1,0,2),OFFSET($B$212:$B$219,MATCH(I295,$B$212:$B$219,1)-1,0,2)))+I295</f>
        <v>-26.681999999999999</v>
      </c>
      <c r="K295" s="537">
        <f t="shared" ca="1" si="370"/>
        <v>0.31800000000000139</v>
      </c>
      <c r="L295" s="638"/>
      <c r="M295" s="543"/>
      <c r="P295" s="595"/>
      <c r="Q295" s="576"/>
      <c r="R295" s="576"/>
      <c r="S295" s="576"/>
      <c r="T295" s="642"/>
      <c r="U295" s="642"/>
      <c r="V295" s="642"/>
      <c r="W295" s="642"/>
      <c r="X295" s="642"/>
      <c r="Y295" s="642"/>
      <c r="Z295" s="642"/>
      <c r="AA295" s="642"/>
      <c r="AB295" s="642"/>
      <c r="AD295" s="595"/>
      <c r="AF295" s="595"/>
      <c r="AG295" s="576"/>
      <c r="AI295" s="576"/>
      <c r="AL295" s="595"/>
      <c r="AM295" s="576"/>
      <c r="AO295" s="576"/>
      <c r="AR295" s="595"/>
      <c r="AS295" s="576"/>
      <c r="AU295" s="576"/>
      <c r="AX295" s="595"/>
      <c r="AY295" s="576"/>
      <c r="BA295" s="576"/>
      <c r="BD295" s="595"/>
      <c r="BE295" s="576"/>
      <c r="BG295" s="576"/>
      <c r="BJ295" s="595"/>
      <c r="BK295" s="576"/>
      <c r="BM295" s="576"/>
      <c r="BP295" s="595"/>
      <c r="BQ295" s="576"/>
      <c r="BS295" s="576"/>
      <c r="BV295" s="595"/>
      <c r="BW295" s="576"/>
      <c r="BY295" s="576"/>
    </row>
    <row r="296" spans="2:86">
      <c r="B296" s="639" t="s">
        <v>397</v>
      </c>
      <c r="C296" s="537">
        <f>ID!I69</f>
        <v>-27</v>
      </c>
      <c r="D296" s="711">
        <f ca="1">(FORECAST(C296,OFFSET($I$212:$I$219,MATCH(C296,$B$212:$B$219,1)-1,0,2),OFFSET($B$212:$B$219,MATCH(C296,$B$212:$B$219,1)-1,0,2)))+C296</f>
        <v>-26.658000000000001</v>
      </c>
      <c r="E296" s="537">
        <f t="shared" ca="1" si="369"/>
        <v>0.34199999999999875</v>
      </c>
      <c r="F296" s="638"/>
      <c r="G296" s="543"/>
      <c r="H296" s="639" t="s">
        <v>397</v>
      </c>
      <c r="I296" s="537">
        <f>ID!J69</f>
        <v>-27</v>
      </c>
      <c r="J296" s="711">
        <f ca="1">(FORECAST(I296,OFFSET($I$212:$I$219,MATCH(I296,$B$212:$B$219,1)-1,0,2),OFFSET($B$212:$B$219,MATCH(I296,$B$212:$B$219,1)-1,0,2)))+I296</f>
        <v>-26.658000000000001</v>
      </c>
      <c r="K296" s="537">
        <f t="shared" ca="1" si="370"/>
        <v>0.34199999999999875</v>
      </c>
      <c r="L296" s="638"/>
      <c r="M296" s="543"/>
      <c r="P296" s="595"/>
      <c r="Q296" s="576"/>
      <c r="R296" s="576"/>
      <c r="S296" s="576"/>
      <c r="T296" s="642"/>
      <c r="U296" s="642"/>
      <c r="V296" s="642"/>
      <c r="W296" s="642"/>
      <c r="X296" s="642"/>
      <c r="Y296" s="642"/>
      <c r="Z296" s="642"/>
      <c r="AA296" s="642"/>
      <c r="AB296" s="642"/>
      <c r="AD296" s="595"/>
      <c r="AF296" s="595"/>
      <c r="AG296" s="576"/>
      <c r="AI296" s="576"/>
      <c r="AL296" s="595"/>
      <c r="AM296" s="576"/>
      <c r="AO296" s="576"/>
      <c r="AR296" s="595"/>
      <c r="AS296" s="576"/>
      <c r="AU296" s="576"/>
      <c r="AX296" s="595"/>
      <c r="AY296" s="576"/>
      <c r="BA296" s="576"/>
      <c r="BD296" s="595"/>
      <c r="BE296" s="576"/>
      <c r="BG296" s="576"/>
      <c r="BJ296" s="595"/>
      <c r="BK296" s="576"/>
      <c r="BM296" s="576"/>
      <c r="BP296" s="595"/>
      <c r="BQ296" s="576"/>
      <c r="BS296" s="576"/>
      <c r="BV296" s="595"/>
      <c r="BW296" s="576"/>
      <c r="BY296" s="576"/>
    </row>
    <row r="297" spans="2:86">
      <c r="B297" s="639" t="s">
        <v>398</v>
      </c>
      <c r="C297" s="537">
        <f>ID!I70</f>
        <v>-27</v>
      </c>
      <c r="D297" s="711">
        <f ca="1">(FORECAST(C297,OFFSET($J$212:$J$219,MATCH(C297,$B$212:$B$219,1)-1,0,2),OFFSET($B$212:$B$219,MATCH(C297,$B$212:$B$219,1)-1,0,2)))+C297</f>
        <v>-26.664000000000001</v>
      </c>
      <c r="E297" s="537">
        <f t="shared" ca="1" si="369"/>
        <v>0.33599999999999852</v>
      </c>
      <c r="F297" s="638"/>
      <c r="G297" s="543"/>
      <c r="H297" s="639" t="s">
        <v>398</v>
      </c>
      <c r="I297" s="537">
        <f>ID!J70</f>
        <v>-27</v>
      </c>
      <c r="J297" s="711">
        <f ca="1">(FORECAST(I297,OFFSET($J$212:$J$219,MATCH(I297,$B$212:$B$219,1)-1,0,2),OFFSET($B$212:$B$219,MATCH(I297,$B$212:$B$219,1)-1,0,2)))+I297</f>
        <v>-26.664000000000001</v>
      </c>
      <c r="K297" s="537">
        <f t="shared" ca="1" si="370"/>
        <v>0.33599999999999852</v>
      </c>
      <c r="L297" s="638"/>
      <c r="M297" s="543"/>
      <c r="P297" s="595"/>
      <c r="Q297" s="576"/>
      <c r="R297" s="576"/>
      <c r="S297" s="576"/>
      <c r="T297" s="642"/>
      <c r="U297" s="642"/>
      <c r="V297" s="642"/>
      <c r="W297" s="642"/>
      <c r="X297" s="642"/>
      <c r="Y297" s="642"/>
      <c r="Z297" s="642"/>
      <c r="AA297" s="642"/>
      <c r="AB297" s="642"/>
      <c r="AD297" s="595"/>
      <c r="AF297" s="595"/>
      <c r="AG297" s="576"/>
      <c r="AI297" s="576"/>
      <c r="AL297" s="595"/>
      <c r="AM297" s="576"/>
      <c r="AO297" s="576"/>
      <c r="AR297" s="595"/>
      <c r="AS297" s="576"/>
      <c r="AU297" s="576"/>
      <c r="AX297" s="595"/>
      <c r="AY297" s="576"/>
      <c r="BA297" s="576"/>
      <c r="BD297" s="595"/>
      <c r="BE297" s="576"/>
      <c r="BG297" s="576"/>
      <c r="BJ297" s="595"/>
      <c r="BK297" s="576"/>
      <c r="BM297" s="576"/>
      <c r="BP297" s="595"/>
      <c r="BQ297" s="576"/>
      <c r="BS297" s="576"/>
      <c r="BV297" s="595"/>
      <c r="BW297" s="576"/>
      <c r="BY297" s="576"/>
    </row>
    <row r="298" spans="2:86">
      <c r="B298" s="639" t="s">
        <v>399</v>
      </c>
      <c r="C298" s="711" t="s">
        <v>101</v>
      </c>
      <c r="D298" s="711" t="s">
        <v>101</v>
      </c>
      <c r="E298" s="711" t="s">
        <v>101</v>
      </c>
      <c r="F298" s="638"/>
      <c r="G298" s="543"/>
      <c r="H298" s="639" t="s">
        <v>399</v>
      </c>
      <c r="I298" s="711" t="s">
        <v>101</v>
      </c>
      <c r="J298" s="711" t="s">
        <v>101</v>
      </c>
      <c r="K298" s="711" t="s">
        <v>101</v>
      </c>
      <c r="L298" s="638"/>
      <c r="M298" s="543"/>
      <c r="P298" s="595"/>
      <c r="Q298" s="576"/>
      <c r="R298" s="576"/>
      <c r="S298" s="576"/>
      <c r="T298" s="642"/>
      <c r="U298" s="642"/>
      <c r="V298" s="642"/>
      <c r="W298" s="642"/>
      <c r="X298" s="642"/>
      <c r="Y298" s="642"/>
      <c r="Z298" s="642"/>
      <c r="AA298" s="642"/>
      <c r="AB298" s="642"/>
      <c r="AD298" s="595"/>
      <c r="AF298" s="595"/>
      <c r="AG298" s="576"/>
      <c r="AI298" s="576"/>
      <c r="AL298" s="595"/>
      <c r="AM298" s="576"/>
      <c r="AO298" s="576"/>
      <c r="AR298" s="595"/>
      <c r="AS298" s="576"/>
      <c r="AU298" s="576"/>
      <c r="AX298" s="595"/>
      <c r="AY298" s="576"/>
      <c r="BA298" s="576"/>
      <c r="BD298" s="595"/>
      <c r="BE298" s="576"/>
      <c r="BG298" s="576"/>
      <c r="BJ298" s="595"/>
      <c r="BK298" s="576"/>
      <c r="BM298" s="576"/>
      <c r="BP298" s="595"/>
      <c r="BQ298" s="576"/>
      <c r="BS298" s="576"/>
      <c r="BV298" s="595"/>
      <c r="BW298" s="576"/>
      <c r="BY298" s="576"/>
    </row>
    <row r="299" spans="2:86">
      <c r="B299" s="639" t="s">
        <v>400</v>
      </c>
      <c r="C299" s="711" t="s">
        <v>101</v>
      </c>
      <c r="D299" s="711" t="s">
        <v>101</v>
      </c>
      <c r="E299" s="711" t="s">
        <v>101</v>
      </c>
      <c r="F299" s="638"/>
      <c r="G299" s="543"/>
      <c r="H299" s="639" t="s">
        <v>400</v>
      </c>
      <c r="I299" s="711" t="s">
        <v>101</v>
      </c>
      <c r="J299" s="711" t="s">
        <v>101</v>
      </c>
      <c r="K299" s="711" t="s">
        <v>101</v>
      </c>
      <c r="L299" s="638"/>
      <c r="M299" s="543"/>
      <c r="P299" s="595"/>
      <c r="Q299" s="576"/>
      <c r="R299" s="576"/>
      <c r="S299" s="576"/>
      <c r="T299" s="642"/>
      <c r="U299" s="642"/>
      <c r="V299" s="642"/>
      <c r="W299" s="642"/>
      <c r="X299" s="642"/>
      <c r="Y299" s="642"/>
      <c r="Z299" s="642"/>
      <c r="AA299" s="642"/>
      <c r="AB299" s="642"/>
      <c r="AD299" s="595"/>
      <c r="AF299" s="595"/>
      <c r="AG299" s="576"/>
      <c r="AI299" s="576"/>
      <c r="AL299" s="595"/>
      <c r="AM299" s="576"/>
      <c r="AO299" s="576"/>
      <c r="AR299" s="595"/>
      <c r="AS299" s="576"/>
      <c r="AU299" s="576"/>
      <c r="AX299" s="595"/>
      <c r="AY299" s="576"/>
      <c r="BA299" s="576"/>
      <c r="BD299" s="595"/>
      <c r="BE299" s="576"/>
      <c r="BG299" s="576"/>
      <c r="BJ299" s="595"/>
      <c r="BK299" s="576"/>
      <c r="BM299" s="576"/>
      <c r="BP299" s="595"/>
      <c r="BQ299" s="576"/>
      <c r="BS299" s="576"/>
      <c r="BV299" s="595"/>
      <c r="BW299" s="576"/>
      <c r="BY299" s="576"/>
    </row>
    <row r="300" spans="2:86" s="543" customFormat="1">
      <c r="P300" s="557"/>
      <c r="Q300" s="544"/>
      <c r="R300" s="544"/>
      <c r="S300" s="544"/>
      <c r="T300" s="545"/>
      <c r="U300" s="545"/>
      <c r="V300" s="545"/>
      <c r="W300" s="545"/>
      <c r="X300" s="545"/>
      <c r="Y300" s="545"/>
      <c r="Z300" s="545"/>
      <c r="AA300" s="545"/>
      <c r="AB300" s="545"/>
      <c r="AD300" s="557"/>
      <c r="AF300" s="557"/>
      <c r="AG300" s="544"/>
      <c r="AH300" s="544"/>
      <c r="AI300" s="544"/>
      <c r="AJ300" s="545"/>
      <c r="AL300" s="557"/>
      <c r="AM300" s="544"/>
      <c r="AN300" s="544"/>
      <c r="AO300" s="544"/>
      <c r="AP300" s="545"/>
      <c r="AR300" s="557"/>
      <c r="AS300" s="544"/>
      <c r="AT300" s="544"/>
      <c r="AU300" s="544"/>
      <c r="AV300" s="545"/>
      <c r="AX300" s="557"/>
      <c r="AY300" s="544"/>
      <c r="AZ300" s="544"/>
      <c r="BA300" s="544"/>
      <c r="BB300" s="545"/>
      <c r="BD300" s="557"/>
      <c r="BE300" s="544"/>
      <c r="BF300" s="544"/>
      <c r="BG300" s="544"/>
      <c r="BH300" s="545"/>
      <c r="BJ300" s="557"/>
      <c r="BK300" s="544"/>
      <c r="BL300" s="544"/>
      <c r="BM300" s="544"/>
      <c r="BN300" s="545"/>
      <c r="BP300" s="557"/>
      <c r="BQ300" s="544"/>
      <c r="BR300" s="544"/>
      <c r="BS300" s="544"/>
      <c r="BT300" s="545"/>
      <c r="BV300" s="557"/>
      <c r="BW300" s="544"/>
      <c r="BX300" s="544"/>
      <c r="BY300" s="544"/>
      <c r="BZ300" s="545"/>
    </row>
    <row r="301" spans="2:86" s="543" customFormat="1">
      <c r="P301" s="557"/>
      <c r="Q301" s="544"/>
      <c r="R301" s="544"/>
      <c r="S301" s="544"/>
      <c r="T301" s="545"/>
      <c r="U301" s="545"/>
      <c r="V301" s="545"/>
      <c r="W301" s="545"/>
      <c r="X301" s="545"/>
      <c r="Y301" s="545"/>
      <c r="Z301" s="545"/>
      <c r="AA301" s="545"/>
      <c r="AB301" s="545"/>
      <c r="AD301" s="557"/>
      <c r="AF301" s="557"/>
      <c r="AG301" s="544"/>
      <c r="AH301" s="544"/>
      <c r="AI301" s="544"/>
      <c r="AJ301" s="545"/>
      <c r="AL301" s="557"/>
      <c r="AM301" s="544"/>
      <c r="AN301" s="544"/>
      <c r="AO301" s="544"/>
      <c r="AP301" s="545"/>
      <c r="AR301" s="557"/>
      <c r="AS301" s="544"/>
      <c r="AT301" s="544"/>
      <c r="AU301" s="544"/>
      <c r="AV301" s="545"/>
      <c r="AX301" s="557"/>
      <c r="AY301" s="544"/>
      <c r="AZ301" s="544"/>
      <c r="BA301" s="544"/>
      <c r="BB301" s="545"/>
      <c r="BD301" s="557"/>
      <c r="BE301" s="544"/>
      <c r="BF301" s="544"/>
      <c r="BG301" s="544"/>
      <c r="BH301" s="545"/>
      <c r="BJ301" s="557"/>
      <c r="BK301" s="544"/>
      <c r="BL301" s="544"/>
      <c r="BM301" s="544"/>
      <c r="BN301" s="545"/>
      <c r="BP301" s="557"/>
      <c r="BQ301" s="544"/>
      <c r="BR301" s="544"/>
      <c r="BS301" s="544"/>
      <c r="BT301" s="545"/>
      <c r="BV301" s="557"/>
      <c r="BW301" s="544"/>
      <c r="BX301" s="544"/>
      <c r="BY301" s="544"/>
      <c r="BZ301" s="545"/>
    </row>
    <row r="302" spans="2:86" ht="26.5" customHeight="1">
      <c r="B302" s="637" t="s">
        <v>407</v>
      </c>
      <c r="C302" s="593" t="s">
        <v>381</v>
      </c>
      <c r="D302" s="637" t="s">
        <v>382</v>
      </c>
      <c r="E302" s="537" t="s">
        <v>281</v>
      </c>
      <c r="F302" s="638" t="s">
        <v>383</v>
      </c>
      <c r="G302" s="543"/>
      <c r="H302" s="637" t="s">
        <v>408</v>
      </c>
      <c r="I302" s="593" t="s">
        <v>381</v>
      </c>
      <c r="J302" s="637" t="s">
        <v>382</v>
      </c>
      <c r="K302" s="537" t="s">
        <v>281</v>
      </c>
      <c r="L302" s="638" t="s">
        <v>383</v>
      </c>
      <c r="M302" s="543"/>
      <c r="AE302" s="576"/>
      <c r="AF302" s="576"/>
      <c r="AG302" s="576"/>
      <c r="AH302" s="577"/>
      <c r="AJ302" s="595"/>
      <c r="AK302" s="576"/>
      <c r="AL302" s="576"/>
      <c r="AM302" s="576"/>
      <c r="AN302" s="577"/>
      <c r="AP302" s="595"/>
      <c r="AQ302" s="576"/>
      <c r="AR302" s="576"/>
      <c r="AS302" s="576"/>
      <c r="AT302" s="577"/>
      <c r="AV302" s="595"/>
      <c r="AW302" s="576"/>
      <c r="AX302" s="576"/>
      <c r="AY302" s="576"/>
      <c r="AZ302" s="577"/>
      <c r="BB302" s="595"/>
      <c r="BC302" s="576"/>
      <c r="BD302" s="576"/>
      <c r="BE302" s="576"/>
      <c r="BF302" s="577"/>
      <c r="BH302" s="595"/>
      <c r="BI302" s="576"/>
      <c r="BJ302" s="576"/>
      <c r="BK302" s="576"/>
      <c r="BL302" s="577"/>
      <c r="BN302" s="595"/>
      <c r="BO302" s="576"/>
      <c r="BP302" s="576"/>
      <c r="BQ302" s="576"/>
      <c r="BR302" s="577"/>
      <c r="BT302" s="595"/>
      <c r="BU302" s="576"/>
      <c r="BV302" s="576"/>
      <c r="BW302" s="576"/>
      <c r="BX302" s="577"/>
      <c r="BZ302" s="595"/>
      <c r="CA302" s="576"/>
      <c r="CB302" s="577"/>
      <c r="CD302" s="595"/>
      <c r="CE302" s="576"/>
      <c r="CF302" s="576"/>
      <c r="CG302" s="544"/>
      <c r="CH302" s="577"/>
    </row>
    <row r="303" spans="2:86">
      <c r="B303" s="639" t="s">
        <v>385</v>
      </c>
      <c r="C303" s="537">
        <f>ID!K63</f>
        <v>-27</v>
      </c>
      <c r="D303" s="711">
        <f ca="1">(FORECAST(C303,OFFSET($C$212:$C$219,MATCH(C303,$B$212:$B$219,1)-1,0,2),OFFSET($B$212:$B$219,MATCH(C303,$B$212:$B$219,1)-1,0,2)))+C303</f>
        <v>-26.698</v>
      </c>
      <c r="E303" s="537">
        <f t="shared" ref="E303:E312" ca="1" si="371">D303-C303</f>
        <v>0.3019999999999996</v>
      </c>
      <c r="F303" s="638"/>
      <c r="G303" s="543"/>
      <c r="H303" s="639" t="s">
        <v>385</v>
      </c>
      <c r="I303" s="537">
        <f>ID!L63</f>
        <v>-27</v>
      </c>
      <c r="J303" s="711">
        <f ca="1">(FORECAST(I303,OFFSET($C$212:$C$219,MATCH(I303,$B$212:$B$219,1)-1,0,2),OFFSET($B$212:$B$219,MATCH(I303,$B$212:$B$219,1)-1,0,2)))+I303</f>
        <v>-26.698</v>
      </c>
      <c r="K303" s="537">
        <f t="shared" ref="K303:K312" ca="1" si="372">J303-I303</f>
        <v>0.3019999999999996</v>
      </c>
      <c r="L303" s="638"/>
      <c r="M303" s="543"/>
      <c r="AE303" s="576"/>
      <c r="AF303" s="576"/>
      <c r="AG303" s="576"/>
      <c r="AH303" s="577"/>
      <c r="AJ303" s="595"/>
      <c r="AK303" s="576"/>
      <c r="AL303" s="576"/>
      <c r="AM303" s="576"/>
      <c r="AN303" s="577"/>
      <c r="AP303" s="595"/>
      <c r="AQ303" s="576"/>
      <c r="AR303" s="576"/>
      <c r="AS303" s="576"/>
      <c r="AT303" s="577"/>
      <c r="AV303" s="595"/>
      <c r="AW303" s="576"/>
      <c r="AX303" s="576"/>
      <c r="AY303" s="576"/>
      <c r="AZ303" s="577"/>
      <c r="BB303" s="595"/>
      <c r="BC303" s="576"/>
      <c r="BD303" s="576"/>
      <c r="BE303" s="576"/>
      <c r="BF303" s="577"/>
      <c r="BH303" s="595"/>
      <c r="BI303" s="576"/>
      <c r="BJ303" s="576"/>
      <c r="BK303" s="576"/>
      <c r="BL303" s="577"/>
      <c r="BN303" s="595"/>
      <c r="BO303" s="576"/>
      <c r="BP303" s="576"/>
      <c r="BQ303" s="576"/>
      <c r="BR303" s="577"/>
      <c r="BT303" s="595"/>
      <c r="BU303" s="576"/>
      <c r="BV303" s="576"/>
      <c r="BW303" s="576"/>
      <c r="BX303" s="577"/>
      <c r="BZ303" s="595"/>
      <c r="CA303" s="576"/>
      <c r="CB303" s="577"/>
      <c r="CD303" s="595"/>
      <c r="CE303" s="576"/>
      <c r="CF303" s="576"/>
      <c r="CG303" s="544"/>
      <c r="CH303" s="577"/>
    </row>
    <row r="304" spans="2:86">
      <c r="B304" s="639" t="s">
        <v>387</v>
      </c>
      <c r="C304" s="537">
        <f>ID!K64</f>
        <v>-27</v>
      </c>
      <c r="D304" s="711">
        <f ca="1">(FORECAST(C304,OFFSET($D$212:$D$219,MATCH(C304,$B$212:$B$219,1)-1,0,2),OFFSET($B$212:$B$219,MATCH(C304,$B$212:$B$219,1)-1,0,2)))+C304</f>
        <v>-26.728000000000002</v>
      </c>
      <c r="E304" s="537">
        <f t="shared" ca="1" si="371"/>
        <v>0.27199999999999847</v>
      </c>
      <c r="F304" s="638"/>
      <c r="G304" s="543"/>
      <c r="H304" s="639" t="s">
        <v>387</v>
      </c>
      <c r="I304" s="537">
        <f>ID!L64</f>
        <v>-27</v>
      </c>
      <c r="J304" s="711">
        <f ca="1">(FORECAST(I304,OFFSET($D$212:$D$219,MATCH(I304,$B$212:$B$219,1)-1,0,2),OFFSET($B$212:$B$219,MATCH(I304,$B$212:$B$219,1)-1,0,2)))+I304</f>
        <v>-26.728000000000002</v>
      </c>
      <c r="K304" s="537">
        <f t="shared" ca="1" si="372"/>
        <v>0.27199999999999847</v>
      </c>
      <c r="L304" s="638"/>
      <c r="M304" s="543"/>
      <c r="AE304" s="576"/>
      <c r="AF304" s="576"/>
      <c r="AG304" s="576"/>
      <c r="AH304" s="577"/>
      <c r="AJ304" s="595"/>
      <c r="AK304" s="576"/>
      <c r="AL304" s="576"/>
      <c r="AM304" s="576"/>
      <c r="AN304" s="577"/>
      <c r="AP304" s="595"/>
      <c r="AQ304" s="576"/>
      <c r="AR304" s="576"/>
      <c r="AS304" s="576"/>
      <c r="AT304" s="577"/>
      <c r="AV304" s="595"/>
      <c r="AW304" s="576"/>
      <c r="AX304" s="576"/>
      <c r="AY304" s="576"/>
      <c r="AZ304" s="577"/>
      <c r="BB304" s="595"/>
      <c r="BC304" s="576"/>
      <c r="BD304" s="576"/>
      <c r="BE304" s="576"/>
      <c r="BF304" s="577"/>
      <c r="BH304" s="595"/>
      <c r="BI304" s="576"/>
      <c r="BJ304" s="576"/>
      <c r="BK304" s="576"/>
      <c r="BL304" s="577"/>
      <c r="BN304" s="595"/>
      <c r="BO304" s="576"/>
      <c r="BP304" s="576"/>
      <c r="BQ304" s="576"/>
      <c r="BR304" s="577"/>
      <c r="BT304" s="595"/>
      <c r="BU304" s="576"/>
      <c r="BV304" s="576"/>
      <c r="BW304" s="576"/>
      <c r="BX304" s="577"/>
      <c r="BZ304" s="595"/>
      <c r="CA304" s="576"/>
      <c r="CB304" s="577"/>
      <c r="CD304" s="595"/>
      <c r="CE304" s="576"/>
      <c r="CF304" s="576"/>
      <c r="CG304" s="544"/>
      <c r="CH304" s="577"/>
    </row>
    <row r="305" spans="2:86">
      <c r="B305" s="639" t="s">
        <v>389</v>
      </c>
      <c r="C305" s="537">
        <f>ID!K65</f>
        <v>-27</v>
      </c>
      <c r="D305" s="711">
        <f ca="1">(FORECAST(C305,OFFSET($E$212:$E$219,MATCH(C305,$B$212:$B$219,1)-1,0,2),OFFSET($B$212:$B$219,MATCH(C305,$B$212:$B$219,1)-1,0,2)))+C305</f>
        <v>-26.693999999999999</v>
      </c>
      <c r="E305" s="537">
        <f t="shared" ca="1" si="371"/>
        <v>0.30600000000000094</v>
      </c>
      <c r="F305" s="638"/>
      <c r="G305" s="543"/>
      <c r="H305" s="639" t="s">
        <v>389</v>
      </c>
      <c r="I305" s="537">
        <f>ID!L65</f>
        <v>-27</v>
      </c>
      <c r="J305" s="711">
        <f ca="1">(FORECAST(I305,OFFSET($E$212:$E$219,MATCH(I305,$B$212:$B$219,1)-1,0,2),OFFSET($B$212:$B$219,MATCH(I305,$B$212:$B$219,1)-1,0,2)))+I305</f>
        <v>-26.693999999999999</v>
      </c>
      <c r="K305" s="537">
        <f t="shared" ca="1" si="372"/>
        <v>0.30600000000000094</v>
      </c>
      <c r="L305" s="638"/>
      <c r="M305" s="543"/>
      <c r="AE305" s="576"/>
      <c r="AF305" s="576"/>
      <c r="AG305" s="576"/>
      <c r="AH305" s="577"/>
      <c r="AJ305" s="595"/>
      <c r="AK305" s="576"/>
      <c r="AL305" s="576"/>
      <c r="AM305" s="576"/>
      <c r="AN305" s="577"/>
      <c r="AP305" s="595"/>
      <c r="AQ305" s="576"/>
      <c r="AR305" s="576"/>
      <c r="AS305" s="576"/>
      <c r="AT305" s="577"/>
      <c r="AV305" s="595"/>
      <c r="AW305" s="576"/>
      <c r="AX305" s="576"/>
      <c r="AY305" s="576"/>
      <c r="AZ305" s="577"/>
      <c r="BB305" s="595"/>
      <c r="BC305" s="576"/>
      <c r="BD305" s="576"/>
      <c r="BE305" s="576"/>
      <c r="BF305" s="577"/>
      <c r="BH305" s="595"/>
      <c r="BI305" s="576"/>
      <c r="BJ305" s="576"/>
      <c r="BK305" s="576"/>
      <c r="BL305" s="577"/>
      <c r="BN305" s="595"/>
      <c r="BO305" s="576"/>
      <c r="BP305" s="576"/>
      <c r="BQ305" s="576"/>
      <c r="BR305" s="577"/>
      <c r="BT305" s="595"/>
      <c r="BU305" s="576"/>
      <c r="BV305" s="576"/>
      <c r="BW305" s="576"/>
      <c r="BX305" s="577"/>
      <c r="BZ305" s="595"/>
      <c r="CA305" s="576"/>
      <c r="CB305" s="577"/>
      <c r="CD305" s="595"/>
      <c r="CE305" s="576"/>
      <c r="CF305" s="576"/>
      <c r="CG305" s="544"/>
      <c r="CH305" s="577"/>
    </row>
    <row r="306" spans="2:86">
      <c r="B306" s="639" t="s">
        <v>391</v>
      </c>
      <c r="C306" s="537">
        <f>ID!K66</f>
        <v>-27</v>
      </c>
      <c r="D306" s="711">
        <f ca="1">(FORECAST(C306,OFFSET($F$212:$F$219,MATCH(C306,$B$212:$B$219,1)-1,0,2),OFFSET($B$212:$B$219,MATCH(C306,$B$212:$B$219,1)-1,0,2)))+C306</f>
        <v>-26.687999999999999</v>
      </c>
      <c r="E306" s="537">
        <f t="shared" ca="1" si="371"/>
        <v>0.31200000000000117</v>
      </c>
      <c r="F306" s="638"/>
      <c r="G306" s="543"/>
      <c r="H306" s="639" t="s">
        <v>391</v>
      </c>
      <c r="I306" s="537">
        <f>ID!L66</f>
        <v>-27</v>
      </c>
      <c r="J306" s="711">
        <f ca="1">(FORECAST(I306,OFFSET($F$212:$F$219,MATCH(I306,$B$212:$B$219,1)-1,0,2),OFFSET($B$212:$B$219,MATCH(I306,$B$212:$B$219,1)-1,0,2)))+I306</f>
        <v>-26.687999999999999</v>
      </c>
      <c r="K306" s="537">
        <f t="shared" ca="1" si="372"/>
        <v>0.31200000000000117</v>
      </c>
      <c r="L306" s="638"/>
      <c r="M306" s="543"/>
      <c r="AE306" s="576"/>
      <c r="AF306" s="576"/>
      <c r="AG306" s="576"/>
      <c r="AH306" s="577"/>
      <c r="AJ306" s="595"/>
      <c r="AK306" s="576"/>
      <c r="AL306" s="576"/>
      <c r="AM306" s="576"/>
      <c r="AN306" s="577"/>
      <c r="AP306" s="595"/>
      <c r="AQ306" s="576"/>
      <c r="AR306" s="576"/>
      <c r="AS306" s="576"/>
      <c r="AT306" s="577"/>
      <c r="AV306" s="595"/>
      <c r="AW306" s="576"/>
      <c r="AX306" s="576"/>
      <c r="AY306" s="576"/>
      <c r="AZ306" s="577"/>
      <c r="BB306" s="595"/>
      <c r="BC306" s="576"/>
      <c r="BD306" s="576"/>
      <c r="BE306" s="576"/>
      <c r="BF306" s="577"/>
      <c r="BH306" s="595"/>
      <c r="BI306" s="576"/>
      <c r="BJ306" s="576"/>
      <c r="BK306" s="576"/>
      <c r="BL306" s="577"/>
      <c r="BN306" s="595"/>
      <c r="BO306" s="576"/>
      <c r="BP306" s="576"/>
      <c r="BQ306" s="576"/>
      <c r="BR306" s="577"/>
      <c r="BT306" s="595"/>
      <c r="BU306" s="576"/>
      <c r="BV306" s="576"/>
      <c r="BW306" s="576"/>
      <c r="BX306" s="577"/>
      <c r="BZ306" s="595"/>
      <c r="CA306" s="576"/>
      <c r="CB306" s="577"/>
      <c r="CD306" s="595"/>
      <c r="CE306" s="576"/>
      <c r="CF306" s="576"/>
      <c r="CG306" s="544"/>
      <c r="CH306" s="577"/>
    </row>
    <row r="307" spans="2:86">
      <c r="B307" s="639" t="s">
        <v>393</v>
      </c>
      <c r="C307" s="537">
        <f>ID!K67</f>
        <v>-27</v>
      </c>
      <c r="D307" s="711">
        <f ca="1">(FORECAST(C307,OFFSET($G$212:$G$219,MATCH(C307,$B$212:$B$219,1)-1,0,2),OFFSET($B$212:$B$219,MATCH(C307,$B$212:$B$219,1)-1,0,2)))+C307</f>
        <v>-26.684000000000001</v>
      </c>
      <c r="E307" s="537">
        <f t="shared" ca="1" si="371"/>
        <v>0.31599999999999895</v>
      </c>
      <c r="F307" s="638"/>
      <c r="G307" s="543"/>
      <c r="H307" s="639" t="s">
        <v>393</v>
      </c>
      <c r="I307" s="537">
        <f>ID!L67</f>
        <v>-27</v>
      </c>
      <c r="J307" s="711">
        <f ca="1">(FORECAST(I307,OFFSET($G$212:$G$219,MATCH(I307,$B$212:$B$219,1)-1,0,2),OFFSET($B$212:$B$219,MATCH(I307,$B$212:$B$219,1)-1,0,2)))+I307</f>
        <v>-26.684000000000001</v>
      </c>
      <c r="K307" s="537">
        <f t="shared" ca="1" si="372"/>
        <v>0.31599999999999895</v>
      </c>
      <c r="L307" s="638"/>
      <c r="M307" s="543"/>
      <c r="P307" s="595"/>
      <c r="Q307" s="576"/>
      <c r="R307" s="576"/>
      <c r="S307" s="576"/>
      <c r="T307" s="642"/>
      <c r="U307" s="642"/>
      <c r="V307" s="642"/>
      <c r="W307" s="642"/>
      <c r="X307" s="642"/>
      <c r="Y307" s="642"/>
      <c r="Z307" s="642"/>
      <c r="AA307" s="642"/>
      <c r="AB307" s="642"/>
      <c r="AD307" s="595"/>
      <c r="AH307" s="548"/>
      <c r="AJ307" s="548"/>
      <c r="AN307" s="548"/>
      <c r="AP307" s="548"/>
      <c r="AT307" s="548"/>
      <c r="AV307" s="548"/>
      <c r="AZ307" s="548"/>
      <c r="BB307" s="548"/>
      <c r="BF307" s="548"/>
      <c r="BH307" s="548"/>
      <c r="BL307" s="548"/>
      <c r="BN307" s="548"/>
      <c r="BR307" s="548"/>
      <c r="BT307" s="548"/>
      <c r="BX307" s="548"/>
      <c r="BZ307" s="548"/>
    </row>
    <row r="308" spans="2:86">
      <c r="B308" s="639" t="s">
        <v>395</v>
      </c>
      <c r="C308" s="537">
        <f>ID!K68</f>
        <v>-27</v>
      </c>
      <c r="D308" s="711">
        <f ca="1">(FORECAST(C308,OFFSET($H$212:$H$219,MATCH(C308,$B$212:$B$219,1)-1,0,2),OFFSET($B$212:$B$219,MATCH(C308,$B$212:$B$219,1)-1,0,2)))+C308</f>
        <v>-26.681999999999999</v>
      </c>
      <c r="E308" s="537">
        <f t="shared" ca="1" si="371"/>
        <v>0.31800000000000139</v>
      </c>
      <c r="F308" s="638"/>
      <c r="G308" s="543"/>
      <c r="H308" s="639" t="s">
        <v>395</v>
      </c>
      <c r="I308" s="537">
        <f>ID!L68</f>
        <v>-27</v>
      </c>
      <c r="J308" s="711">
        <f ca="1">(FORECAST(I308,OFFSET($H$212:$H$219,MATCH(I308,$B$212:$B$219,1)-1,0,2),OFFSET($B$212:$B$219,MATCH(I308,$B$212:$B$219,1)-1,0,2)))+I308</f>
        <v>-26.681999999999999</v>
      </c>
      <c r="K308" s="537">
        <f t="shared" ca="1" si="372"/>
        <v>0.31800000000000139</v>
      </c>
      <c r="L308" s="638"/>
      <c r="M308" s="543"/>
      <c r="P308" s="595"/>
      <c r="Q308" s="576"/>
      <c r="R308" s="576"/>
      <c r="S308" s="576"/>
      <c r="T308" s="642"/>
      <c r="U308" s="642"/>
      <c r="V308" s="642"/>
      <c r="W308" s="642"/>
      <c r="X308" s="642"/>
      <c r="Y308" s="642"/>
      <c r="Z308" s="642"/>
      <c r="AA308" s="642"/>
      <c r="AB308" s="642"/>
      <c r="AD308" s="595"/>
      <c r="AF308" s="595"/>
      <c r="AG308" s="576"/>
      <c r="AI308" s="576"/>
      <c r="AL308" s="595"/>
      <c r="AM308" s="576"/>
      <c r="AO308" s="576"/>
      <c r="AR308" s="595"/>
      <c r="AS308" s="576"/>
      <c r="AU308" s="576"/>
      <c r="AX308" s="595"/>
      <c r="AY308" s="576"/>
      <c r="BA308" s="576"/>
      <c r="BD308" s="595"/>
      <c r="BE308" s="576"/>
      <c r="BG308" s="576"/>
      <c r="BJ308" s="595"/>
      <c r="BK308" s="576"/>
      <c r="BM308" s="576"/>
      <c r="BP308" s="595"/>
      <c r="BQ308" s="576"/>
      <c r="BS308" s="576"/>
      <c r="BV308" s="595"/>
      <c r="BW308" s="576"/>
      <c r="BY308" s="576"/>
    </row>
    <row r="309" spans="2:86">
      <c r="B309" s="639" t="s">
        <v>397</v>
      </c>
      <c r="C309" s="537">
        <f>ID!K69</f>
        <v>-27</v>
      </c>
      <c r="D309" s="711">
        <f ca="1">(FORECAST(C309,OFFSET($I$212:$I$219,MATCH(C309,$B$212:$B$219,1)-1,0,2),OFFSET($B$212:$B$219,MATCH(C309,$B$212:$B$219,1)-1,0,2)))+C309</f>
        <v>-26.658000000000001</v>
      </c>
      <c r="E309" s="537">
        <f t="shared" ca="1" si="371"/>
        <v>0.34199999999999875</v>
      </c>
      <c r="F309" s="638"/>
      <c r="G309" s="543"/>
      <c r="H309" s="639" t="s">
        <v>397</v>
      </c>
      <c r="I309" s="537">
        <f>ID!L69</f>
        <v>-27</v>
      </c>
      <c r="J309" s="711">
        <f ca="1">(FORECAST(I309,OFFSET($I$212:$I$219,MATCH(I309,$B$212:$B$219,1)-1,0,2),OFFSET($B$212:$B$219,MATCH(I309,$B$212:$B$219,1)-1,0,2)))+I309</f>
        <v>-26.658000000000001</v>
      </c>
      <c r="K309" s="537">
        <f t="shared" ca="1" si="372"/>
        <v>0.34199999999999875</v>
      </c>
      <c r="L309" s="638"/>
      <c r="M309" s="543"/>
      <c r="P309" s="595"/>
      <c r="Q309" s="576"/>
      <c r="R309" s="576"/>
      <c r="S309" s="576"/>
      <c r="T309" s="642"/>
      <c r="U309" s="642"/>
      <c r="V309" s="642"/>
      <c r="W309" s="642"/>
      <c r="X309" s="642"/>
      <c r="Y309" s="642"/>
      <c r="Z309" s="642"/>
      <c r="AA309" s="642"/>
      <c r="AB309" s="642"/>
      <c r="AD309" s="595"/>
      <c r="AF309" s="595"/>
      <c r="AG309" s="576"/>
      <c r="AI309" s="576"/>
      <c r="AL309" s="595"/>
      <c r="AM309" s="576"/>
      <c r="AO309" s="576"/>
      <c r="AR309" s="595"/>
      <c r="AS309" s="576"/>
      <c r="AU309" s="576"/>
      <c r="AX309" s="595"/>
      <c r="AY309" s="576"/>
      <c r="BA309" s="576"/>
      <c r="BD309" s="595"/>
      <c r="BE309" s="576"/>
      <c r="BG309" s="576"/>
      <c r="BJ309" s="595"/>
      <c r="BK309" s="576"/>
      <c r="BM309" s="576"/>
      <c r="BP309" s="595"/>
      <c r="BQ309" s="576"/>
      <c r="BS309" s="576"/>
      <c r="BV309" s="595"/>
      <c r="BW309" s="576"/>
      <c r="BY309" s="576"/>
    </row>
    <row r="310" spans="2:86">
      <c r="B310" s="639" t="s">
        <v>398</v>
      </c>
      <c r="C310" s="537">
        <f>ID!K70</f>
        <v>-27</v>
      </c>
      <c r="D310" s="711">
        <f ca="1">(FORECAST(C310,OFFSET($J$212:$J$219,MATCH(C310,$B$212:$B$219,1)-1,0,2),OFFSET($B$212:$B$219,MATCH(C310,$B$212:$B$219,1)-1,0,2)))+C310</f>
        <v>-26.664000000000001</v>
      </c>
      <c r="E310" s="537">
        <f t="shared" ca="1" si="371"/>
        <v>0.33599999999999852</v>
      </c>
      <c r="F310" s="638"/>
      <c r="G310" s="543"/>
      <c r="H310" s="639" t="s">
        <v>398</v>
      </c>
      <c r="I310" s="537">
        <f>ID!L70</f>
        <v>-27</v>
      </c>
      <c r="J310" s="711">
        <f ca="1">(FORECAST(I310,OFFSET($J$212:$J$219,MATCH(I310,$B$212:$B$219,1)-1,0,2),OFFSET($B$212:$B$219,MATCH(I310,$B$212:$B$219,1)-1,0,2)))+I310</f>
        <v>-26.664000000000001</v>
      </c>
      <c r="K310" s="537">
        <f t="shared" ca="1" si="372"/>
        <v>0.33599999999999852</v>
      </c>
      <c r="L310" s="638"/>
      <c r="M310" s="543"/>
      <c r="P310" s="595"/>
      <c r="Q310" s="576"/>
      <c r="R310" s="576"/>
      <c r="S310" s="576"/>
      <c r="T310" s="642"/>
      <c r="U310" s="642"/>
      <c r="V310" s="642"/>
      <c r="W310" s="642"/>
      <c r="X310" s="642"/>
      <c r="Y310" s="642"/>
      <c r="Z310" s="642"/>
      <c r="AA310" s="642"/>
      <c r="AB310" s="642"/>
      <c r="AD310" s="595"/>
      <c r="AF310" s="595"/>
      <c r="AG310" s="576"/>
      <c r="AI310" s="576"/>
      <c r="AL310" s="595"/>
      <c r="AM310" s="576"/>
      <c r="AO310" s="576"/>
      <c r="AR310" s="595"/>
      <c r="AS310" s="576"/>
      <c r="AU310" s="576"/>
      <c r="AX310" s="595"/>
      <c r="AY310" s="576"/>
      <c r="BA310" s="576"/>
      <c r="BD310" s="595"/>
      <c r="BE310" s="576"/>
      <c r="BG310" s="576"/>
      <c r="BJ310" s="595"/>
      <c r="BK310" s="576"/>
      <c r="BM310" s="576"/>
      <c r="BP310" s="595"/>
      <c r="BQ310" s="576"/>
      <c r="BS310" s="576"/>
      <c r="BV310" s="595"/>
      <c r="BW310" s="576"/>
      <c r="BY310" s="576"/>
    </row>
    <row r="311" spans="2:86">
      <c r="B311" s="639" t="s">
        <v>399</v>
      </c>
      <c r="C311" s="711" t="s">
        <v>101</v>
      </c>
      <c r="D311" s="711" t="s">
        <v>101</v>
      </c>
      <c r="E311" s="711" t="s">
        <v>101</v>
      </c>
      <c r="F311" s="638"/>
      <c r="G311" s="543"/>
      <c r="H311" s="639" t="s">
        <v>399</v>
      </c>
      <c r="I311" s="711" t="s">
        <v>101</v>
      </c>
      <c r="J311" s="711" t="s">
        <v>101</v>
      </c>
      <c r="K311" s="711" t="s">
        <v>101</v>
      </c>
      <c r="L311" s="638"/>
      <c r="M311" s="543"/>
      <c r="P311" s="595"/>
      <c r="Q311" s="576"/>
      <c r="R311" s="576"/>
      <c r="S311" s="576"/>
      <c r="T311" s="642"/>
      <c r="U311" s="642"/>
      <c r="V311" s="642"/>
      <c r="W311" s="642"/>
      <c r="X311" s="642"/>
      <c r="Y311" s="642"/>
      <c r="Z311" s="642"/>
      <c r="AA311" s="642"/>
      <c r="AB311" s="642"/>
      <c r="AD311" s="595"/>
      <c r="AF311" s="595"/>
      <c r="AG311" s="576"/>
      <c r="AI311" s="576"/>
      <c r="AL311" s="595"/>
      <c r="AM311" s="576"/>
      <c r="AO311" s="576"/>
      <c r="AR311" s="595"/>
      <c r="AS311" s="576"/>
      <c r="AU311" s="576"/>
      <c r="AX311" s="595"/>
      <c r="AY311" s="576"/>
      <c r="BA311" s="576"/>
      <c r="BD311" s="595"/>
      <c r="BE311" s="576"/>
      <c r="BG311" s="576"/>
      <c r="BJ311" s="595"/>
      <c r="BK311" s="576"/>
      <c r="BM311" s="576"/>
      <c r="BP311" s="595"/>
      <c r="BQ311" s="576"/>
      <c r="BS311" s="576"/>
      <c r="BV311" s="595"/>
      <c r="BW311" s="576"/>
      <c r="BY311" s="576"/>
    </row>
    <row r="312" spans="2:86">
      <c r="B312" s="639" t="s">
        <v>400</v>
      </c>
      <c r="C312" s="711" t="s">
        <v>101</v>
      </c>
      <c r="D312" s="711" t="s">
        <v>101</v>
      </c>
      <c r="E312" s="711" t="s">
        <v>101</v>
      </c>
      <c r="F312" s="638"/>
      <c r="G312" s="543"/>
      <c r="H312" s="639" t="s">
        <v>400</v>
      </c>
      <c r="I312" s="711" t="s">
        <v>597</v>
      </c>
      <c r="J312" s="711" t="s">
        <v>101</v>
      </c>
      <c r="K312" s="711" t="s">
        <v>101</v>
      </c>
      <c r="L312" s="643"/>
      <c r="M312" s="543"/>
      <c r="P312" s="595"/>
      <c r="Q312" s="576"/>
      <c r="R312" s="576"/>
      <c r="S312" s="576"/>
      <c r="T312" s="642"/>
      <c r="U312" s="642"/>
      <c r="V312" s="642"/>
      <c r="W312" s="642"/>
      <c r="X312" s="642"/>
      <c r="Y312" s="642"/>
      <c r="Z312" s="642"/>
      <c r="AA312" s="642"/>
      <c r="AB312" s="642"/>
      <c r="AD312" s="595"/>
      <c r="AF312" s="595"/>
      <c r="AG312" s="576"/>
      <c r="AI312" s="576"/>
      <c r="AL312" s="595"/>
      <c r="AM312" s="576"/>
      <c r="AO312" s="576"/>
      <c r="AR312" s="595"/>
      <c r="AS312" s="576"/>
      <c r="AU312" s="576"/>
      <c r="AX312" s="595"/>
      <c r="AY312" s="576"/>
      <c r="BA312" s="576"/>
      <c r="BD312" s="595"/>
      <c r="BE312" s="576"/>
      <c r="BG312" s="576"/>
      <c r="BJ312" s="595"/>
      <c r="BK312" s="576"/>
      <c r="BM312" s="576"/>
      <c r="BP312" s="595"/>
      <c r="BQ312" s="576"/>
      <c r="BS312" s="576"/>
      <c r="BV312" s="595"/>
      <c r="BW312" s="576"/>
      <c r="BY312" s="576"/>
    </row>
    <row r="313" spans="2:86" s="543" customFormat="1">
      <c r="P313" s="557"/>
      <c r="Q313" s="544"/>
      <c r="R313" s="544"/>
      <c r="S313" s="544"/>
      <c r="T313" s="545"/>
      <c r="U313" s="545"/>
      <c r="V313" s="545"/>
      <c r="W313" s="545"/>
      <c r="X313" s="545"/>
      <c r="Y313" s="545"/>
      <c r="Z313" s="545"/>
      <c r="AA313" s="545"/>
      <c r="AB313" s="545"/>
      <c r="AD313" s="557"/>
      <c r="AF313" s="557"/>
      <c r="AG313" s="544"/>
      <c r="AH313" s="544"/>
      <c r="AI313" s="544"/>
      <c r="AJ313" s="545"/>
      <c r="AL313" s="557"/>
      <c r="AM313" s="544"/>
      <c r="AN313" s="544"/>
      <c r="AO313" s="544"/>
      <c r="AP313" s="545"/>
      <c r="AR313" s="557"/>
      <c r="AS313" s="544"/>
      <c r="AT313" s="544"/>
      <c r="AU313" s="544"/>
      <c r="AV313" s="545"/>
      <c r="AX313" s="557"/>
      <c r="AY313" s="544"/>
      <c r="AZ313" s="544"/>
      <c r="BA313" s="544"/>
      <c r="BB313" s="545"/>
      <c r="BD313" s="557"/>
      <c r="BE313" s="544"/>
      <c r="BF313" s="544"/>
      <c r="BG313" s="544"/>
      <c r="BH313" s="545"/>
      <c r="BJ313" s="557"/>
      <c r="BK313" s="544"/>
      <c r="BL313" s="544"/>
      <c r="BM313" s="544"/>
      <c r="BN313" s="545"/>
      <c r="BP313" s="557"/>
      <c r="BQ313" s="544"/>
      <c r="BR313" s="544"/>
      <c r="BS313" s="544"/>
      <c r="BT313" s="545"/>
      <c r="BV313" s="557"/>
      <c r="BW313" s="544"/>
      <c r="BX313" s="544"/>
      <c r="BY313" s="544"/>
      <c r="BZ313" s="545"/>
    </row>
    <row r="314" spans="2:86" s="543" customFormat="1">
      <c r="P314" s="557"/>
      <c r="Q314" s="544"/>
      <c r="R314" s="544"/>
      <c r="S314" s="544"/>
      <c r="T314" s="545"/>
      <c r="U314" s="545"/>
      <c r="V314" s="545"/>
      <c r="W314" s="545"/>
      <c r="X314" s="545"/>
      <c r="Y314" s="545"/>
      <c r="Z314" s="545"/>
      <c r="AA314" s="545"/>
      <c r="AB314" s="545"/>
      <c r="AD314" s="557"/>
      <c r="AF314" s="557"/>
      <c r="AG314" s="544"/>
      <c r="AH314" s="544"/>
      <c r="AI314" s="544"/>
      <c r="AJ314" s="545"/>
      <c r="AL314" s="557"/>
      <c r="AM314" s="544"/>
      <c r="AN314" s="544"/>
      <c r="AO314" s="544"/>
      <c r="AP314" s="545"/>
      <c r="AR314" s="557"/>
      <c r="AS314" s="544"/>
      <c r="AT314" s="544"/>
      <c r="AU314" s="544"/>
      <c r="AV314" s="545"/>
      <c r="AX314" s="557"/>
      <c r="AY314" s="544"/>
      <c r="AZ314" s="544"/>
      <c r="BA314" s="544"/>
      <c r="BB314" s="545"/>
      <c r="BD314" s="557"/>
      <c r="BE314" s="544"/>
      <c r="BF314" s="544"/>
      <c r="BG314" s="544"/>
      <c r="BH314" s="545"/>
      <c r="BJ314" s="557"/>
      <c r="BK314" s="544"/>
      <c r="BL314" s="544"/>
      <c r="BM314" s="544"/>
      <c r="BN314" s="545"/>
      <c r="BP314" s="557"/>
      <c r="BQ314" s="544"/>
      <c r="BR314" s="544"/>
      <c r="BS314" s="544"/>
      <c r="BT314" s="545"/>
      <c r="BV314" s="557"/>
      <c r="BW314" s="544"/>
      <c r="BX314" s="544"/>
      <c r="BY314" s="544"/>
      <c r="BZ314" s="545"/>
    </row>
    <row r="315" spans="2:86">
      <c r="P315" s="595"/>
      <c r="Q315" s="576"/>
      <c r="R315" s="576"/>
      <c r="S315" s="576"/>
      <c r="T315" s="642"/>
      <c r="U315" s="642"/>
      <c r="V315" s="642"/>
      <c r="W315" s="642"/>
      <c r="X315" s="642"/>
      <c r="Y315" s="642"/>
      <c r="Z315" s="642"/>
      <c r="AA315" s="642"/>
      <c r="AB315" s="642"/>
      <c r="AD315" s="595"/>
      <c r="AF315" s="595"/>
      <c r="AG315" s="576"/>
      <c r="AI315" s="576"/>
      <c r="AL315" s="595"/>
      <c r="AM315" s="576"/>
      <c r="AO315" s="576"/>
      <c r="AR315" s="595"/>
      <c r="AS315" s="576"/>
      <c r="AU315" s="576"/>
      <c r="AX315" s="595"/>
      <c r="AY315" s="576"/>
      <c r="BA315" s="576"/>
      <c r="BD315" s="595"/>
      <c r="BE315" s="576"/>
      <c r="BG315" s="576"/>
      <c r="BJ315" s="595"/>
      <c r="BK315" s="576"/>
      <c r="BM315" s="576"/>
      <c r="BP315" s="595"/>
      <c r="BQ315" s="576"/>
      <c r="BS315" s="576"/>
      <c r="BV315" s="595"/>
      <c r="BW315" s="576"/>
      <c r="BY315" s="576"/>
    </row>
    <row r="316" spans="2:86">
      <c r="P316" s="595"/>
      <c r="Q316" s="576"/>
      <c r="R316" s="576"/>
      <c r="S316" s="576"/>
      <c r="T316" s="642"/>
      <c r="U316" s="642"/>
      <c r="V316" s="642"/>
      <c r="W316" s="642"/>
      <c r="X316" s="642"/>
      <c r="Y316" s="642"/>
      <c r="Z316" s="642"/>
      <c r="AA316" s="642"/>
      <c r="AB316" s="642"/>
      <c r="AD316" s="595"/>
      <c r="AF316" s="595"/>
      <c r="AG316" s="576"/>
      <c r="AI316" s="576"/>
      <c r="AJ316" s="642"/>
      <c r="AL316" s="595"/>
      <c r="AM316" s="576"/>
      <c r="AO316" s="576"/>
      <c r="AP316" s="642"/>
      <c r="AR316" s="595"/>
      <c r="AS316" s="576"/>
      <c r="AU316" s="576"/>
      <c r="AV316" s="642"/>
      <c r="AX316" s="595"/>
      <c r="AY316" s="576"/>
      <c r="BA316" s="576"/>
      <c r="BB316" s="642"/>
      <c r="BD316" s="595"/>
      <c r="BE316" s="576"/>
      <c r="BG316" s="576"/>
      <c r="BH316" s="642"/>
      <c r="BJ316" s="595"/>
      <c r="BK316" s="576"/>
      <c r="BM316" s="576"/>
      <c r="BN316" s="642"/>
      <c r="BP316" s="595"/>
      <c r="BQ316" s="576"/>
      <c r="BS316" s="576"/>
      <c r="BT316" s="642"/>
      <c r="BV316" s="595"/>
      <c r="BW316" s="576"/>
      <c r="BY316" s="576"/>
      <c r="BZ316" s="642"/>
    </row>
    <row r="317" spans="2:86">
      <c r="P317" s="595"/>
      <c r="Q317" s="576"/>
      <c r="R317" s="576"/>
      <c r="S317" s="576"/>
      <c r="T317" s="642"/>
      <c r="U317" s="642"/>
      <c r="V317" s="642"/>
      <c r="W317" s="642"/>
      <c r="X317" s="642"/>
      <c r="Y317" s="642"/>
      <c r="Z317" s="642"/>
      <c r="AA317" s="642"/>
      <c r="AB317" s="642"/>
      <c r="AD317" s="595"/>
      <c r="AF317" s="595"/>
      <c r="AG317" s="576"/>
      <c r="AI317" s="576"/>
      <c r="AJ317" s="642"/>
      <c r="AL317" s="595"/>
      <c r="AM317" s="576"/>
      <c r="AO317" s="576"/>
      <c r="AP317" s="642"/>
      <c r="AR317" s="595"/>
      <c r="AS317" s="576"/>
      <c r="AU317" s="576"/>
      <c r="AV317" s="642"/>
      <c r="AX317" s="595"/>
      <c r="AY317" s="576"/>
      <c r="BA317" s="576"/>
      <c r="BB317" s="642"/>
      <c r="BD317" s="595"/>
      <c r="BE317" s="576"/>
      <c r="BG317" s="576"/>
      <c r="BH317" s="642"/>
      <c r="BJ317" s="595"/>
      <c r="BK317" s="576"/>
      <c r="BM317" s="576"/>
      <c r="BN317" s="642"/>
      <c r="BP317" s="595"/>
      <c r="BQ317" s="576"/>
      <c r="BS317" s="576"/>
      <c r="BT317" s="642"/>
      <c r="BV317" s="595"/>
      <c r="BW317" s="576"/>
      <c r="BY317" s="576"/>
      <c r="BZ317" s="642"/>
    </row>
    <row r="318" spans="2:86">
      <c r="P318" s="595"/>
      <c r="Q318" s="576"/>
      <c r="R318" s="576"/>
      <c r="S318" s="576"/>
      <c r="T318" s="642"/>
      <c r="U318" s="642"/>
      <c r="V318" s="642"/>
      <c r="W318" s="642"/>
      <c r="X318" s="642"/>
      <c r="Y318" s="642"/>
      <c r="Z318" s="642"/>
      <c r="AA318" s="642"/>
      <c r="AB318" s="642"/>
      <c r="AD318" s="595"/>
      <c r="AF318" s="595"/>
      <c r="AG318" s="576"/>
      <c r="AI318" s="576"/>
      <c r="AJ318" s="642"/>
      <c r="AL318" s="595"/>
      <c r="AM318" s="576"/>
      <c r="AO318" s="576"/>
      <c r="AP318" s="642"/>
      <c r="AR318" s="595"/>
      <c r="AS318" s="576"/>
      <c r="AU318" s="576"/>
      <c r="AV318" s="642"/>
      <c r="AX318" s="595"/>
      <c r="AY318" s="576"/>
      <c r="BA318" s="576"/>
      <c r="BB318" s="642"/>
      <c r="BD318" s="595"/>
      <c r="BE318" s="576"/>
      <c r="BG318" s="576"/>
      <c r="BH318" s="642"/>
      <c r="BJ318" s="595"/>
      <c r="BK318" s="576"/>
      <c r="BM318" s="576"/>
      <c r="BN318" s="642"/>
      <c r="BP318" s="595"/>
      <c r="BQ318" s="576"/>
      <c r="BS318" s="576"/>
      <c r="BT318" s="642"/>
      <c r="BV318" s="595"/>
      <c r="BW318" s="576"/>
      <c r="BY318" s="576"/>
      <c r="BZ318" s="642"/>
    </row>
    <row r="321" spans="5:80" ht="26.15" customHeight="1">
      <c r="Q321" s="644"/>
      <c r="R321" s="644"/>
      <c r="S321" s="644"/>
      <c r="T321" s="644"/>
      <c r="U321" s="644"/>
      <c r="V321" s="644"/>
      <c r="W321" s="644"/>
      <c r="X321" s="644"/>
      <c r="Y321" s="644"/>
      <c r="Z321" s="644"/>
      <c r="AA321" s="644"/>
      <c r="AB321" s="644"/>
      <c r="AC321" s="644"/>
      <c r="AD321" s="644"/>
      <c r="AE321" s="644"/>
      <c r="AF321" s="644"/>
      <c r="AG321" s="644"/>
      <c r="AH321" s="644"/>
      <c r="AI321" s="644"/>
      <c r="AJ321" s="644"/>
      <c r="AK321" s="644"/>
      <c r="AL321" s="644"/>
      <c r="AM321" s="644"/>
      <c r="AN321" s="644"/>
      <c r="AO321" s="644"/>
      <c r="AP321" s="644"/>
      <c r="AQ321" s="644"/>
      <c r="AR321" s="645"/>
      <c r="AS321" s="645"/>
      <c r="AT321" s="645"/>
      <c r="AU321" s="645"/>
      <c r="AV321" s="645"/>
      <c r="AX321" s="645"/>
      <c r="AY321" s="645"/>
      <c r="AZ321" s="645"/>
      <c r="BA321" s="645"/>
      <c r="BB321" s="645"/>
      <c r="BC321" s="646"/>
      <c r="BD321" s="645"/>
      <c r="BE321" s="645"/>
      <c r="BF321" s="645"/>
      <c r="BG321" s="645"/>
      <c r="BH321" s="645"/>
      <c r="BI321" s="646"/>
      <c r="BJ321" s="645"/>
      <c r="BK321" s="645"/>
      <c r="BL321" s="645"/>
      <c r="BM321" s="645"/>
      <c r="BN321" s="645"/>
      <c r="BO321" s="646"/>
      <c r="BP321" s="645"/>
      <c r="BQ321" s="645"/>
      <c r="BR321" s="645"/>
      <c r="BS321" s="645"/>
      <c r="BT321" s="645"/>
      <c r="BU321" s="646"/>
      <c r="BV321" s="645"/>
      <c r="BW321" s="645"/>
      <c r="BX321" s="645"/>
      <c r="BY321" s="645"/>
      <c r="BZ321" s="645"/>
      <c r="CA321" s="646"/>
      <c r="CB321" s="576"/>
    </row>
    <row r="322" spans="5:80" ht="26.15" customHeight="1">
      <c r="Q322" s="647"/>
      <c r="R322" s="577"/>
      <c r="S322" s="577"/>
      <c r="T322" s="577"/>
      <c r="U322" s="577"/>
      <c r="V322" s="577"/>
      <c r="W322" s="577"/>
      <c r="X322" s="577"/>
      <c r="Y322" s="577"/>
      <c r="Z322" s="577"/>
      <c r="AA322" s="577"/>
      <c r="AB322" s="577"/>
      <c r="AC322" s="577"/>
      <c r="AD322" s="577"/>
      <c r="AE322" s="577"/>
      <c r="AF322" s="577"/>
      <c r="AG322" s="647"/>
      <c r="AH322" s="577"/>
      <c r="AI322" s="577"/>
      <c r="AK322" s="577"/>
      <c r="AL322" s="577"/>
      <c r="AM322" s="647"/>
      <c r="AN322" s="577"/>
      <c r="AO322" s="577"/>
      <c r="AQ322" s="577"/>
      <c r="AR322" s="577"/>
      <c r="AS322" s="647"/>
      <c r="AT322" s="577"/>
      <c r="AU322" s="577"/>
      <c r="AX322" s="577"/>
      <c r="AY322" s="647"/>
      <c r="AZ322" s="577"/>
      <c r="BA322" s="577"/>
      <c r="BC322" s="646"/>
      <c r="BD322" s="577"/>
      <c r="BE322" s="647"/>
      <c r="BF322" s="577"/>
      <c r="BG322" s="577"/>
      <c r="BI322" s="646"/>
      <c r="BJ322" s="577"/>
      <c r="BK322" s="647"/>
      <c r="BL322" s="577"/>
      <c r="BM322" s="577"/>
      <c r="BO322" s="646"/>
      <c r="BP322" s="577"/>
      <c r="BQ322" s="647"/>
      <c r="BR322" s="577"/>
      <c r="BS322" s="577"/>
      <c r="BU322" s="646"/>
      <c r="BV322" s="577"/>
      <c r="BW322" s="647"/>
      <c r="BX322" s="577"/>
      <c r="BY322" s="577"/>
      <c r="CA322" s="646"/>
      <c r="CB322" s="576"/>
    </row>
    <row r="323" spans="5:80" ht="26.15" customHeight="1">
      <c r="Q323" s="647"/>
      <c r="R323" s="577"/>
      <c r="S323" s="577"/>
      <c r="T323" s="577"/>
      <c r="U323" s="577"/>
      <c r="V323" s="577"/>
      <c r="W323" s="577"/>
      <c r="X323" s="577"/>
      <c r="Y323" s="577"/>
      <c r="Z323" s="577"/>
      <c r="AA323" s="577"/>
      <c r="AB323" s="577"/>
      <c r="AC323" s="577"/>
      <c r="AD323" s="577"/>
      <c r="AE323" s="577"/>
      <c r="AF323" s="577"/>
      <c r="AG323" s="647"/>
      <c r="AH323" s="577"/>
      <c r="AI323" s="577"/>
      <c r="AK323" s="577"/>
      <c r="AL323" s="577"/>
      <c r="AM323" s="647"/>
      <c r="AN323" s="577"/>
      <c r="AO323" s="577"/>
      <c r="AQ323" s="577"/>
      <c r="AR323" s="577"/>
      <c r="AS323" s="647"/>
      <c r="AT323" s="577"/>
      <c r="AU323" s="577"/>
      <c r="AX323" s="577"/>
      <c r="AY323" s="647"/>
      <c r="AZ323" s="577"/>
      <c r="BA323" s="577"/>
      <c r="BC323" s="646"/>
      <c r="BD323" s="577"/>
      <c r="BE323" s="647"/>
      <c r="BF323" s="577"/>
      <c r="BG323" s="577"/>
      <c r="BI323" s="646"/>
      <c r="BJ323" s="577"/>
      <c r="BK323" s="647"/>
      <c r="BL323" s="577"/>
      <c r="BM323" s="577"/>
      <c r="BO323" s="646"/>
      <c r="BP323" s="577"/>
      <c r="BQ323" s="647"/>
      <c r="BR323" s="577"/>
      <c r="BS323" s="577"/>
      <c r="BU323" s="646"/>
      <c r="BV323" s="577"/>
      <c r="BW323" s="647"/>
      <c r="BX323" s="577"/>
      <c r="BY323" s="577"/>
      <c r="CA323" s="646"/>
      <c r="CB323" s="576"/>
    </row>
    <row r="324" spans="5:80" ht="26.15" customHeight="1">
      <c r="Q324" s="64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77"/>
      <c r="AB324" s="577"/>
      <c r="AC324" s="577"/>
      <c r="AD324" s="577"/>
      <c r="AE324" s="577"/>
      <c r="AF324" s="577"/>
      <c r="AG324" s="647"/>
      <c r="AH324" s="577"/>
      <c r="AI324" s="577"/>
      <c r="AK324" s="577"/>
      <c r="AL324" s="577"/>
      <c r="AM324" s="647"/>
      <c r="AN324" s="577"/>
      <c r="AO324" s="577"/>
      <c r="AQ324" s="577"/>
      <c r="AR324" s="577"/>
      <c r="AS324" s="647"/>
      <c r="AT324" s="577"/>
      <c r="AU324" s="577"/>
      <c r="AX324" s="577"/>
      <c r="AY324" s="647"/>
      <c r="AZ324" s="577"/>
      <c r="BA324" s="577"/>
      <c r="BC324" s="646"/>
      <c r="BD324" s="577"/>
      <c r="BE324" s="647"/>
      <c r="BF324" s="577"/>
      <c r="BG324" s="577"/>
      <c r="BI324" s="646"/>
      <c r="BJ324" s="577"/>
      <c r="BK324" s="647"/>
      <c r="BL324" s="577"/>
      <c r="BM324" s="577"/>
      <c r="BO324" s="646"/>
      <c r="BP324" s="577"/>
      <c r="BQ324" s="647"/>
      <c r="BR324" s="577"/>
      <c r="BS324" s="577"/>
      <c r="BU324" s="646"/>
      <c r="BV324" s="577"/>
      <c r="BW324" s="647"/>
      <c r="BX324" s="577"/>
      <c r="BY324" s="577"/>
      <c r="CA324" s="646"/>
      <c r="CB324" s="576"/>
    </row>
    <row r="325" spans="5:80" ht="26.15" customHeight="1">
      <c r="E325" s="653"/>
      <c r="Q325" s="647"/>
      <c r="R325" s="577"/>
      <c r="S325" s="577"/>
      <c r="T325" s="577"/>
      <c r="U325" s="577"/>
      <c r="V325" s="577"/>
      <c r="W325" s="577"/>
      <c r="X325" s="577"/>
      <c r="Y325" s="577"/>
      <c r="Z325" s="577"/>
      <c r="AA325" s="577"/>
      <c r="AB325" s="577"/>
      <c r="AC325" s="577"/>
      <c r="AD325" s="577"/>
      <c r="AE325" s="577"/>
      <c r="AF325" s="577"/>
      <c r="AG325" s="647"/>
      <c r="AH325" s="577"/>
      <c r="AI325" s="577"/>
      <c r="AK325" s="577"/>
      <c r="AL325" s="577"/>
      <c r="AM325" s="647"/>
      <c r="AN325" s="577"/>
      <c r="AO325" s="577"/>
      <c r="AQ325" s="577"/>
      <c r="AR325" s="577"/>
      <c r="AS325" s="647"/>
      <c r="AT325" s="577"/>
      <c r="AU325" s="577"/>
      <c r="AX325" s="577"/>
      <c r="AY325" s="647"/>
      <c r="AZ325" s="577"/>
      <c r="BA325" s="577"/>
      <c r="BC325" s="646"/>
      <c r="BD325" s="577"/>
      <c r="BE325" s="647"/>
      <c r="BF325" s="577"/>
      <c r="BG325" s="577"/>
      <c r="BI325" s="646"/>
      <c r="BJ325" s="577"/>
      <c r="BK325" s="647"/>
      <c r="BL325" s="577"/>
      <c r="BM325" s="577"/>
      <c r="BO325" s="646"/>
      <c r="BP325" s="577"/>
      <c r="BQ325" s="647"/>
      <c r="BR325" s="577"/>
      <c r="BS325" s="577"/>
      <c r="BU325" s="646"/>
      <c r="BV325" s="577"/>
      <c r="BW325" s="647"/>
      <c r="BX325" s="577"/>
      <c r="BY325" s="577"/>
      <c r="CA325" s="646"/>
      <c r="CB325" s="576"/>
    </row>
    <row r="326" spans="5:80" ht="26.15" customHeight="1">
      <c r="Q326" s="647"/>
      <c r="R326" s="577"/>
      <c r="S326" s="577"/>
      <c r="T326" s="577"/>
      <c r="U326" s="577"/>
      <c r="V326" s="577"/>
      <c r="W326" s="577"/>
      <c r="X326" s="577"/>
      <c r="Y326" s="577"/>
      <c r="Z326" s="577"/>
      <c r="AA326" s="577"/>
      <c r="AB326" s="577"/>
      <c r="AC326" s="577"/>
      <c r="AD326" s="577"/>
      <c r="AE326" s="577"/>
      <c r="AF326" s="577"/>
      <c r="AG326" s="647"/>
      <c r="AH326" s="577"/>
      <c r="AI326" s="577"/>
      <c r="AK326" s="577"/>
      <c r="AL326" s="577"/>
      <c r="AM326" s="647"/>
      <c r="AN326" s="577"/>
      <c r="AO326" s="577"/>
      <c r="AQ326" s="577"/>
      <c r="AR326" s="577"/>
      <c r="AS326" s="647"/>
      <c r="AT326" s="577"/>
      <c r="AU326" s="577"/>
      <c r="AX326" s="577"/>
      <c r="AY326" s="647"/>
      <c r="AZ326" s="577"/>
      <c r="BA326" s="577"/>
      <c r="BC326" s="646"/>
      <c r="BD326" s="577"/>
      <c r="BE326" s="647"/>
      <c r="BF326" s="577"/>
      <c r="BG326" s="577"/>
      <c r="BI326" s="646"/>
      <c r="BJ326" s="577"/>
      <c r="BK326" s="647"/>
      <c r="BL326" s="577"/>
      <c r="BM326" s="577"/>
      <c r="BO326" s="646"/>
      <c r="BP326" s="577"/>
      <c r="BQ326" s="647"/>
      <c r="BR326" s="577"/>
      <c r="BS326" s="577"/>
      <c r="BU326" s="646"/>
      <c r="BV326" s="577"/>
      <c r="BW326" s="647"/>
      <c r="BX326" s="577"/>
      <c r="BY326" s="577"/>
      <c r="CA326" s="646"/>
      <c r="CB326" s="576"/>
    </row>
    <row r="327" spans="5:80" ht="26.15" customHeight="1">
      <c r="Q327" s="647"/>
      <c r="R327" s="577"/>
      <c r="S327" s="577"/>
      <c r="T327" s="577"/>
      <c r="U327" s="577"/>
      <c r="V327" s="577"/>
      <c r="W327" s="577"/>
      <c r="X327" s="577"/>
      <c r="Y327" s="577"/>
      <c r="Z327" s="577"/>
      <c r="AA327" s="577"/>
      <c r="AB327" s="577"/>
      <c r="AC327" s="577"/>
      <c r="AD327" s="577"/>
      <c r="AE327" s="577"/>
      <c r="AF327" s="577"/>
      <c r="AG327" s="647"/>
      <c r="AH327" s="577"/>
      <c r="AI327" s="577"/>
      <c r="AK327" s="577"/>
      <c r="AL327" s="577"/>
      <c r="AM327" s="647"/>
      <c r="AN327" s="577"/>
      <c r="AO327" s="577"/>
      <c r="AQ327" s="577"/>
      <c r="AR327" s="577"/>
      <c r="AS327" s="647"/>
      <c r="AT327" s="577"/>
      <c r="AU327" s="577"/>
      <c r="AX327" s="577"/>
      <c r="AY327" s="647"/>
      <c r="AZ327" s="577"/>
      <c r="BA327" s="577"/>
      <c r="BC327" s="646"/>
      <c r="BD327" s="577"/>
      <c r="BE327" s="647"/>
      <c r="BF327" s="577"/>
      <c r="BG327" s="577"/>
      <c r="BI327" s="646"/>
      <c r="BJ327" s="577"/>
      <c r="BK327" s="647"/>
      <c r="BL327" s="577"/>
      <c r="BM327" s="577"/>
      <c r="BO327" s="646"/>
      <c r="BP327" s="577"/>
      <c r="BQ327" s="647"/>
      <c r="BR327" s="577"/>
      <c r="BS327" s="577"/>
      <c r="BU327" s="646"/>
      <c r="BV327" s="577"/>
      <c r="BW327" s="647"/>
      <c r="BX327" s="577"/>
      <c r="BY327" s="577"/>
      <c r="CA327" s="646"/>
      <c r="CB327" s="576"/>
    </row>
    <row r="328" spans="5:80" ht="26.15" customHeight="1">
      <c r="Q328" s="647"/>
      <c r="R328" s="577"/>
      <c r="S328" s="577"/>
      <c r="T328" s="577"/>
      <c r="U328" s="577"/>
      <c r="V328" s="577"/>
      <c r="W328" s="577"/>
      <c r="X328" s="577"/>
      <c r="Y328" s="577"/>
      <c r="Z328" s="577"/>
      <c r="AA328" s="577"/>
      <c r="AB328" s="577"/>
      <c r="AC328" s="577"/>
      <c r="AD328" s="577"/>
      <c r="AE328" s="577"/>
      <c r="AF328" s="577"/>
      <c r="AG328" s="647"/>
      <c r="AH328" s="577"/>
      <c r="AI328" s="577"/>
      <c r="AK328" s="577"/>
      <c r="AL328" s="577"/>
      <c r="AM328" s="647"/>
      <c r="AN328" s="577"/>
      <c r="AO328" s="577"/>
      <c r="AQ328" s="577"/>
      <c r="AR328" s="577"/>
      <c r="AS328" s="647"/>
      <c r="AT328" s="577"/>
      <c r="AU328" s="577"/>
      <c r="AX328" s="577"/>
      <c r="AY328" s="647"/>
      <c r="AZ328" s="577"/>
      <c r="BA328" s="577"/>
      <c r="BC328" s="646"/>
      <c r="BD328" s="577"/>
      <c r="BE328" s="647"/>
      <c r="BF328" s="577"/>
      <c r="BG328" s="577"/>
      <c r="BI328" s="646"/>
      <c r="BJ328" s="577"/>
      <c r="BK328" s="647"/>
      <c r="BL328" s="577"/>
      <c r="BM328" s="577"/>
      <c r="BO328" s="646"/>
      <c r="BP328" s="577"/>
      <c r="BQ328" s="647"/>
      <c r="BR328" s="577"/>
      <c r="BS328" s="577"/>
      <c r="BU328" s="646"/>
      <c r="BV328" s="577"/>
      <c r="BW328" s="647"/>
      <c r="BX328" s="577"/>
      <c r="BY328" s="577"/>
      <c r="CA328" s="646"/>
      <c r="CB328" s="576"/>
    </row>
    <row r="329" spans="5:80" ht="26.15" customHeight="1">
      <c r="Q329" s="647"/>
      <c r="R329" s="577"/>
      <c r="S329" s="577"/>
      <c r="T329" s="577"/>
      <c r="U329" s="577"/>
      <c r="V329" s="577"/>
      <c r="W329" s="577"/>
      <c r="X329" s="577"/>
      <c r="Y329" s="577"/>
      <c r="Z329" s="577"/>
      <c r="AA329" s="577"/>
      <c r="AB329" s="577"/>
      <c r="AC329" s="577"/>
      <c r="AD329" s="577"/>
      <c r="AE329" s="577"/>
      <c r="AF329" s="577"/>
      <c r="AG329" s="647"/>
      <c r="AH329" s="577"/>
      <c r="AI329" s="577"/>
      <c r="AK329" s="577"/>
      <c r="AL329" s="577"/>
      <c r="AM329" s="647"/>
      <c r="AN329" s="577"/>
      <c r="AO329" s="577"/>
      <c r="AQ329" s="577"/>
      <c r="AR329" s="577"/>
      <c r="AS329" s="647"/>
      <c r="AT329" s="577"/>
      <c r="AU329" s="577"/>
      <c r="AX329" s="577"/>
      <c r="AY329" s="647"/>
      <c r="AZ329" s="577"/>
      <c r="BA329" s="577"/>
      <c r="BC329" s="648"/>
      <c r="BD329" s="577"/>
      <c r="BE329" s="647"/>
      <c r="BF329" s="577"/>
      <c r="BG329" s="577"/>
      <c r="BI329" s="648"/>
      <c r="BJ329" s="577"/>
      <c r="BK329" s="647"/>
      <c r="BL329" s="577"/>
      <c r="BM329" s="577"/>
      <c r="BO329" s="648"/>
      <c r="BP329" s="577"/>
      <c r="BQ329" s="647"/>
      <c r="BR329" s="577"/>
      <c r="BS329" s="577"/>
      <c r="BU329" s="648"/>
      <c r="BV329" s="577"/>
      <c r="BW329" s="647"/>
      <c r="BX329" s="577"/>
      <c r="BY329" s="577"/>
      <c r="CA329" s="648"/>
    </row>
    <row r="330" spans="5:80" ht="26.15" customHeight="1">
      <c r="Q330" s="647"/>
      <c r="R330" s="577"/>
      <c r="S330" s="577"/>
      <c r="T330" s="577"/>
      <c r="U330" s="577"/>
      <c r="V330" s="577"/>
      <c r="W330" s="577"/>
      <c r="X330" s="577"/>
      <c r="Y330" s="577"/>
      <c r="Z330" s="577"/>
      <c r="AA330" s="577"/>
      <c r="AB330" s="577"/>
      <c r="AC330" s="577"/>
      <c r="AD330" s="577"/>
      <c r="AE330" s="577"/>
      <c r="AF330" s="577"/>
      <c r="AG330" s="647"/>
      <c r="AH330" s="577"/>
      <c r="AI330" s="577"/>
      <c r="AK330" s="577"/>
      <c r="AL330" s="577"/>
      <c r="AM330" s="647"/>
      <c r="AN330" s="577"/>
      <c r="AO330" s="577"/>
      <c r="AQ330" s="577"/>
      <c r="AR330" s="577"/>
      <c r="AS330" s="647"/>
      <c r="AT330" s="577"/>
      <c r="AU330" s="577"/>
      <c r="AX330" s="577"/>
      <c r="AY330" s="647"/>
      <c r="AZ330" s="577"/>
      <c r="BA330" s="577"/>
      <c r="BC330" s="648"/>
      <c r="BD330" s="577"/>
      <c r="BE330" s="647"/>
      <c r="BF330" s="577"/>
      <c r="BG330" s="577"/>
      <c r="BI330" s="648"/>
      <c r="BJ330" s="577"/>
      <c r="BK330" s="647"/>
      <c r="BL330" s="577"/>
      <c r="BM330" s="577"/>
      <c r="BO330" s="648"/>
      <c r="BP330" s="577"/>
      <c r="BQ330" s="647"/>
      <c r="BR330" s="577"/>
      <c r="BS330" s="577"/>
      <c r="BU330" s="648"/>
      <c r="BV330" s="577"/>
      <c r="BW330" s="647"/>
      <c r="BX330" s="577"/>
      <c r="BY330" s="577"/>
      <c r="CA330" s="648"/>
    </row>
    <row r="331" spans="5:80" ht="26.15" customHeight="1">
      <c r="Q331" s="64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77"/>
      <c r="AB331" s="577"/>
      <c r="AC331" s="577"/>
      <c r="AD331" s="577"/>
      <c r="AE331" s="577"/>
      <c r="AF331" s="577"/>
      <c r="AG331" s="647"/>
      <c r="AH331" s="577"/>
      <c r="AI331" s="577"/>
      <c r="AK331" s="577"/>
      <c r="AL331" s="577"/>
      <c r="AM331" s="647"/>
      <c r="AN331" s="577"/>
      <c r="AO331" s="577"/>
      <c r="AQ331" s="577"/>
      <c r="AR331" s="577"/>
      <c r="AS331" s="647"/>
      <c r="AT331" s="577"/>
      <c r="AU331" s="577"/>
      <c r="AX331" s="577"/>
      <c r="AY331" s="647"/>
      <c r="AZ331" s="577"/>
      <c r="BA331" s="577"/>
      <c r="BD331" s="577"/>
      <c r="BE331" s="647"/>
      <c r="BF331" s="577"/>
      <c r="BG331" s="577"/>
      <c r="BJ331" s="577"/>
      <c r="BK331" s="647"/>
      <c r="BL331" s="577"/>
      <c r="BM331" s="577"/>
      <c r="BP331" s="577"/>
      <c r="BQ331" s="647"/>
      <c r="BR331" s="577"/>
      <c r="BS331" s="577"/>
      <c r="BV331" s="577"/>
      <c r="BW331" s="647"/>
      <c r="BX331" s="577"/>
      <c r="BY331" s="577"/>
    </row>
    <row r="332" spans="5:80" ht="26.15" customHeight="1">
      <c r="Q332" s="647"/>
      <c r="R332" s="577"/>
      <c r="S332" s="577"/>
      <c r="T332" s="577"/>
      <c r="U332" s="577"/>
      <c r="V332" s="577"/>
      <c r="W332" s="577"/>
      <c r="X332" s="577"/>
      <c r="Y332" s="577"/>
      <c r="Z332" s="577"/>
      <c r="AA332" s="577"/>
      <c r="AB332" s="577"/>
      <c r="AC332" s="577"/>
      <c r="AD332" s="577"/>
      <c r="AE332" s="577"/>
      <c r="AF332" s="577"/>
      <c r="AG332" s="647"/>
      <c r="AH332" s="577"/>
      <c r="AI332" s="577"/>
      <c r="AK332" s="577"/>
      <c r="AL332" s="577"/>
      <c r="AM332" s="647"/>
      <c r="AN332" s="577"/>
      <c r="AO332" s="577"/>
      <c r="AQ332" s="577"/>
      <c r="AR332" s="577"/>
      <c r="AS332" s="647"/>
      <c r="AT332" s="577"/>
      <c r="AU332" s="577"/>
      <c r="AX332" s="577"/>
      <c r="AY332" s="647"/>
      <c r="AZ332" s="577"/>
      <c r="BA332" s="577"/>
      <c r="BC332" s="631"/>
      <c r="BD332" s="577"/>
      <c r="BE332" s="647"/>
      <c r="BF332" s="577"/>
      <c r="BG332" s="577"/>
      <c r="BI332" s="631"/>
      <c r="BJ332" s="577"/>
      <c r="BK332" s="647"/>
      <c r="BL332" s="577"/>
      <c r="BM332" s="577"/>
      <c r="BO332" s="631"/>
      <c r="BP332" s="577"/>
      <c r="BQ332" s="647"/>
      <c r="BR332" s="577"/>
      <c r="BS332" s="577"/>
      <c r="BU332" s="631"/>
      <c r="BV332" s="577"/>
      <c r="BW332" s="647"/>
      <c r="BX332" s="577"/>
      <c r="BY332" s="577"/>
      <c r="CA332" s="631"/>
      <c r="CB332" s="631"/>
    </row>
    <row r="333" spans="5:80" ht="26.15" customHeight="1">
      <c r="Q333" s="647"/>
      <c r="R333" s="577"/>
      <c r="S333" s="577"/>
      <c r="T333" s="577"/>
      <c r="U333" s="577"/>
      <c r="V333" s="577"/>
      <c r="W333" s="577"/>
      <c r="X333" s="577"/>
      <c r="Y333" s="577"/>
      <c r="Z333" s="577"/>
      <c r="AA333" s="577"/>
      <c r="AB333" s="577"/>
      <c r="AC333" s="577"/>
      <c r="AD333" s="577"/>
      <c r="AE333" s="577"/>
      <c r="AF333" s="577"/>
      <c r="AG333" s="647"/>
      <c r="AH333" s="577"/>
      <c r="AI333" s="577"/>
      <c r="AK333" s="577"/>
      <c r="AL333" s="577"/>
      <c r="AM333" s="647"/>
      <c r="AN333" s="577"/>
      <c r="AO333" s="577"/>
      <c r="AQ333" s="577"/>
      <c r="AR333" s="577"/>
      <c r="AS333" s="647"/>
      <c r="AT333" s="577"/>
      <c r="AU333" s="577"/>
      <c r="AX333" s="577"/>
      <c r="AY333" s="647"/>
      <c r="AZ333" s="577"/>
      <c r="BA333" s="577"/>
      <c r="BC333" s="595"/>
      <c r="BD333" s="577"/>
      <c r="BE333" s="647"/>
      <c r="BF333" s="577"/>
      <c r="BG333" s="577"/>
      <c r="BI333" s="595"/>
      <c r="BJ333" s="577"/>
      <c r="BK333" s="647"/>
      <c r="BL333" s="577"/>
      <c r="BM333" s="577"/>
      <c r="BO333" s="595"/>
      <c r="BP333" s="577"/>
      <c r="BQ333" s="647"/>
      <c r="BR333" s="577"/>
      <c r="BS333" s="577"/>
      <c r="BU333" s="595"/>
      <c r="BV333" s="577"/>
      <c r="BW333" s="647"/>
      <c r="BX333" s="577"/>
      <c r="BY333" s="577"/>
      <c r="CA333" s="595"/>
      <c r="CB333" s="576"/>
    </row>
    <row r="334" spans="5:80" ht="26.15" customHeight="1">
      <c r="Q334" s="647"/>
      <c r="R334" s="577"/>
      <c r="S334" s="577"/>
      <c r="T334" s="577"/>
      <c r="U334" s="577"/>
      <c r="V334" s="577"/>
      <c r="W334" s="577"/>
      <c r="X334" s="577"/>
      <c r="Y334" s="577"/>
      <c r="Z334" s="577"/>
      <c r="AA334" s="577"/>
      <c r="AB334" s="577"/>
      <c r="AC334" s="577"/>
      <c r="AD334" s="577"/>
      <c r="AE334" s="577"/>
      <c r="AF334" s="577"/>
      <c r="AG334" s="647"/>
      <c r="AH334" s="577"/>
      <c r="AI334" s="577"/>
      <c r="AK334" s="577"/>
      <c r="AL334" s="577"/>
      <c r="AM334" s="647"/>
      <c r="AN334" s="577"/>
      <c r="AO334" s="577"/>
      <c r="AQ334" s="577"/>
      <c r="AR334" s="577"/>
      <c r="AS334" s="647"/>
      <c r="AT334" s="577"/>
      <c r="AU334" s="577"/>
      <c r="AX334" s="577"/>
      <c r="AY334" s="647"/>
      <c r="AZ334" s="577"/>
      <c r="BA334" s="577"/>
      <c r="BC334" s="595"/>
      <c r="BD334" s="577"/>
      <c r="BE334" s="647"/>
      <c r="BF334" s="577"/>
      <c r="BG334" s="577"/>
      <c r="BI334" s="595"/>
      <c r="BJ334" s="577"/>
      <c r="BK334" s="647"/>
      <c r="BL334" s="577"/>
      <c r="BM334" s="577"/>
      <c r="BO334" s="595"/>
      <c r="BP334" s="577"/>
      <c r="BQ334" s="647"/>
      <c r="BR334" s="577"/>
      <c r="BS334" s="577"/>
      <c r="BU334" s="595"/>
      <c r="BV334" s="577"/>
      <c r="BW334" s="647"/>
      <c r="BX334" s="577"/>
      <c r="BY334" s="577"/>
      <c r="CA334" s="595"/>
      <c r="CB334" s="576"/>
    </row>
    <row r="335" spans="5:80" ht="26.15" customHeight="1">
      <c r="Q335" s="647"/>
      <c r="R335" s="577"/>
      <c r="S335" s="577"/>
      <c r="T335" s="577"/>
      <c r="U335" s="577"/>
      <c r="V335" s="577"/>
      <c r="W335" s="577"/>
      <c r="X335" s="577"/>
      <c r="Y335" s="577"/>
      <c r="Z335" s="577"/>
      <c r="AA335" s="577"/>
      <c r="AB335" s="577"/>
      <c r="AC335" s="577"/>
      <c r="AD335" s="577"/>
      <c r="AE335" s="577"/>
      <c r="AF335" s="577"/>
      <c r="AG335" s="647"/>
      <c r="AH335" s="577"/>
      <c r="AI335" s="577"/>
      <c r="AK335" s="577"/>
      <c r="AL335" s="577"/>
      <c r="AM335" s="647"/>
      <c r="AN335" s="577"/>
      <c r="AO335" s="577"/>
      <c r="AQ335" s="577"/>
      <c r="AR335" s="577"/>
      <c r="AS335" s="647"/>
      <c r="AT335" s="577"/>
      <c r="AU335" s="577"/>
      <c r="AX335" s="577"/>
      <c r="AY335" s="647"/>
      <c r="AZ335" s="577"/>
      <c r="BA335" s="577"/>
      <c r="BC335" s="595"/>
      <c r="BD335" s="577"/>
      <c r="BE335" s="647"/>
      <c r="BF335" s="577"/>
      <c r="BG335" s="577"/>
      <c r="BI335" s="595"/>
      <c r="BJ335" s="577"/>
      <c r="BK335" s="647"/>
      <c r="BL335" s="577"/>
      <c r="BM335" s="577"/>
      <c r="BO335" s="595"/>
      <c r="BP335" s="577"/>
      <c r="BQ335" s="647"/>
      <c r="BR335" s="577"/>
      <c r="BS335" s="577"/>
      <c r="BU335" s="595"/>
      <c r="BV335" s="577"/>
      <c r="BW335" s="647"/>
      <c r="BX335" s="577"/>
      <c r="BY335" s="577"/>
      <c r="CA335" s="595"/>
      <c r="CB335" s="576"/>
    </row>
    <row r="336" spans="5:80" ht="26.15" customHeight="1">
      <c r="Q336" s="647"/>
      <c r="R336" s="577"/>
      <c r="S336" s="577"/>
      <c r="T336" s="577"/>
      <c r="U336" s="577"/>
      <c r="V336" s="577"/>
      <c r="W336" s="577"/>
      <c r="X336" s="577"/>
      <c r="Y336" s="577"/>
      <c r="Z336" s="577"/>
      <c r="AA336" s="577"/>
      <c r="AB336" s="577"/>
      <c r="AC336" s="577"/>
      <c r="AD336" s="577"/>
      <c r="AE336" s="577"/>
      <c r="AF336" s="577"/>
      <c r="AG336" s="647"/>
      <c r="AH336" s="577"/>
      <c r="AI336" s="577"/>
      <c r="AK336" s="577"/>
      <c r="AL336" s="577"/>
      <c r="AM336" s="647"/>
      <c r="AN336" s="577"/>
      <c r="AO336" s="577"/>
      <c r="AQ336" s="577"/>
      <c r="AR336" s="577"/>
      <c r="AS336" s="647"/>
      <c r="AT336" s="577"/>
      <c r="AU336" s="577"/>
      <c r="AX336" s="577"/>
      <c r="AY336" s="647"/>
      <c r="AZ336" s="577"/>
      <c r="BA336" s="577"/>
      <c r="BC336" s="595"/>
      <c r="BD336" s="577"/>
      <c r="BE336" s="647"/>
      <c r="BF336" s="577"/>
      <c r="BG336" s="577"/>
      <c r="BI336" s="595"/>
      <c r="BJ336" s="577"/>
      <c r="BK336" s="647"/>
      <c r="BL336" s="577"/>
      <c r="BM336" s="577"/>
      <c r="BO336" s="595"/>
      <c r="BP336" s="577"/>
      <c r="BQ336" s="647"/>
      <c r="BR336" s="577"/>
      <c r="BS336" s="577"/>
      <c r="BU336" s="595"/>
      <c r="BV336" s="577"/>
      <c r="BW336" s="647"/>
      <c r="BX336" s="577"/>
      <c r="BY336" s="577"/>
      <c r="CA336" s="595"/>
      <c r="CB336" s="576"/>
    </row>
    <row r="337" spans="17:80" ht="26.15" customHeight="1">
      <c r="Q337" s="64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77"/>
      <c r="AB337" s="577"/>
      <c r="AC337" s="577"/>
      <c r="AD337" s="577"/>
      <c r="AE337" s="577"/>
      <c r="AF337" s="577"/>
      <c r="AG337" s="647"/>
      <c r="AH337" s="577"/>
      <c r="AI337" s="577"/>
      <c r="AK337" s="577"/>
      <c r="AL337" s="577"/>
      <c r="AM337" s="647"/>
      <c r="AN337" s="577"/>
      <c r="AO337" s="577"/>
      <c r="AQ337" s="577"/>
      <c r="AR337" s="577"/>
      <c r="AS337" s="647"/>
      <c r="AT337" s="577"/>
      <c r="AU337" s="577"/>
      <c r="AX337" s="577"/>
      <c r="AY337" s="647"/>
      <c r="AZ337" s="577"/>
      <c r="BA337" s="577"/>
      <c r="BC337" s="595"/>
      <c r="BD337" s="577"/>
      <c r="BE337" s="647"/>
      <c r="BF337" s="577"/>
      <c r="BG337" s="577"/>
      <c r="BI337" s="595"/>
      <c r="BJ337" s="577"/>
      <c r="BK337" s="647"/>
      <c r="BL337" s="577"/>
      <c r="BM337" s="577"/>
      <c r="BO337" s="595"/>
      <c r="BP337" s="577"/>
      <c r="BQ337" s="647"/>
      <c r="BR337" s="577"/>
      <c r="BS337" s="577"/>
      <c r="BU337" s="595"/>
      <c r="BV337" s="577"/>
      <c r="BW337" s="647"/>
      <c r="BX337" s="577"/>
      <c r="BY337" s="577"/>
      <c r="CA337" s="595"/>
      <c r="CB337" s="576"/>
    </row>
    <row r="338" spans="17:80">
      <c r="AH338" s="548"/>
      <c r="AN338" s="548"/>
      <c r="AT338" s="548"/>
      <c r="AZ338" s="548"/>
      <c r="BC338" s="595"/>
      <c r="BF338" s="548"/>
      <c r="BI338" s="595"/>
      <c r="BL338" s="548"/>
      <c r="BO338" s="595"/>
      <c r="BR338" s="548"/>
      <c r="BU338" s="595"/>
      <c r="BX338" s="548"/>
      <c r="CA338" s="595"/>
      <c r="CB338" s="576"/>
    </row>
    <row r="339" spans="17:80">
      <c r="AH339" s="548"/>
      <c r="AN339" s="548"/>
      <c r="AT339" s="548"/>
      <c r="AZ339" s="548"/>
      <c r="BC339" s="595"/>
      <c r="BF339" s="548"/>
      <c r="BI339" s="595"/>
      <c r="BL339" s="548"/>
      <c r="BO339" s="595"/>
      <c r="BR339" s="548"/>
      <c r="BU339" s="595"/>
      <c r="BX339" s="548"/>
      <c r="CA339" s="595"/>
      <c r="CB339" s="576"/>
    </row>
  </sheetData>
  <mergeCells count="341">
    <mergeCell ref="B231:R231"/>
    <mergeCell ref="CH111:CH112"/>
    <mergeCell ref="CI111:CK111"/>
    <mergeCell ref="CN1:CR1"/>
    <mergeCell ref="CN3:CN4"/>
    <mergeCell ref="CO3:CQ3"/>
    <mergeCell ref="CN15:CN16"/>
    <mergeCell ref="CO15:CQ15"/>
    <mergeCell ref="CN27:CN28"/>
    <mergeCell ref="CO27:CQ27"/>
    <mergeCell ref="CN39:CN40"/>
    <mergeCell ref="CO39:CQ39"/>
    <mergeCell ref="CN51:CN52"/>
    <mergeCell ref="CO51:CQ51"/>
    <mergeCell ref="CN63:CN64"/>
    <mergeCell ref="CO63:CQ63"/>
    <mergeCell ref="CN75:CN76"/>
    <mergeCell ref="CO75:CQ75"/>
    <mergeCell ref="CN87:CN88"/>
    <mergeCell ref="CO87:CQ87"/>
    <mergeCell ref="CN99:CN100"/>
    <mergeCell ref="CO99:CQ99"/>
    <mergeCell ref="CN111:CN112"/>
    <mergeCell ref="CO111:CQ111"/>
    <mergeCell ref="CH51:CH52"/>
    <mergeCell ref="CI51:CK51"/>
    <mergeCell ref="CH63:CH64"/>
    <mergeCell ref="CI63:CK63"/>
    <mergeCell ref="CH75:CH76"/>
    <mergeCell ref="CI75:CK75"/>
    <mergeCell ref="CH87:CH88"/>
    <mergeCell ref="CI87:CK87"/>
    <mergeCell ref="CH99:CH100"/>
    <mergeCell ref="CI99:CK99"/>
    <mergeCell ref="CH1:CL1"/>
    <mergeCell ref="CH3:CH4"/>
    <mergeCell ref="CI3:CK3"/>
    <mergeCell ref="CH15:CH16"/>
    <mergeCell ref="CI15:CK15"/>
    <mergeCell ref="CH27:CH28"/>
    <mergeCell ref="CI27:CK27"/>
    <mergeCell ref="CH39:CH40"/>
    <mergeCell ref="CI39:CK39"/>
    <mergeCell ref="T124:AJ124"/>
    <mergeCell ref="B124:R124"/>
    <mergeCell ref="CB1:CF1"/>
    <mergeCell ref="CB3:CB4"/>
    <mergeCell ref="CC3:CE3"/>
    <mergeCell ref="CB15:CB16"/>
    <mergeCell ref="CC15:CE15"/>
    <mergeCell ref="CB27:CB28"/>
    <mergeCell ref="CC27:CE27"/>
    <mergeCell ref="CB39:CB40"/>
    <mergeCell ref="CC39:CE39"/>
    <mergeCell ref="CB51:CB52"/>
    <mergeCell ref="CC51:CE51"/>
    <mergeCell ref="CB63:CB64"/>
    <mergeCell ref="CC63:CE63"/>
    <mergeCell ref="CB75:CB76"/>
    <mergeCell ref="CC75:CE75"/>
    <mergeCell ref="CB87:CB88"/>
    <mergeCell ref="CC87:CE87"/>
    <mergeCell ref="CB99:CB100"/>
    <mergeCell ref="CC99:CE99"/>
    <mergeCell ref="CB111:CB112"/>
    <mergeCell ref="CC111:CE111"/>
    <mergeCell ref="BV1:BZ1"/>
    <mergeCell ref="BD27:BD28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B3:B4"/>
    <mergeCell ref="C3:E3"/>
    <mergeCell ref="H3:H4"/>
    <mergeCell ref="I3:K3"/>
    <mergeCell ref="N3:N4"/>
    <mergeCell ref="O3:Q3"/>
    <mergeCell ref="T3:T4"/>
    <mergeCell ref="U3:W3"/>
    <mergeCell ref="Z3:Z4"/>
    <mergeCell ref="B15:B16"/>
    <mergeCell ref="C15:E15"/>
    <mergeCell ref="BW3:BY3"/>
    <mergeCell ref="AS3:AU3"/>
    <mergeCell ref="AX3:AX4"/>
    <mergeCell ref="AY3:BA3"/>
    <mergeCell ref="BD3:BD4"/>
    <mergeCell ref="BE3:BG3"/>
    <mergeCell ref="BJ3:BJ4"/>
    <mergeCell ref="AA3:AC3"/>
    <mergeCell ref="AF3:AF4"/>
    <mergeCell ref="AG3:AI3"/>
    <mergeCell ref="AL3:AL4"/>
    <mergeCell ref="AM3:AO3"/>
    <mergeCell ref="AR3:AR4"/>
    <mergeCell ref="BP3:BP4"/>
    <mergeCell ref="BQ3:BS3"/>
    <mergeCell ref="BK3:BM3"/>
    <mergeCell ref="H15:H16"/>
    <mergeCell ref="I15:K15"/>
    <mergeCell ref="N15:N16"/>
    <mergeCell ref="O15:Q15"/>
    <mergeCell ref="T15:T16"/>
    <mergeCell ref="U15:W15"/>
    <mergeCell ref="BV3:BV4"/>
    <mergeCell ref="BQ15:BS15"/>
    <mergeCell ref="AS15:AU15"/>
    <mergeCell ref="AX15:AX16"/>
    <mergeCell ref="AY15:BA15"/>
    <mergeCell ref="BD15:BD16"/>
    <mergeCell ref="AG15:AI15"/>
    <mergeCell ref="AL15:AL16"/>
    <mergeCell ref="AM15:AO15"/>
    <mergeCell ref="AR15:AR16"/>
    <mergeCell ref="Z15:Z16"/>
    <mergeCell ref="AA15:AC15"/>
    <mergeCell ref="AF15:AF16"/>
    <mergeCell ref="BV15:BV16"/>
    <mergeCell ref="AM27:AO27"/>
    <mergeCell ref="AR27:AR28"/>
    <mergeCell ref="AS27:AU27"/>
    <mergeCell ref="AX27:AX28"/>
    <mergeCell ref="AY27:BA27"/>
    <mergeCell ref="B27:B28"/>
    <mergeCell ref="C27:E27"/>
    <mergeCell ref="H27:H28"/>
    <mergeCell ref="I27:K27"/>
    <mergeCell ref="N27:N28"/>
    <mergeCell ref="O27:Q27"/>
    <mergeCell ref="T27:T28"/>
    <mergeCell ref="AA27:AC27"/>
    <mergeCell ref="AF27:AF28"/>
    <mergeCell ref="AG27:AI27"/>
    <mergeCell ref="AL27:AL28"/>
    <mergeCell ref="U27:W27"/>
    <mergeCell ref="Z27:Z28"/>
    <mergeCell ref="BW15:BY15"/>
    <mergeCell ref="BE15:BG15"/>
    <mergeCell ref="BJ15:BJ16"/>
    <mergeCell ref="BK15:BM15"/>
    <mergeCell ref="BP15:BP16"/>
    <mergeCell ref="BW27:BY27"/>
    <mergeCell ref="BE27:BG27"/>
    <mergeCell ref="BJ27:BJ28"/>
    <mergeCell ref="BK27:BM27"/>
    <mergeCell ref="BP27:BP28"/>
    <mergeCell ref="BV27:BV28"/>
    <mergeCell ref="BQ27:BS27"/>
    <mergeCell ref="BV39:BV40"/>
    <mergeCell ref="BW39:BY39"/>
    <mergeCell ref="B51:B52"/>
    <mergeCell ref="C51:E51"/>
    <mergeCell ref="H51:H52"/>
    <mergeCell ref="I51:K51"/>
    <mergeCell ref="N51:N52"/>
    <mergeCell ref="AS39:AU39"/>
    <mergeCell ref="AX39:AX40"/>
    <mergeCell ref="AY39:BA39"/>
    <mergeCell ref="BD39:BD40"/>
    <mergeCell ref="BE39:BG39"/>
    <mergeCell ref="BJ39:BJ40"/>
    <mergeCell ref="AA39:AC39"/>
    <mergeCell ref="AF39:AF40"/>
    <mergeCell ref="AG39:AI39"/>
    <mergeCell ref="AL39:AL40"/>
    <mergeCell ref="AM39:AO39"/>
    <mergeCell ref="AR39:AR40"/>
    <mergeCell ref="AS51:AU51"/>
    <mergeCell ref="AX51:AX52"/>
    <mergeCell ref="O51:Q51"/>
    <mergeCell ref="B39:B40"/>
    <mergeCell ref="C39:E39"/>
    <mergeCell ref="AA63:AC63"/>
    <mergeCell ref="AF63:AF64"/>
    <mergeCell ref="AG63:AI63"/>
    <mergeCell ref="AL63:AL64"/>
    <mergeCell ref="U63:W63"/>
    <mergeCell ref="Z63:Z64"/>
    <mergeCell ref="T51:T52"/>
    <mergeCell ref="U51:W51"/>
    <mergeCell ref="Z51:Z52"/>
    <mergeCell ref="AA51:AC51"/>
    <mergeCell ref="AF51:AF52"/>
    <mergeCell ref="H39:H40"/>
    <mergeCell ref="I39:K39"/>
    <mergeCell ref="N39:N40"/>
    <mergeCell ref="O39:Q39"/>
    <mergeCell ref="T39:T40"/>
    <mergeCell ref="U39:W39"/>
    <mergeCell ref="Z39:Z40"/>
    <mergeCell ref="BP39:BP40"/>
    <mergeCell ref="BQ39:BS39"/>
    <mergeCell ref="BK39:BM39"/>
    <mergeCell ref="BW51:BY51"/>
    <mergeCell ref="B63:B64"/>
    <mergeCell ref="C63:E63"/>
    <mergeCell ref="H63:H64"/>
    <mergeCell ref="I63:K63"/>
    <mergeCell ref="N63:N64"/>
    <mergeCell ref="O63:Q63"/>
    <mergeCell ref="T63:T64"/>
    <mergeCell ref="AY51:BA51"/>
    <mergeCell ref="BD51:BD52"/>
    <mergeCell ref="BE51:BG51"/>
    <mergeCell ref="BJ51:BJ52"/>
    <mergeCell ref="BK51:BM51"/>
    <mergeCell ref="BP51:BP52"/>
    <mergeCell ref="AG51:AI51"/>
    <mergeCell ref="AL51:AL52"/>
    <mergeCell ref="AM51:AO51"/>
    <mergeCell ref="AR51:AR52"/>
    <mergeCell ref="BW63:BY63"/>
    <mergeCell ref="BE63:BG63"/>
    <mergeCell ref="BJ63:BJ64"/>
    <mergeCell ref="BK63:BM63"/>
    <mergeCell ref="BQ51:BS51"/>
    <mergeCell ref="BV51:BV52"/>
    <mergeCell ref="BP63:BP64"/>
    <mergeCell ref="BQ63:BS63"/>
    <mergeCell ref="BV63:BV64"/>
    <mergeCell ref="AM63:AO63"/>
    <mergeCell ref="AR63:AR64"/>
    <mergeCell ref="AS63:AU63"/>
    <mergeCell ref="AX63:AX64"/>
    <mergeCell ref="AY63:BA63"/>
    <mergeCell ref="BD63:BD64"/>
    <mergeCell ref="B75:B76"/>
    <mergeCell ref="C75:E75"/>
    <mergeCell ref="BK75:BM75"/>
    <mergeCell ref="H75:H76"/>
    <mergeCell ref="I75:K75"/>
    <mergeCell ref="N75:N76"/>
    <mergeCell ref="O75:Q75"/>
    <mergeCell ref="T75:T76"/>
    <mergeCell ref="U75:W75"/>
    <mergeCell ref="Z75:Z76"/>
    <mergeCell ref="I87:K87"/>
    <mergeCell ref="N87:N88"/>
    <mergeCell ref="AS75:AU75"/>
    <mergeCell ref="AX75:AX76"/>
    <mergeCell ref="AY75:BA75"/>
    <mergeCell ref="BD75:BD76"/>
    <mergeCell ref="BE75:BG75"/>
    <mergeCell ref="BJ75:BJ76"/>
    <mergeCell ref="AA75:AC75"/>
    <mergeCell ref="AF75:AF76"/>
    <mergeCell ref="AG75:AI75"/>
    <mergeCell ref="AL75:AL76"/>
    <mergeCell ref="AM75:AO75"/>
    <mergeCell ref="AR75:AR76"/>
    <mergeCell ref="AS87:AU87"/>
    <mergeCell ref="AX87:AX88"/>
    <mergeCell ref="O87:Q87"/>
    <mergeCell ref="BP75:BP76"/>
    <mergeCell ref="BQ75:BS75"/>
    <mergeCell ref="BW87:BY87"/>
    <mergeCell ref="BE87:BG87"/>
    <mergeCell ref="BJ87:BJ88"/>
    <mergeCell ref="BK87:BM87"/>
    <mergeCell ref="BP87:BP88"/>
    <mergeCell ref="BW99:BY99"/>
    <mergeCell ref="BE99:BG99"/>
    <mergeCell ref="BJ99:BJ100"/>
    <mergeCell ref="BK99:BM99"/>
    <mergeCell ref="BW75:BY75"/>
    <mergeCell ref="BV75:BV76"/>
    <mergeCell ref="B99:B100"/>
    <mergeCell ref="C99:E99"/>
    <mergeCell ref="H99:H100"/>
    <mergeCell ref="I99:K99"/>
    <mergeCell ref="N99:N100"/>
    <mergeCell ref="O99:Q99"/>
    <mergeCell ref="T99:T100"/>
    <mergeCell ref="AY87:BA87"/>
    <mergeCell ref="BD87:BD88"/>
    <mergeCell ref="AG87:AI87"/>
    <mergeCell ref="AL87:AL88"/>
    <mergeCell ref="AM87:AO87"/>
    <mergeCell ref="AR87:AR88"/>
    <mergeCell ref="T87:T88"/>
    <mergeCell ref="U87:W87"/>
    <mergeCell ref="AA99:AC99"/>
    <mergeCell ref="AF99:AF100"/>
    <mergeCell ref="AG99:AI99"/>
    <mergeCell ref="AL99:AL100"/>
    <mergeCell ref="U99:W99"/>
    <mergeCell ref="Z99:Z100"/>
    <mergeCell ref="B87:B88"/>
    <mergeCell ref="C87:E87"/>
    <mergeCell ref="H87:H88"/>
    <mergeCell ref="O111:Q111"/>
    <mergeCell ref="T111:T112"/>
    <mergeCell ref="U111:W111"/>
    <mergeCell ref="Z111:Z112"/>
    <mergeCell ref="BQ87:BS87"/>
    <mergeCell ref="BV87:BV88"/>
    <mergeCell ref="Z87:Z88"/>
    <mergeCell ref="AA87:AC87"/>
    <mergeCell ref="AF87:AF88"/>
    <mergeCell ref="BP99:BP100"/>
    <mergeCell ref="BQ99:BS99"/>
    <mergeCell ref="BV99:BV100"/>
    <mergeCell ref="AM99:AO99"/>
    <mergeCell ref="AR99:AR100"/>
    <mergeCell ref="AS99:AU99"/>
    <mergeCell ref="AX99:AX100"/>
    <mergeCell ref="AY99:BA99"/>
    <mergeCell ref="BD99:BD100"/>
    <mergeCell ref="B209:L209"/>
    <mergeCell ref="B210:L210"/>
    <mergeCell ref="BK111:BM111"/>
    <mergeCell ref="BP111:BP112"/>
    <mergeCell ref="BQ111:BS111"/>
    <mergeCell ref="BV111:BV112"/>
    <mergeCell ref="BW111:BY111"/>
    <mergeCell ref="AS111:AU111"/>
    <mergeCell ref="AX111:AX112"/>
    <mergeCell ref="AY111:BA111"/>
    <mergeCell ref="BD111:BD112"/>
    <mergeCell ref="BE111:BG111"/>
    <mergeCell ref="BJ111:BJ112"/>
    <mergeCell ref="AA111:AC111"/>
    <mergeCell ref="AF111:AF112"/>
    <mergeCell ref="AG111:AI111"/>
    <mergeCell ref="AL111:AL112"/>
    <mergeCell ref="AM111:AO111"/>
    <mergeCell ref="AR111:AR112"/>
    <mergeCell ref="B111:B112"/>
    <mergeCell ref="C111:E111"/>
    <mergeCell ref="H111:H112"/>
    <mergeCell ref="I111:K111"/>
    <mergeCell ref="N111:N1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2D77-3C5E-4D1E-AEF8-F3D9AC016715}">
  <sheetPr>
    <tabColor rgb="FF00B050"/>
  </sheetPr>
  <dimension ref="A1:O59"/>
  <sheetViews>
    <sheetView zoomScaleNormal="100" zoomScaleSheetLayoutView="90" workbookViewId="0">
      <selection activeCell="K15" sqref="K15"/>
    </sheetView>
  </sheetViews>
  <sheetFormatPr defaultColWidth="9.453125" defaultRowHeight="12.5"/>
  <cols>
    <col min="1" max="1" width="18.453125" style="483" customWidth="1"/>
    <col min="2" max="2" width="26.453125" style="483" customWidth="1"/>
    <col min="3" max="3" width="3.453125" style="483" customWidth="1"/>
    <col min="4" max="4" width="11.54296875" style="483" customWidth="1"/>
    <col min="5" max="5" width="9.453125" style="483" customWidth="1"/>
    <col min="6" max="6" width="22.54296875" style="483" customWidth="1"/>
    <col min="7" max="7" width="9.453125" style="483"/>
    <col min="8" max="8" width="18.54296875" style="483" customWidth="1"/>
    <col min="9" max="9" width="12.453125" style="483" customWidth="1"/>
    <col min="10" max="16384" width="9.453125" style="483"/>
  </cols>
  <sheetData>
    <row r="1" spans="1:15" ht="13">
      <c r="H1" s="812" t="str">
        <f ca="1">IF('Lembar Penyelia'!H82&lt;70,"TIDAK LAIK","LAIK")</f>
        <v>LAIK</v>
      </c>
      <c r="I1" s="813"/>
      <c r="J1" s="813"/>
    </row>
    <row r="2" spans="1:15" ht="30">
      <c r="A2" s="1221" t="str">
        <f>B44</f>
        <v>SERTIFIKAT KALIBRASI</v>
      </c>
      <c r="B2" s="1221"/>
      <c r="C2" s="1221"/>
      <c r="D2" s="1221"/>
      <c r="E2" s="1221"/>
      <c r="F2" s="1221"/>
      <c r="H2" s="814"/>
      <c r="I2" s="1222"/>
      <c r="J2" s="1223"/>
    </row>
    <row r="3" spans="1:15" ht="14">
      <c r="A3" s="1224" t="str">
        <f>"Nomor : 30 /"&amp;" "&amp;[2]ID!I2</f>
        <v>Nomor : 30 / 1 / IV - 21 / E - 00.000 DL</v>
      </c>
      <c r="B3" s="1224"/>
      <c r="C3" s="1224"/>
      <c r="D3" s="1224"/>
      <c r="E3" s="1224"/>
      <c r="F3" s="1224"/>
    </row>
    <row r="4" spans="1:15" ht="13">
      <c r="C4" s="483" t="s">
        <v>332</v>
      </c>
      <c r="D4" s="1225" t="str">
        <f>ID!C13</f>
        <v>MK.031-18</v>
      </c>
      <c r="E4" s="1225"/>
      <c r="F4" s="1225"/>
      <c r="H4" s="815"/>
      <c r="I4" s="815"/>
      <c r="J4" s="815"/>
    </row>
    <row r="5" spans="1:15" ht="14.5">
      <c r="H5" s="1226"/>
      <c r="I5" s="1226"/>
      <c r="J5" s="1226"/>
    </row>
    <row r="6" spans="1:15" ht="14">
      <c r="A6" s="484" t="s">
        <v>333</v>
      </c>
      <c r="B6" s="485" t="s">
        <v>574</v>
      </c>
      <c r="C6" s="486"/>
      <c r="D6" s="1218" t="s">
        <v>334</v>
      </c>
      <c r="E6" s="1219"/>
      <c r="F6" s="487" t="str">
        <f>MID(A3,SEARCH("E - ",A3),LEN(A3))</f>
        <v>E - 00.000 DL</v>
      </c>
    </row>
    <row r="7" spans="1:15" ht="14">
      <c r="A7" s="488"/>
      <c r="B7" s="488"/>
      <c r="C7" s="488"/>
    </row>
    <row r="8" spans="1:15" ht="14">
      <c r="A8" s="1204" t="s">
        <v>1</v>
      </c>
      <c r="B8" s="1204"/>
      <c r="C8" s="489" t="s">
        <v>2</v>
      </c>
      <c r="D8" s="1204" t="str">
        <f>ID!C5</f>
        <v>GEA</v>
      </c>
      <c r="E8" s="1204"/>
      <c r="F8" s="1204"/>
      <c r="I8" s="1220"/>
      <c r="J8" s="1220"/>
    </row>
    <row r="9" spans="1:15" ht="14">
      <c r="A9" s="1204" t="s">
        <v>335</v>
      </c>
      <c r="B9" s="1204"/>
      <c r="C9" s="489" t="s">
        <v>2</v>
      </c>
      <c r="D9" s="1204" t="str">
        <f>ID!C6</f>
        <v>AB - 375 LT</v>
      </c>
      <c r="E9" s="1204"/>
      <c r="F9" s="1204"/>
      <c r="I9" s="1220"/>
      <c r="J9" s="1220"/>
    </row>
    <row r="10" spans="1:15" ht="14.5">
      <c r="A10" s="1204" t="s">
        <v>336</v>
      </c>
      <c r="B10" s="1204"/>
      <c r="C10" s="489" t="s">
        <v>2</v>
      </c>
      <c r="D10" s="1204" t="str">
        <f>ID!C7</f>
        <v>110663750217</v>
      </c>
      <c r="E10" s="1204"/>
      <c r="F10" s="1204"/>
      <c r="I10" s="1215"/>
      <c r="J10" s="1216"/>
      <c r="O10" s="816"/>
    </row>
    <row r="11" spans="1:15" ht="14.5">
      <c r="A11" s="490"/>
      <c r="B11" s="490"/>
      <c r="C11" s="488"/>
      <c r="I11" s="1217"/>
      <c r="J11" s="1217"/>
      <c r="O11" s="816"/>
    </row>
    <row r="12" spans="1:15" ht="28.5" customHeight="1">
      <c r="A12" s="491" t="s">
        <v>337</v>
      </c>
      <c r="B12" s="492"/>
      <c r="C12" s="488"/>
      <c r="D12" s="1218" t="s">
        <v>338</v>
      </c>
      <c r="E12" s="1219"/>
      <c r="F12" s="493"/>
      <c r="I12" s="1216"/>
      <c r="J12" s="1216"/>
      <c r="O12" s="816"/>
    </row>
    <row r="13" spans="1:15" ht="14.5">
      <c r="A13" s="817"/>
      <c r="B13" s="488"/>
      <c r="C13" s="488"/>
      <c r="D13" s="488"/>
      <c r="E13" s="488"/>
      <c r="I13" s="1209"/>
      <c r="J13" s="1209"/>
    </row>
    <row r="14" spans="1:15" s="813" customFormat="1" ht="42.75" customHeight="1">
      <c r="A14" s="1210" t="s">
        <v>339</v>
      </c>
      <c r="B14" s="1210"/>
      <c r="C14" s="494" t="s">
        <v>2</v>
      </c>
      <c r="D14" s="1211" t="s">
        <v>573</v>
      </c>
      <c r="E14" s="1211"/>
      <c r="F14" s="1211"/>
      <c r="H14" s="818"/>
      <c r="I14" s="1212"/>
      <c r="J14" s="1213"/>
    </row>
    <row r="15" spans="1:15" ht="14.5">
      <c r="A15" s="1204" t="str">
        <f>"Nama Ruang "</f>
        <v xml:space="preserve">Nama Ruang </v>
      </c>
      <c r="B15" s="1204"/>
      <c r="C15" s="489" t="s">
        <v>2</v>
      </c>
      <c r="D15" s="1206" t="str">
        <f>ID!C12</f>
        <v>Laboratorium Mikrobiologi</v>
      </c>
      <c r="E15" s="1206"/>
      <c r="F15" s="1206"/>
      <c r="H15" s="1214"/>
      <c r="I15" s="1214"/>
      <c r="J15" s="1214"/>
    </row>
    <row r="16" spans="1:15" ht="14.5">
      <c r="A16" s="1204" t="s">
        <v>7</v>
      </c>
      <c r="B16" s="1204"/>
      <c r="C16" s="489" t="s">
        <v>2</v>
      </c>
      <c r="D16" s="1208" t="str">
        <f>ID!C9</f>
        <v>21 Desember 2022</v>
      </c>
      <c r="E16" s="1208"/>
      <c r="F16" s="1208"/>
      <c r="H16" s="819"/>
      <c r="I16" s="819"/>
      <c r="J16" s="819"/>
    </row>
    <row r="17" spans="1:8" ht="14.25" customHeight="1">
      <c r="A17" s="1204" t="str">
        <f>"Tanggal "&amp;B48</f>
        <v xml:space="preserve">Tanggal </v>
      </c>
      <c r="B17" s="1204"/>
      <c r="C17" s="489" t="s">
        <v>2</v>
      </c>
      <c r="D17" s="1208" t="str">
        <f>ID!C10</f>
        <v>21 Desember 2022</v>
      </c>
      <c r="E17" s="1208"/>
      <c r="F17" s="1208"/>
    </row>
    <row r="18" spans="1:8" ht="14">
      <c r="A18" s="1204" t="str">
        <f>"Penanggungjawab "&amp;B48</f>
        <v xml:space="preserve">Penanggungjawab </v>
      </c>
      <c r="B18" s="1204"/>
      <c r="C18" s="489" t="s">
        <v>2</v>
      </c>
      <c r="D18" s="1204" t="str">
        <f>ID!A122</f>
        <v>Choirul Huda</v>
      </c>
      <c r="E18" s="1204"/>
      <c r="F18" s="1204"/>
    </row>
    <row r="19" spans="1:8" ht="14.5">
      <c r="A19" s="1204" t="str">
        <f>"Lokasi "&amp;B48</f>
        <v xml:space="preserve">Lokasi </v>
      </c>
      <c r="B19" s="1204"/>
      <c r="C19" s="489" t="s">
        <v>2</v>
      </c>
      <c r="D19" s="1206" t="str">
        <f>ID!C11</f>
        <v>Laboratorium Mikrobiologi</v>
      </c>
      <c r="E19" s="1206"/>
      <c r="F19" s="1206"/>
      <c r="H19" s="820"/>
    </row>
    <row r="20" spans="1:8" ht="31.5" customHeight="1">
      <c r="A20" s="1206" t="str">
        <f>"Hasil "&amp;B48</f>
        <v xml:space="preserve">Hasil </v>
      </c>
      <c r="B20" s="1206"/>
      <c r="C20" s="495" t="s">
        <v>2</v>
      </c>
      <c r="D20" s="1207" t="s">
        <v>340</v>
      </c>
      <c r="E20" s="1207"/>
      <c r="F20" s="1207"/>
    </row>
    <row r="21" spans="1:8" ht="14">
      <c r="A21" s="1204" t="s">
        <v>341</v>
      </c>
      <c r="B21" s="1204"/>
      <c r="C21" s="489" t="s">
        <v>2</v>
      </c>
      <c r="D21" s="1204" t="str">
        <f>D4</f>
        <v>MK.031-18</v>
      </c>
      <c r="E21" s="1204"/>
      <c r="F21" s="1204"/>
    </row>
    <row r="24" spans="1:8" ht="26.25" customHeight="1">
      <c r="D24" s="496" t="s">
        <v>342</v>
      </c>
      <c r="E24" s="1203">
        <f ca="1">TODAY()</f>
        <v>45200</v>
      </c>
      <c r="F24" s="1203"/>
    </row>
    <row r="25" spans="1:8" ht="14">
      <c r="D25" s="1204" t="s">
        <v>343</v>
      </c>
      <c r="E25" s="1204"/>
      <c r="F25" s="1204"/>
    </row>
    <row r="26" spans="1:8" ht="14">
      <c r="D26" s="1204" t="s">
        <v>344</v>
      </c>
      <c r="E26" s="1204"/>
      <c r="F26" s="1204"/>
    </row>
    <row r="27" spans="1:8" ht="14">
      <c r="D27" s="497"/>
      <c r="E27" s="497"/>
    </row>
    <row r="28" spans="1:8" ht="14">
      <c r="D28" s="497"/>
      <c r="E28" s="497"/>
    </row>
    <row r="29" spans="1:8" ht="14">
      <c r="D29" s="497"/>
      <c r="E29" s="497"/>
    </row>
    <row r="30" spans="1:8" ht="14">
      <c r="D30" s="1204" t="s">
        <v>345</v>
      </c>
      <c r="E30" s="1204"/>
      <c r="F30" s="1204"/>
    </row>
    <row r="31" spans="1:8" ht="14">
      <c r="D31" s="1205" t="s">
        <v>346</v>
      </c>
      <c r="E31" s="1205"/>
      <c r="F31" s="1205"/>
    </row>
    <row r="34" spans="1:6" ht="13">
      <c r="A34" s="821"/>
      <c r="B34" s="821"/>
      <c r="C34" s="821"/>
      <c r="D34" s="821"/>
      <c r="E34" s="821"/>
      <c r="F34" s="821"/>
    </row>
    <row r="40" spans="1:6" ht="13" thickBot="1"/>
    <row r="41" spans="1:6" ht="31.5" customHeight="1">
      <c r="A41" s="498"/>
      <c r="B41" s="822"/>
    </row>
    <row r="42" spans="1:6">
      <c r="A42" s="499"/>
      <c r="B42" s="500"/>
    </row>
    <row r="43" spans="1:6" ht="24" customHeight="1">
      <c r="A43" s="501" t="s">
        <v>347</v>
      </c>
      <c r="B43" s="502" t="str">
        <f>'Lembar Penyelia'!A1</f>
        <v>Hasil Kalibrasi Medical Freezer</v>
      </c>
    </row>
    <row r="44" spans="1:6" ht="39" customHeight="1">
      <c r="A44" s="501" t="s">
        <v>348</v>
      </c>
      <c r="B44" s="823" t="str">
        <f>IF(B43="Hasil Kalibrasi Medical Freezer",B45,B46)</f>
        <v>SERTIFIKAT KALIBRASI</v>
      </c>
    </row>
    <row r="45" spans="1:6" ht="22.5" customHeight="1">
      <c r="A45" s="501" t="s">
        <v>349</v>
      </c>
      <c r="B45" s="500" t="s">
        <v>350</v>
      </c>
    </row>
    <row r="46" spans="1:6">
      <c r="A46" s="499"/>
      <c r="B46" s="500" t="s">
        <v>351</v>
      </c>
    </row>
    <row r="47" spans="1:6">
      <c r="A47" s="499"/>
      <c r="B47" s="500"/>
    </row>
    <row r="48" spans="1:6" ht="48" customHeight="1">
      <c r="A48" s="501"/>
      <c r="B48" s="500"/>
    </row>
    <row r="49" spans="1:2">
      <c r="A49" s="499"/>
      <c r="B49" s="500"/>
    </row>
    <row r="50" spans="1:2" s="503" customFormat="1" ht="34.5" customHeight="1">
      <c r="A50" s="501"/>
      <c r="B50" s="824"/>
    </row>
    <row r="51" spans="1:2">
      <c r="A51" s="499"/>
      <c r="B51" s="500"/>
    </row>
    <row r="52" spans="1:2" ht="50.25" customHeight="1">
      <c r="A52" s="825"/>
      <c r="B52" s="826"/>
    </row>
    <row r="53" spans="1:2" ht="27" customHeight="1">
      <c r="A53" s="501"/>
      <c r="B53" s="504"/>
    </row>
    <row r="54" spans="1:2">
      <c r="A54" s="499"/>
      <c r="B54" s="500"/>
    </row>
    <row r="55" spans="1:2" ht="30" customHeight="1">
      <c r="A55" s="825"/>
      <c r="B55" s="827"/>
    </row>
    <row r="56" spans="1:2" ht="14">
      <c r="A56" s="499"/>
      <c r="B56" s="828"/>
    </row>
    <row r="57" spans="1:2" ht="14">
      <c r="A57" s="499"/>
      <c r="B57" s="828"/>
    </row>
    <row r="58" spans="1:2" ht="42" customHeight="1">
      <c r="A58" s="829"/>
      <c r="B58" s="828"/>
    </row>
    <row r="59" spans="1:2" ht="39.75" customHeight="1" thickBot="1">
      <c r="A59" s="830"/>
      <c r="B59" s="831"/>
    </row>
  </sheetData>
  <sheetProtection formatRows="0"/>
  <mergeCells count="42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E24:F24"/>
    <mergeCell ref="D25:F25"/>
    <mergeCell ref="D26:F26"/>
    <mergeCell ref="D30:F30"/>
    <mergeCell ref="D31:F31"/>
  </mergeCells>
  <dataValidations count="1">
    <dataValidation type="list" allowBlank="1" showInputMessage="1" showErrorMessage="1" sqref="A2:F2" xr:uid="{E52E0D34-0026-41AB-BC91-DA258C33C8B8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5CE-6F3F-408C-AFE8-CC2B50E61F74}">
  <sheetPr codeName="Sheet11"/>
  <dimension ref="A4:BE67"/>
  <sheetViews>
    <sheetView topLeftCell="A25" zoomScale="80" zoomScaleNormal="80" workbookViewId="0">
      <selection activeCell="A43" sqref="A43"/>
    </sheetView>
  </sheetViews>
  <sheetFormatPr defaultColWidth="9.1796875" defaultRowHeight="12.5"/>
  <cols>
    <col min="1" max="1" width="95.54296875" customWidth="1"/>
  </cols>
  <sheetData>
    <row r="4" spans="1:15" ht="15.5">
      <c r="A4" s="124" t="s">
        <v>354</v>
      </c>
      <c r="B4" s="667" t="s">
        <v>409</v>
      </c>
    </row>
    <row r="5" spans="1:15" ht="15.5">
      <c r="A5" s="124" t="s">
        <v>356</v>
      </c>
      <c r="B5" s="667" t="s">
        <v>409</v>
      </c>
      <c r="O5" s="309"/>
    </row>
    <row r="6" spans="1:15" ht="15.5">
      <c r="A6" s="124" t="s">
        <v>70</v>
      </c>
      <c r="B6" s="667" t="s">
        <v>409</v>
      </c>
      <c r="O6" s="418" t="s">
        <v>410</v>
      </c>
    </row>
    <row r="7" spans="1:15" ht="15.5">
      <c r="A7" s="310" t="s">
        <v>368</v>
      </c>
      <c r="B7" s="667" t="s">
        <v>411</v>
      </c>
      <c r="O7" s="418" t="s">
        <v>412</v>
      </c>
    </row>
    <row r="8" spans="1:15" ht="15.5">
      <c r="A8" s="310" t="s">
        <v>369</v>
      </c>
      <c r="B8" s="667" t="s">
        <v>409</v>
      </c>
      <c r="O8" s="418" t="s">
        <v>413</v>
      </c>
    </row>
    <row r="9" spans="1:15" ht="15.5">
      <c r="A9" s="310" t="s">
        <v>370</v>
      </c>
      <c r="B9" s="667" t="s">
        <v>409</v>
      </c>
      <c r="O9" s="418" t="s">
        <v>414</v>
      </c>
    </row>
    <row r="10" spans="1:15" ht="15.5">
      <c r="A10" s="1" t="s">
        <v>415</v>
      </c>
      <c r="B10" s="667" t="s">
        <v>411</v>
      </c>
      <c r="O10" s="418" t="s">
        <v>416</v>
      </c>
    </row>
    <row r="11" spans="1:15" ht="15.5">
      <c r="A11" s="1" t="s">
        <v>417</v>
      </c>
      <c r="B11" s="667" t="s">
        <v>411</v>
      </c>
      <c r="O11" s="418" t="s">
        <v>418</v>
      </c>
    </row>
    <row r="12" spans="1:15" ht="15.5">
      <c r="A12" s="1" t="s">
        <v>419</v>
      </c>
      <c r="B12" s="667" t="s">
        <v>411</v>
      </c>
      <c r="O12" s="418" t="s">
        <v>420</v>
      </c>
    </row>
    <row r="13" spans="1:15" ht="15.5">
      <c r="A13" s="1" t="s">
        <v>421</v>
      </c>
      <c r="B13" s="667" t="s">
        <v>411</v>
      </c>
      <c r="O13" s="418" t="s">
        <v>422</v>
      </c>
    </row>
    <row r="14" spans="1:15" ht="15.5">
      <c r="A14" s="1" t="s">
        <v>190</v>
      </c>
      <c r="B14" s="667" t="s">
        <v>411</v>
      </c>
      <c r="O14" s="418" t="s">
        <v>423</v>
      </c>
    </row>
    <row r="15" spans="1:15" ht="15.5">
      <c r="A15" s="1" t="s">
        <v>424</v>
      </c>
      <c r="B15" s="667" t="s">
        <v>409</v>
      </c>
      <c r="O15" s="418" t="s">
        <v>425</v>
      </c>
    </row>
    <row r="16" spans="1:15" ht="15.5">
      <c r="A16" s="1" t="s">
        <v>426</v>
      </c>
      <c r="B16" s="667" t="s">
        <v>411</v>
      </c>
      <c r="O16" s="418" t="s">
        <v>427</v>
      </c>
    </row>
    <row r="17" spans="1:15" ht="15.5">
      <c r="A17" s="1" t="s">
        <v>428</v>
      </c>
      <c r="B17" s="667" t="s">
        <v>409</v>
      </c>
      <c r="O17" s="418" t="s">
        <v>429</v>
      </c>
    </row>
    <row r="18" spans="1:15" ht="15.5">
      <c r="A18" s="1" t="s">
        <v>430</v>
      </c>
      <c r="B18" s="667" t="s">
        <v>411</v>
      </c>
      <c r="O18" s="418" t="s">
        <v>431</v>
      </c>
    </row>
    <row r="19" spans="1:15" ht="15.5">
      <c r="A19" s="1" t="s">
        <v>432</v>
      </c>
      <c r="B19" s="667" t="s">
        <v>411</v>
      </c>
      <c r="O19" s="418" t="s">
        <v>433</v>
      </c>
    </row>
    <row r="20" spans="1:15" ht="15.5">
      <c r="A20" s="1" t="s">
        <v>434</v>
      </c>
      <c r="B20" s="667" t="s">
        <v>409</v>
      </c>
      <c r="O20" s="775" t="s">
        <v>435</v>
      </c>
    </row>
    <row r="21" spans="1:15" ht="15.5">
      <c r="A21" s="1" t="s">
        <v>436</v>
      </c>
      <c r="B21" s="667" t="s">
        <v>409</v>
      </c>
      <c r="O21" s="775" t="s">
        <v>437</v>
      </c>
    </row>
    <row r="22" spans="1:15" ht="15.5">
      <c r="A22" s="1" t="s">
        <v>192</v>
      </c>
      <c r="B22" s="667" t="s">
        <v>411</v>
      </c>
      <c r="O22" s="775" t="s">
        <v>438</v>
      </c>
    </row>
    <row r="23" spans="1:15" ht="15.5">
      <c r="A23" s="1" t="s">
        <v>439</v>
      </c>
      <c r="B23" s="667" t="s">
        <v>409</v>
      </c>
      <c r="O23" s="775" t="s">
        <v>440</v>
      </c>
    </row>
    <row r="24" spans="1:15" ht="15.5">
      <c r="A24" s="1" t="s">
        <v>441</v>
      </c>
      <c r="B24" s="667" t="s">
        <v>409</v>
      </c>
      <c r="O24" s="775" t="s">
        <v>442</v>
      </c>
    </row>
    <row r="25" spans="1:15" ht="15.5">
      <c r="A25" s="1" t="s">
        <v>101</v>
      </c>
      <c r="B25" s="311"/>
      <c r="O25" s="418" t="s">
        <v>443</v>
      </c>
    </row>
    <row r="26" spans="1:15">
      <c r="O26" s="418" t="s">
        <v>444</v>
      </c>
    </row>
    <row r="27" spans="1:15">
      <c r="O27" s="418" t="s">
        <v>445</v>
      </c>
    </row>
    <row r="28" spans="1:15">
      <c r="O28" s="418" t="s">
        <v>197</v>
      </c>
    </row>
    <row r="29" spans="1:15">
      <c r="O29" s="418" t="s">
        <v>446</v>
      </c>
    </row>
    <row r="30" spans="1:15">
      <c r="O30" s="418" t="s">
        <v>447</v>
      </c>
    </row>
    <row r="32" spans="1:15">
      <c r="A32" s="312" t="str">
        <f>VLOOKUP(ID!A113,'Data Alat'!A4:B24,2,0)</f>
        <v>Hasil pengujian kinerja suhu tertelusur ke Satuan SI melalui Laboratorium SNSU-BSN</v>
      </c>
      <c r="B32" s="313"/>
    </row>
    <row r="33" spans="1:57">
      <c r="B33" s="313"/>
      <c r="E33" s="314" t="str">
        <f ca="1">ID!H2</f>
        <v>Nomor Sertifikat : 67 /</v>
      </c>
      <c r="F33" s="314"/>
      <c r="G33" s="314"/>
    </row>
    <row r="34" spans="1:57">
      <c r="B34" s="313"/>
      <c r="E34" s="314"/>
      <c r="F34" s="314"/>
      <c r="G34" s="314"/>
    </row>
    <row r="35" spans="1:57">
      <c r="B35" s="313"/>
      <c r="E35" s="314" t="s">
        <v>448</v>
      </c>
      <c r="F35" s="314"/>
      <c r="G35" s="314">
        <v>1</v>
      </c>
    </row>
    <row r="36" spans="1:57">
      <c r="B36" s="313"/>
      <c r="E36" s="314" t="s">
        <v>449</v>
      </c>
      <c r="F36" s="314"/>
      <c r="G36" s="314">
        <v>2</v>
      </c>
    </row>
    <row r="37" spans="1:57">
      <c r="B37" s="313"/>
      <c r="E37" s="315">
        <f ca="1">VLOOKUP(E33,E35:G36,3,TRUE)</f>
        <v>1</v>
      </c>
      <c r="F37" s="314"/>
      <c r="G37" s="314"/>
    </row>
    <row r="38" spans="1:57">
      <c r="B38" s="313"/>
    </row>
    <row r="39" spans="1:57">
      <c r="B39" s="313"/>
      <c r="E39" s="315">
        <f ca="1">E37</f>
        <v>1</v>
      </c>
      <c r="F39" s="314"/>
      <c r="G39" s="314"/>
      <c r="H39" s="314"/>
      <c r="I39" s="314"/>
      <c r="J39" s="314"/>
      <c r="K39" s="314"/>
    </row>
    <row r="40" spans="1:57" ht="15.5">
      <c r="B40" s="313"/>
      <c r="E40" s="316">
        <v>1</v>
      </c>
      <c r="F40" s="317" t="s">
        <v>450</v>
      </c>
      <c r="G40" s="314"/>
      <c r="H40" s="314"/>
      <c r="I40" s="314"/>
      <c r="J40" s="314"/>
      <c r="K40" s="314"/>
    </row>
    <row r="41" spans="1:57" ht="15.5">
      <c r="B41" s="313"/>
      <c r="E41" s="316">
        <v>2</v>
      </c>
      <c r="F41" s="317" t="s">
        <v>451</v>
      </c>
      <c r="G41" s="314"/>
      <c r="H41" s="314"/>
      <c r="I41" s="314"/>
      <c r="J41" s="314"/>
      <c r="K41" s="314"/>
    </row>
    <row r="42" spans="1:57" ht="15.5">
      <c r="A42" s="935" t="str">
        <f ca="1">IF('Lembar Penyelia'!S24="pengujian",'Data Alat'!E42,'Data Alat'!E45)</f>
        <v>Alat yang dikalibrasi dalam batas toleransi dan dinyatakan LAIK PAKAI, dimana hasil atau skor akhir sama dengan atau melampaui 70% berdasarkan Keputusan Direktur Jenderal Pelayanan Kesehatan No : HK.02.02/V/0412/2020</v>
      </c>
      <c r="B42" s="313"/>
      <c r="E42" s="40" t="str">
        <f ca="1">VLOOKUP(E39,E40:F41,2,FALSE)</f>
        <v>Alat yang diuji dalam batas toleransi dan dinyatakan LAIK PAKAI, dimana hasil atau skor akhir sama dengan atau melampaui 70% berdasarkan Keputusan Direktur Jenderal Pelayanan Kesehatan No : HK.02.02/V/0412/2020</v>
      </c>
      <c r="F42" s="314"/>
      <c r="G42" s="314"/>
      <c r="H42" s="314"/>
      <c r="I42" s="314"/>
      <c r="J42" s="314"/>
      <c r="K42" s="314"/>
    </row>
    <row r="43" spans="1:57" ht="15.5">
      <c r="B43" s="313"/>
      <c r="E43" s="316">
        <v>1</v>
      </c>
      <c r="F43" s="317" t="s">
        <v>595</v>
      </c>
    </row>
    <row r="44" spans="1:57" ht="15.5">
      <c r="E44" s="316">
        <v>2</v>
      </c>
      <c r="F44" s="317" t="s">
        <v>596</v>
      </c>
    </row>
    <row r="45" spans="1:57">
      <c r="E45" t="str">
        <f ca="1">VLOOKUP(E39,E43:F44,2,FALSE)</f>
        <v>Alat yang dikalibrasi dalam batas toleransi dan dinyatakan LAIK PAKAI, dimana hasil atau skor akhir sama dengan atau melampaui 70% berdasarkan Keputusan Direktur Jenderal Pelayanan Kesehatan No : HK.02.02/V/0412/2020</v>
      </c>
    </row>
    <row r="46" spans="1:57">
      <c r="A46" t="str">
        <f>ID!A113</f>
        <v>Wireless Temperature Recorder, Merek : HIOKI, Model : LR 8510, SN : 210411984</v>
      </c>
    </row>
    <row r="47" spans="1:57">
      <c r="A47" s="318"/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 s="318"/>
      <c r="AV47" s="318"/>
      <c r="AW47" s="318"/>
      <c r="AX47" s="318"/>
      <c r="AY47" s="318"/>
      <c r="AZ47" s="318"/>
      <c r="BA47" s="318"/>
      <c r="BB47" s="318"/>
      <c r="BC47" s="318"/>
      <c r="BD47" s="318"/>
      <c r="BE47" s="318"/>
    </row>
    <row r="48" spans="1:57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</row>
    <row r="49" spans="1:57" s="479" customFormat="1" ht="15.5">
      <c r="A49" s="1" t="s">
        <v>415</v>
      </c>
      <c r="B49" s="479" t="s">
        <v>452</v>
      </c>
    </row>
    <row r="50" spans="1:57" s="479" customFormat="1" ht="15.5">
      <c r="A50" s="1" t="s">
        <v>417</v>
      </c>
      <c r="B50" s="479" t="s">
        <v>452</v>
      </c>
    </row>
    <row r="51" spans="1:57" s="479" customFormat="1" ht="15.5">
      <c r="A51" s="1" t="s">
        <v>419</v>
      </c>
      <c r="B51" s="479" t="s">
        <v>452</v>
      </c>
    </row>
    <row r="52" spans="1:57" s="479" customFormat="1" ht="15.5">
      <c r="A52" s="1" t="s">
        <v>421</v>
      </c>
      <c r="B52" s="479" t="s">
        <v>452</v>
      </c>
    </row>
    <row r="53" spans="1:57" s="479" customFormat="1" ht="15.5">
      <c r="A53" s="1" t="s">
        <v>190</v>
      </c>
      <c r="B53" s="479" t="s">
        <v>452</v>
      </c>
    </row>
    <row r="54" spans="1:57" s="479" customFormat="1" ht="15.5">
      <c r="A54" s="1" t="s">
        <v>424</v>
      </c>
      <c r="B54" s="479" t="s">
        <v>452</v>
      </c>
    </row>
    <row r="55" spans="1:57" s="479" customFormat="1" ht="15.5">
      <c r="A55" s="1" t="s">
        <v>426</v>
      </c>
      <c r="B55" s="479" t="s">
        <v>452</v>
      </c>
    </row>
    <row r="56" spans="1:57" s="479" customFormat="1" ht="15.5">
      <c r="A56" s="1" t="s">
        <v>428</v>
      </c>
      <c r="B56" s="479" t="s">
        <v>452</v>
      </c>
    </row>
    <row r="57" spans="1:57" s="479" customFormat="1" ht="15.5">
      <c r="A57" s="1" t="s">
        <v>430</v>
      </c>
      <c r="B57" s="479" t="s">
        <v>452</v>
      </c>
    </row>
    <row r="58" spans="1:57" s="479" customFormat="1" ht="15.5">
      <c r="A58" s="1" t="s">
        <v>432</v>
      </c>
      <c r="B58" s="479" t="s">
        <v>452</v>
      </c>
    </row>
    <row r="59" spans="1:57" s="479" customFormat="1" ht="15.5">
      <c r="A59" s="124" t="s">
        <v>354</v>
      </c>
      <c r="B59" s="480" t="s">
        <v>453</v>
      </c>
    </row>
    <row r="60" spans="1:57" s="479" customFormat="1" ht="15.5">
      <c r="A60" s="124" t="s">
        <v>356</v>
      </c>
      <c r="B60" s="480" t="s">
        <v>453</v>
      </c>
    </row>
    <row r="61" spans="1:57" s="479" customFormat="1" ht="15.5">
      <c r="A61" s="124" t="s">
        <v>70</v>
      </c>
      <c r="B61" s="480" t="s">
        <v>453</v>
      </c>
    </row>
    <row r="62" spans="1:57" s="479" customFormat="1" ht="15.5">
      <c r="A62" s="481" t="s">
        <v>368</v>
      </c>
      <c r="B62" s="480" t="s">
        <v>453</v>
      </c>
    </row>
    <row r="63" spans="1:57" s="479" customFormat="1" ht="15.5">
      <c r="A63" s="481" t="s">
        <v>369</v>
      </c>
      <c r="B63" s="480" t="s">
        <v>453</v>
      </c>
    </row>
    <row r="64" spans="1:57" s="479" customFormat="1" ht="15.5">
      <c r="A64" s="481" t="s">
        <v>370</v>
      </c>
      <c r="B64" s="480" t="s">
        <v>453</v>
      </c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  <c r="AY64" s="482"/>
      <c r="AZ64" s="482"/>
      <c r="BA64" s="482"/>
      <c r="BB64" s="482"/>
      <c r="BC64" s="482"/>
      <c r="BD64" s="482"/>
      <c r="BE64" s="482"/>
    </row>
    <row r="65" spans="1:57" s="479" customFormat="1">
      <c r="A65" s="482"/>
      <c r="B65" s="482"/>
      <c r="C65" s="482"/>
      <c r="D65" s="482"/>
      <c r="E65" s="482"/>
      <c r="F65" s="482"/>
      <c r="G65" s="482"/>
      <c r="H65" s="482"/>
      <c r="I65" s="482"/>
      <c r="J65" s="482"/>
      <c r="K65" s="482"/>
      <c r="L65" s="482"/>
      <c r="M65" s="482"/>
      <c r="N65" s="482"/>
      <c r="O65" s="482"/>
      <c r="P65" s="482"/>
      <c r="Q65" s="482"/>
      <c r="R65" s="482"/>
      <c r="S65" s="482"/>
      <c r="T65" s="482"/>
      <c r="U65" s="482"/>
      <c r="V65" s="482"/>
      <c r="W65" s="482"/>
      <c r="X65" s="482"/>
      <c r="Y65" s="482"/>
      <c r="Z65" s="482"/>
      <c r="AA65" s="482"/>
      <c r="AB65" s="482"/>
      <c r="AC65" s="482"/>
      <c r="AD65" s="482"/>
      <c r="AE65" s="482"/>
      <c r="AF65" s="482"/>
      <c r="AG65" s="482"/>
      <c r="AH65" s="482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  <c r="AY65" s="482"/>
      <c r="AZ65" s="482"/>
      <c r="BA65" s="482"/>
      <c r="BB65" s="482"/>
      <c r="BC65" s="482"/>
      <c r="BD65" s="482"/>
      <c r="BE65" s="482"/>
    </row>
    <row r="67" spans="1:57" ht="15.5">
      <c r="A67" s="1" t="str">
        <f>VLOOKUP(A46,A49:B64,2,FALSE)</f>
        <v>OK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4AE-A2B9-42CC-BF1E-6F9D0E6C03F9}">
  <sheetPr codeName="Sheet12"/>
  <dimension ref="A1:AL410"/>
  <sheetViews>
    <sheetView topLeftCell="H372" workbookViewId="0">
      <selection activeCell="M382" sqref="M382"/>
    </sheetView>
  </sheetViews>
  <sheetFormatPr defaultColWidth="8.7265625" defaultRowHeight="12.5"/>
  <cols>
    <col min="1" max="1" width="9.453125" style="285" bestFit="1" customWidth="1"/>
    <col min="2" max="2" width="8.7265625" style="285"/>
    <col min="3" max="3" width="9.26953125" style="285" bestFit="1" customWidth="1"/>
    <col min="4" max="4" width="8.7265625" style="285"/>
    <col min="5" max="5" width="9.453125" style="285" bestFit="1" customWidth="1"/>
    <col min="6" max="7" width="8.7265625" style="285"/>
    <col min="8" max="8" width="9.453125" style="285" bestFit="1" customWidth="1"/>
    <col min="9" max="17" width="8.7265625" style="285"/>
    <col min="18" max="18" width="10" style="285" bestFit="1" customWidth="1"/>
    <col min="19" max="19" width="8.7265625" style="285"/>
    <col min="20" max="20" width="10" style="285" bestFit="1" customWidth="1"/>
    <col min="21" max="21" width="8.81640625" style="285" customWidth="1"/>
    <col min="22" max="16384" width="8.7265625" style="285"/>
  </cols>
  <sheetData>
    <row r="1" spans="1:24" ht="18" thickBot="1">
      <c r="A1" s="1234" t="s">
        <v>454</v>
      </c>
      <c r="B1" s="1235"/>
      <c r="C1" s="1235"/>
      <c r="D1" s="1235"/>
      <c r="E1" s="1235"/>
      <c r="F1" s="1235"/>
      <c r="G1" s="1235"/>
      <c r="H1" s="1235"/>
      <c r="I1" s="1235"/>
      <c r="J1" s="1235"/>
      <c r="K1" s="1235"/>
      <c r="L1" s="1235"/>
      <c r="M1" s="1235"/>
      <c r="N1" s="1235"/>
      <c r="O1" s="1235"/>
      <c r="P1" s="1235"/>
      <c r="Q1" s="1235"/>
      <c r="R1" s="1235"/>
      <c r="S1" s="1235"/>
      <c r="T1" s="1235"/>
      <c r="U1" s="1235"/>
    </row>
    <row r="2" spans="1:24">
      <c r="A2" s="1232">
        <v>1</v>
      </c>
      <c r="B2" s="1233" t="s">
        <v>455</v>
      </c>
      <c r="C2" s="1233"/>
      <c r="D2" s="1233"/>
      <c r="E2" s="1233"/>
      <c r="F2" s="1233"/>
      <c r="G2" s="1233"/>
      <c r="I2" s="1233" t="str">
        <f>B2</f>
        <v>KOREKSI KIMO THERMOHYGROMETER 15062873</v>
      </c>
      <c r="J2" s="1233"/>
      <c r="K2" s="1233"/>
      <c r="L2" s="1233"/>
      <c r="M2" s="1233"/>
      <c r="N2" s="1233"/>
      <c r="P2" s="1233" t="str">
        <f>I2</f>
        <v>KOREKSI KIMO THERMOHYGROMETER 15062873</v>
      </c>
      <c r="Q2" s="1233"/>
      <c r="R2" s="1233"/>
      <c r="S2" s="1233"/>
      <c r="T2" s="1233"/>
      <c r="U2" s="1233"/>
      <c r="W2" s="1227" t="s">
        <v>371</v>
      </c>
      <c r="X2" s="1228"/>
    </row>
    <row r="3" spans="1:24" ht="13">
      <c r="A3" s="1232"/>
      <c r="B3" s="1229" t="s">
        <v>456</v>
      </c>
      <c r="C3" s="1229"/>
      <c r="D3" s="1229" t="s">
        <v>457</v>
      </c>
      <c r="E3" s="1229"/>
      <c r="F3" s="1229"/>
      <c r="G3" s="1229" t="s">
        <v>357</v>
      </c>
      <c r="I3" s="1229" t="s">
        <v>458</v>
      </c>
      <c r="J3" s="1229"/>
      <c r="K3" s="1229" t="s">
        <v>457</v>
      </c>
      <c r="L3" s="1229"/>
      <c r="M3" s="1229"/>
      <c r="N3" s="1229" t="s">
        <v>357</v>
      </c>
      <c r="P3" s="1229" t="s">
        <v>459</v>
      </c>
      <c r="Q3" s="1229"/>
      <c r="R3" s="1229" t="s">
        <v>457</v>
      </c>
      <c r="S3" s="1229"/>
      <c r="T3" s="1229"/>
      <c r="U3" s="1229" t="s">
        <v>357</v>
      </c>
      <c r="W3" s="347" t="s">
        <v>456</v>
      </c>
      <c r="X3" s="348">
        <v>0.5</v>
      </c>
    </row>
    <row r="4" spans="1:24" ht="14.5">
      <c r="A4" s="1232"/>
      <c r="B4" s="1230" t="s">
        <v>460</v>
      </c>
      <c r="C4" s="1230"/>
      <c r="D4" s="349">
        <v>2023</v>
      </c>
      <c r="E4" s="349">
        <v>2021</v>
      </c>
      <c r="F4" s="349">
        <v>2020</v>
      </c>
      <c r="G4" s="1229"/>
      <c r="I4" s="1231" t="s">
        <v>15</v>
      </c>
      <c r="J4" s="1230"/>
      <c r="K4" s="349">
        <f>D4</f>
        <v>2023</v>
      </c>
      <c r="L4" s="349">
        <f>E4</f>
        <v>2021</v>
      </c>
      <c r="M4" s="349">
        <f>F4</f>
        <v>2020</v>
      </c>
      <c r="N4" s="1229"/>
      <c r="P4" s="1231" t="s">
        <v>461</v>
      </c>
      <c r="Q4" s="1230"/>
      <c r="R4" s="349">
        <f>K4</f>
        <v>2023</v>
      </c>
      <c r="S4" s="349">
        <f>L4</f>
        <v>2021</v>
      </c>
      <c r="T4" s="349">
        <v>2016</v>
      </c>
      <c r="U4" s="1229"/>
      <c r="W4" s="347" t="s">
        <v>15</v>
      </c>
      <c r="X4" s="348">
        <v>2.6</v>
      </c>
    </row>
    <row r="5" spans="1:24" ht="13.5" thickBot="1">
      <c r="A5" s="1232"/>
      <c r="B5" s="665">
        <v>1</v>
      </c>
      <c r="C5" s="322">
        <v>15</v>
      </c>
      <c r="D5" s="350">
        <v>0.3</v>
      </c>
      <c r="E5" s="350">
        <v>0.1</v>
      </c>
      <c r="F5" s="350">
        <v>-0.5</v>
      </c>
      <c r="G5" s="351">
        <f>0.5*(MAX(D5:F5)-MIN(D5:F5))</f>
        <v>0.4</v>
      </c>
      <c r="I5" s="665">
        <v>1</v>
      </c>
      <c r="J5" s="322">
        <v>30</v>
      </c>
      <c r="K5" s="350"/>
      <c r="L5" s="350">
        <v>-14.4</v>
      </c>
      <c r="M5" s="350">
        <v>-6</v>
      </c>
      <c r="N5" s="351">
        <f>0.5*(MAX(K5:M5)-MIN(K5:M5))</f>
        <v>4.2</v>
      </c>
      <c r="P5" s="665">
        <v>1</v>
      </c>
      <c r="Q5" s="322">
        <v>750</v>
      </c>
      <c r="R5" s="352" t="s">
        <v>101</v>
      </c>
      <c r="S5" s="352" t="s">
        <v>101</v>
      </c>
      <c r="T5" s="322">
        <v>9.9999999999999995E-7</v>
      </c>
      <c r="U5" s="351">
        <f>0.5*(MAX(R5:T5)-MIN(R5:T5))</f>
        <v>0</v>
      </c>
      <c r="W5" s="353" t="s">
        <v>461</v>
      </c>
      <c r="X5" s="320">
        <v>0</v>
      </c>
    </row>
    <row r="6" spans="1:24" ht="13">
      <c r="A6" s="1232"/>
      <c r="B6" s="665">
        <v>2</v>
      </c>
      <c r="C6" s="322">
        <v>20</v>
      </c>
      <c r="D6" s="350">
        <v>0</v>
      </c>
      <c r="E6" s="350">
        <v>0.1</v>
      </c>
      <c r="F6" s="350">
        <v>-0.2</v>
      </c>
      <c r="G6" s="351">
        <f t="shared" ref="G6:G11" si="0">0.5*(MAX(D6:F6)-MIN(D6:F6))</f>
        <v>0.15000000000000002</v>
      </c>
      <c r="I6" s="665">
        <v>2</v>
      </c>
      <c r="J6" s="322">
        <v>40</v>
      </c>
      <c r="K6" s="350">
        <v>-5.9</v>
      </c>
      <c r="L6" s="350">
        <v>-11.5</v>
      </c>
      <c r="M6" s="350">
        <v>-5.8</v>
      </c>
      <c r="N6" s="351">
        <f t="shared" ref="N6:N11" si="1">0.5*(MAX(K6:M6)-MIN(K6:M6))</f>
        <v>2.85</v>
      </c>
      <c r="P6" s="665">
        <v>2</v>
      </c>
      <c r="Q6" s="322">
        <v>800</v>
      </c>
      <c r="R6" s="352" t="s">
        <v>101</v>
      </c>
      <c r="S6" s="352" t="s">
        <v>101</v>
      </c>
      <c r="T6" s="322">
        <v>9.9999999999999995E-7</v>
      </c>
      <c r="U6" s="351">
        <f t="shared" ref="U6:U11" si="2">0.5*(MAX(R6:T6)-MIN(R6:T6))</f>
        <v>0</v>
      </c>
    </row>
    <row r="7" spans="1:24" ht="13">
      <c r="A7" s="1232"/>
      <c r="B7" s="665">
        <v>3</v>
      </c>
      <c r="C7" s="322">
        <v>25</v>
      </c>
      <c r="D7" s="350">
        <v>-0.1</v>
      </c>
      <c r="E7" s="350">
        <v>0.1</v>
      </c>
      <c r="F7" s="350">
        <v>9.9999999999999995E-7</v>
      </c>
      <c r="G7" s="351">
        <f t="shared" si="0"/>
        <v>0.1</v>
      </c>
      <c r="I7" s="665">
        <v>3</v>
      </c>
      <c r="J7" s="322">
        <v>50</v>
      </c>
      <c r="K7" s="350">
        <v>-6.6</v>
      </c>
      <c r="L7" s="350">
        <v>-9.1</v>
      </c>
      <c r="M7" s="350">
        <v>-5.3</v>
      </c>
      <c r="N7" s="351">
        <f t="shared" si="1"/>
        <v>1.9</v>
      </c>
      <c r="P7" s="665">
        <v>3</v>
      </c>
      <c r="Q7" s="322">
        <v>850</v>
      </c>
      <c r="R7" s="352" t="s">
        <v>101</v>
      </c>
      <c r="S7" s="352" t="s">
        <v>101</v>
      </c>
      <c r="T7" s="322">
        <v>9.9999999999999995E-7</v>
      </c>
      <c r="U7" s="351">
        <f t="shared" si="2"/>
        <v>0</v>
      </c>
    </row>
    <row r="8" spans="1:24" ht="13">
      <c r="A8" s="1232"/>
      <c r="B8" s="665">
        <v>4</v>
      </c>
      <c r="C8" s="325">
        <v>30</v>
      </c>
      <c r="D8" s="326">
        <v>-0.1</v>
      </c>
      <c r="E8" s="326">
        <v>0</v>
      </c>
      <c r="F8" s="326">
        <v>9.9999999999999995E-7</v>
      </c>
      <c r="G8" s="351">
        <f t="shared" si="0"/>
        <v>5.0000500000000003E-2</v>
      </c>
      <c r="I8" s="665">
        <v>4</v>
      </c>
      <c r="J8" s="325">
        <v>60</v>
      </c>
      <c r="K8" s="326">
        <v>-6</v>
      </c>
      <c r="L8" s="326">
        <v>-6.9</v>
      </c>
      <c r="M8" s="326">
        <v>-4.4000000000000004</v>
      </c>
      <c r="N8" s="351">
        <f t="shared" si="1"/>
        <v>1.25</v>
      </c>
      <c r="P8" s="665">
        <v>4</v>
      </c>
      <c r="Q8" s="325">
        <v>900</v>
      </c>
      <c r="R8" s="326" t="s">
        <v>101</v>
      </c>
      <c r="S8" s="352" t="s">
        <v>101</v>
      </c>
      <c r="T8" s="322">
        <v>9.9999999999999995E-7</v>
      </c>
      <c r="U8" s="351">
        <f t="shared" si="2"/>
        <v>0</v>
      </c>
    </row>
    <row r="9" spans="1:24" ht="13">
      <c r="A9" s="1232"/>
      <c r="B9" s="665">
        <v>5</v>
      </c>
      <c r="C9" s="325">
        <v>35</v>
      </c>
      <c r="D9" s="326">
        <v>0</v>
      </c>
      <c r="E9" s="326">
        <v>-0.2</v>
      </c>
      <c r="F9" s="326">
        <v>-0.1</v>
      </c>
      <c r="G9" s="351">
        <f t="shared" si="0"/>
        <v>0.1</v>
      </c>
      <c r="I9" s="665">
        <v>5</v>
      </c>
      <c r="J9" s="325">
        <v>70</v>
      </c>
      <c r="K9" s="326">
        <v>-4</v>
      </c>
      <c r="L9" s="326">
        <v>-5.0999999999999996</v>
      </c>
      <c r="M9" s="326">
        <v>-3.2</v>
      </c>
      <c r="N9" s="351">
        <f t="shared" si="1"/>
        <v>0.94999999999999973</v>
      </c>
      <c r="P9" s="665">
        <v>5</v>
      </c>
      <c r="Q9" s="325">
        <v>1000</v>
      </c>
      <c r="R9" s="326" t="s">
        <v>101</v>
      </c>
      <c r="S9" s="352" t="s">
        <v>101</v>
      </c>
      <c r="T9" s="322">
        <v>9.9999999999999995E-7</v>
      </c>
      <c r="U9" s="351">
        <f t="shared" si="2"/>
        <v>0</v>
      </c>
    </row>
    <row r="10" spans="1:24" ht="13">
      <c r="A10" s="1232"/>
      <c r="B10" s="665">
        <v>6</v>
      </c>
      <c r="C10" s="325">
        <v>37</v>
      </c>
      <c r="D10" s="326">
        <v>0.1</v>
      </c>
      <c r="E10" s="326">
        <v>-0.3</v>
      </c>
      <c r="F10" s="326">
        <v>-0.2</v>
      </c>
      <c r="G10" s="351">
        <f t="shared" si="0"/>
        <v>0.2</v>
      </c>
      <c r="I10" s="665">
        <v>6</v>
      </c>
      <c r="J10" s="325">
        <v>80</v>
      </c>
      <c r="K10" s="326">
        <v>-0.7</v>
      </c>
      <c r="L10" s="326">
        <v>-3.7</v>
      </c>
      <c r="M10" s="326">
        <v>-1.6</v>
      </c>
      <c r="N10" s="351">
        <f t="shared" si="1"/>
        <v>1.5</v>
      </c>
      <c r="P10" s="665">
        <v>6</v>
      </c>
      <c r="Q10" s="325">
        <v>1005</v>
      </c>
      <c r="R10" s="326" t="s">
        <v>101</v>
      </c>
      <c r="S10" s="352" t="s">
        <v>101</v>
      </c>
      <c r="T10" s="322">
        <v>9.9999999999999995E-7</v>
      </c>
      <c r="U10" s="351">
        <f t="shared" si="2"/>
        <v>0</v>
      </c>
    </row>
    <row r="11" spans="1:24" ht="13.5" thickBot="1">
      <c r="A11" s="1232"/>
      <c r="B11" s="665">
        <v>7</v>
      </c>
      <c r="C11" s="325">
        <v>40</v>
      </c>
      <c r="D11" s="326">
        <v>0.3</v>
      </c>
      <c r="E11" s="326">
        <v>-0.4</v>
      </c>
      <c r="F11" s="326">
        <v>-0.3</v>
      </c>
      <c r="G11" s="351">
        <f t="shared" si="0"/>
        <v>0.35</v>
      </c>
      <c r="I11" s="665">
        <v>7</v>
      </c>
      <c r="J11" s="325">
        <v>90</v>
      </c>
      <c r="K11" s="326">
        <v>4</v>
      </c>
      <c r="L11" s="326">
        <v>-2.7</v>
      </c>
      <c r="M11" s="326">
        <v>0.3</v>
      </c>
      <c r="N11" s="351">
        <f t="shared" si="1"/>
        <v>3.35</v>
      </c>
      <c r="P11" s="665">
        <v>7</v>
      </c>
      <c r="Q11" s="325">
        <v>1020</v>
      </c>
      <c r="R11" s="326" t="s">
        <v>101</v>
      </c>
      <c r="S11" s="352" t="s">
        <v>101</v>
      </c>
      <c r="T11" s="322">
        <v>9.9999999999999995E-7</v>
      </c>
      <c r="U11" s="351">
        <f t="shared" si="2"/>
        <v>0</v>
      </c>
    </row>
    <row r="12" spans="1:24" ht="13.5" thickBot="1">
      <c r="A12" s="354"/>
      <c r="B12" s="324"/>
      <c r="O12" s="355"/>
      <c r="P12" s="327"/>
    </row>
    <row r="13" spans="1:24">
      <c r="A13" s="1232">
        <v>2</v>
      </c>
      <c r="B13" s="1233" t="s">
        <v>462</v>
      </c>
      <c r="C13" s="1233"/>
      <c r="D13" s="1233"/>
      <c r="E13" s="1233"/>
      <c r="F13" s="1233"/>
      <c r="G13" s="1233"/>
      <c r="I13" s="1233" t="str">
        <f>B13</f>
        <v>KOREKSI KIMO THERMOHYGROMETER 15062874</v>
      </c>
      <c r="J13" s="1233"/>
      <c r="K13" s="1233"/>
      <c r="L13" s="1233"/>
      <c r="M13" s="1233"/>
      <c r="N13" s="1233"/>
      <c r="P13" s="1233" t="str">
        <f>I13</f>
        <v>KOREKSI KIMO THERMOHYGROMETER 15062874</v>
      </c>
      <c r="Q13" s="1233"/>
      <c r="R13" s="1233"/>
      <c r="S13" s="1233"/>
      <c r="T13" s="1233"/>
      <c r="U13" s="1233"/>
      <c r="W13" s="1227" t="s">
        <v>371</v>
      </c>
      <c r="X13" s="1228"/>
    </row>
    <row r="14" spans="1:24" ht="13">
      <c r="A14" s="1232"/>
      <c r="B14" s="1229" t="s">
        <v>456</v>
      </c>
      <c r="C14" s="1229"/>
      <c r="D14" s="1229" t="s">
        <v>457</v>
      </c>
      <c r="E14" s="1229"/>
      <c r="F14" s="1229"/>
      <c r="G14" s="1229" t="s">
        <v>357</v>
      </c>
      <c r="I14" s="1229" t="s">
        <v>458</v>
      </c>
      <c r="J14" s="1229"/>
      <c r="K14" s="1229" t="s">
        <v>457</v>
      </c>
      <c r="L14" s="1229"/>
      <c r="M14" s="1229"/>
      <c r="N14" s="1229" t="s">
        <v>357</v>
      </c>
      <c r="P14" s="1229" t="s">
        <v>459</v>
      </c>
      <c r="Q14" s="1229"/>
      <c r="R14" s="1229" t="s">
        <v>457</v>
      </c>
      <c r="S14" s="1229"/>
      <c r="T14" s="1229"/>
      <c r="U14" s="1229" t="s">
        <v>357</v>
      </c>
      <c r="W14" s="347" t="s">
        <v>456</v>
      </c>
      <c r="X14" s="348">
        <v>0.5</v>
      </c>
    </row>
    <row r="15" spans="1:24" ht="14.5">
      <c r="A15" s="1232"/>
      <c r="B15" s="1230" t="s">
        <v>460</v>
      </c>
      <c r="C15" s="1230"/>
      <c r="D15" s="349">
        <v>2023</v>
      </c>
      <c r="E15" s="349">
        <v>2021</v>
      </c>
      <c r="F15" s="349">
        <v>2018</v>
      </c>
      <c r="G15" s="1229"/>
      <c r="I15" s="1231" t="s">
        <v>15</v>
      </c>
      <c r="J15" s="1230"/>
      <c r="K15" s="349">
        <f>D15</f>
        <v>2023</v>
      </c>
      <c r="L15" s="349">
        <f>E15</f>
        <v>2021</v>
      </c>
      <c r="M15" s="349">
        <f>F15</f>
        <v>2018</v>
      </c>
      <c r="N15" s="1229"/>
      <c r="P15" s="1231" t="s">
        <v>461</v>
      </c>
      <c r="Q15" s="1230"/>
      <c r="R15" s="349">
        <f>K15</f>
        <v>2023</v>
      </c>
      <c r="S15" s="349">
        <f>L15</f>
        <v>2021</v>
      </c>
      <c r="T15" s="349">
        <f>M15</f>
        <v>2018</v>
      </c>
      <c r="U15" s="1229"/>
      <c r="W15" s="347" t="s">
        <v>15</v>
      </c>
      <c r="X15" s="348">
        <v>3.3</v>
      </c>
    </row>
    <row r="16" spans="1:24" ht="13.5" thickBot="1">
      <c r="A16" s="1232"/>
      <c r="B16" s="665">
        <v>1</v>
      </c>
      <c r="C16" s="322">
        <v>15</v>
      </c>
      <c r="D16" s="350">
        <v>0.2</v>
      </c>
      <c r="E16" s="350">
        <v>0.4</v>
      </c>
      <c r="F16" s="350">
        <v>9.9999999999999995E-7</v>
      </c>
      <c r="G16" s="351">
        <f>0.5*(MAX(D16:F16)-MIN(D16:F16))</f>
        <v>0.19999950000000002</v>
      </c>
      <c r="I16" s="665">
        <v>1</v>
      </c>
      <c r="J16" s="322">
        <v>35</v>
      </c>
      <c r="K16" s="350">
        <v>-12.6</v>
      </c>
      <c r="L16" s="350">
        <v>-6.9</v>
      </c>
      <c r="M16" s="350">
        <v>-1.6</v>
      </c>
      <c r="N16" s="351">
        <f>0.5*(MAX(K16:M16)-MIN(K16:M16))</f>
        <v>5.5</v>
      </c>
      <c r="P16" s="665">
        <v>1</v>
      </c>
      <c r="Q16" s="322">
        <v>750</v>
      </c>
      <c r="R16" s="352" t="s">
        <v>101</v>
      </c>
      <c r="S16" s="352" t="s">
        <v>101</v>
      </c>
      <c r="T16" s="322" t="s">
        <v>101</v>
      </c>
      <c r="U16" s="351">
        <f>0.5*(MAX(R16:T16)-MIN(R16:T16))</f>
        <v>0</v>
      </c>
      <c r="W16" s="353" t="s">
        <v>461</v>
      </c>
      <c r="X16" s="320">
        <v>0</v>
      </c>
    </row>
    <row r="17" spans="1:24" ht="13">
      <c r="A17" s="1232"/>
      <c r="B17" s="665">
        <v>2</v>
      </c>
      <c r="C17" s="322">
        <v>20</v>
      </c>
      <c r="D17" s="350">
        <v>0.2</v>
      </c>
      <c r="E17" s="350">
        <v>0.7</v>
      </c>
      <c r="F17" s="350">
        <v>-0.1</v>
      </c>
      <c r="G17" s="351">
        <f t="shared" ref="G17:G22" si="3">0.5*(MAX(D17:F17)-MIN(D17:F17))</f>
        <v>0.39999999999999997</v>
      </c>
      <c r="I17" s="665">
        <v>2</v>
      </c>
      <c r="J17" s="322">
        <v>40</v>
      </c>
      <c r="K17" s="350">
        <v>-10.3</v>
      </c>
      <c r="L17" s="350">
        <v>-6.2</v>
      </c>
      <c r="M17" s="350">
        <v>-1.6</v>
      </c>
      <c r="N17" s="351">
        <f t="shared" ref="N17:N22" si="4">0.5*(MAX(K17:M17)-MIN(K17:M17))</f>
        <v>4.3500000000000005</v>
      </c>
      <c r="P17" s="665">
        <v>2</v>
      </c>
      <c r="Q17" s="322">
        <v>800</v>
      </c>
      <c r="R17" s="352" t="s">
        <v>101</v>
      </c>
      <c r="S17" s="352" t="s">
        <v>101</v>
      </c>
      <c r="T17" s="322" t="s">
        <v>101</v>
      </c>
      <c r="U17" s="351">
        <f t="shared" ref="U17:U22" si="5">0.5*(MAX(R17:T17)-MIN(R17:T17))</f>
        <v>0</v>
      </c>
    </row>
    <row r="18" spans="1:24" ht="13">
      <c r="A18" s="1232"/>
      <c r="B18" s="665">
        <v>3</v>
      </c>
      <c r="C18" s="322">
        <v>25</v>
      </c>
      <c r="D18" s="350">
        <v>0.3</v>
      </c>
      <c r="E18" s="350">
        <v>0.5</v>
      </c>
      <c r="F18" s="350">
        <v>-0.2</v>
      </c>
      <c r="G18" s="351">
        <f t="shared" si="3"/>
        <v>0.35</v>
      </c>
      <c r="I18" s="665">
        <v>3</v>
      </c>
      <c r="J18" s="322">
        <v>50</v>
      </c>
      <c r="K18" s="350">
        <v>-8</v>
      </c>
      <c r="L18" s="350">
        <v>-5.3</v>
      </c>
      <c r="M18" s="350">
        <v>-1.5</v>
      </c>
      <c r="N18" s="351">
        <f t="shared" si="4"/>
        <v>3.25</v>
      </c>
      <c r="P18" s="665">
        <v>3</v>
      </c>
      <c r="Q18" s="322">
        <v>850</v>
      </c>
      <c r="R18" s="352" t="s">
        <v>101</v>
      </c>
      <c r="S18" s="352" t="s">
        <v>101</v>
      </c>
      <c r="T18" s="322" t="s">
        <v>101</v>
      </c>
      <c r="U18" s="351">
        <f t="shared" si="5"/>
        <v>0</v>
      </c>
    </row>
    <row r="19" spans="1:24" ht="13">
      <c r="A19" s="1232"/>
      <c r="B19" s="665">
        <v>4</v>
      </c>
      <c r="C19" s="325">
        <v>30</v>
      </c>
      <c r="D19" s="326">
        <v>0.4</v>
      </c>
      <c r="E19" s="326">
        <v>0.2</v>
      </c>
      <c r="F19" s="326">
        <v>-0.3</v>
      </c>
      <c r="G19" s="351">
        <f t="shared" si="3"/>
        <v>0.35</v>
      </c>
      <c r="I19" s="665">
        <v>4</v>
      </c>
      <c r="J19" s="325">
        <v>60</v>
      </c>
      <c r="K19" s="326">
        <v>-5.7</v>
      </c>
      <c r="L19" s="326">
        <v>-4</v>
      </c>
      <c r="M19" s="326">
        <v>-1.3</v>
      </c>
      <c r="N19" s="351">
        <f t="shared" si="4"/>
        <v>2.2000000000000002</v>
      </c>
      <c r="P19" s="665">
        <v>4</v>
      </c>
      <c r="Q19" s="325">
        <v>900</v>
      </c>
      <c r="R19" s="326" t="s">
        <v>101</v>
      </c>
      <c r="S19" s="326" t="s">
        <v>101</v>
      </c>
      <c r="T19" s="322" t="s">
        <v>101</v>
      </c>
      <c r="U19" s="351">
        <f t="shared" si="5"/>
        <v>0</v>
      </c>
    </row>
    <row r="20" spans="1:24" ht="13">
      <c r="A20" s="1232"/>
      <c r="B20" s="665">
        <v>5</v>
      </c>
      <c r="C20" s="325">
        <v>35</v>
      </c>
      <c r="D20" s="326">
        <v>0.5</v>
      </c>
      <c r="E20" s="326">
        <v>-0.1</v>
      </c>
      <c r="F20" s="326">
        <v>-0.3</v>
      </c>
      <c r="G20" s="351">
        <f t="shared" si="3"/>
        <v>0.4</v>
      </c>
      <c r="I20" s="665">
        <v>5</v>
      </c>
      <c r="J20" s="325">
        <v>70</v>
      </c>
      <c r="K20" s="326">
        <v>-3.4</v>
      </c>
      <c r="L20" s="326">
        <v>-2.4</v>
      </c>
      <c r="M20" s="326">
        <v>-1.1000000000000001</v>
      </c>
      <c r="N20" s="351">
        <f t="shared" si="4"/>
        <v>1.1499999999999999</v>
      </c>
      <c r="P20" s="665">
        <v>5</v>
      </c>
      <c r="Q20" s="325">
        <v>1000</v>
      </c>
      <c r="R20" s="326" t="s">
        <v>101</v>
      </c>
      <c r="S20" s="326" t="s">
        <v>101</v>
      </c>
      <c r="T20" s="322" t="s">
        <v>101</v>
      </c>
      <c r="U20" s="351">
        <f t="shared" si="5"/>
        <v>0</v>
      </c>
    </row>
    <row r="21" spans="1:24" ht="13">
      <c r="A21" s="1232"/>
      <c r="B21" s="665">
        <v>6</v>
      </c>
      <c r="C21" s="325">
        <v>37</v>
      </c>
      <c r="D21" s="326">
        <v>0.6</v>
      </c>
      <c r="E21" s="326">
        <v>-0.2</v>
      </c>
      <c r="F21" s="326">
        <v>-0.3</v>
      </c>
      <c r="G21" s="351">
        <f t="shared" si="3"/>
        <v>0.44999999999999996</v>
      </c>
      <c r="I21" s="665">
        <v>6</v>
      </c>
      <c r="J21" s="325">
        <v>80</v>
      </c>
      <c r="K21" s="326">
        <v>-1.1000000000000001</v>
      </c>
      <c r="L21" s="326">
        <v>-0.5</v>
      </c>
      <c r="M21" s="326">
        <v>-0.7</v>
      </c>
      <c r="N21" s="351">
        <f t="shared" si="4"/>
        <v>0.30000000000000004</v>
      </c>
      <c r="P21" s="665">
        <v>6</v>
      </c>
      <c r="Q21" s="325">
        <v>1005</v>
      </c>
      <c r="R21" s="326" t="s">
        <v>101</v>
      </c>
      <c r="S21" s="326" t="s">
        <v>101</v>
      </c>
      <c r="T21" s="322" t="s">
        <v>101</v>
      </c>
      <c r="U21" s="351">
        <f t="shared" si="5"/>
        <v>0</v>
      </c>
    </row>
    <row r="22" spans="1:24" ht="13.5" thickBot="1">
      <c r="A22" s="1232"/>
      <c r="B22" s="665">
        <v>7</v>
      </c>
      <c r="C22" s="325">
        <v>40</v>
      </c>
      <c r="D22" s="326">
        <v>0.6</v>
      </c>
      <c r="E22" s="326">
        <v>-0.1</v>
      </c>
      <c r="F22" s="326">
        <v>-0.3</v>
      </c>
      <c r="G22" s="351">
        <f t="shared" si="3"/>
        <v>0.44999999999999996</v>
      </c>
      <c r="I22" s="665">
        <v>7</v>
      </c>
      <c r="J22" s="325">
        <v>90</v>
      </c>
      <c r="K22" s="326">
        <v>1.2</v>
      </c>
      <c r="L22" s="326">
        <v>1.7</v>
      </c>
      <c r="M22" s="326">
        <v>-0.3</v>
      </c>
      <c r="N22" s="351">
        <f t="shared" si="4"/>
        <v>1</v>
      </c>
      <c r="P22" s="665">
        <v>7</v>
      </c>
      <c r="Q22" s="325">
        <v>1020</v>
      </c>
      <c r="R22" s="326" t="s">
        <v>101</v>
      </c>
      <c r="S22" s="326" t="s">
        <v>101</v>
      </c>
      <c r="T22" s="322" t="s">
        <v>101</v>
      </c>
      <c r="U22" s="351">
        <f t="shared" si="5"/>
        <v>0</v>
      </c>
    </row>
    <row r="23" spans="1:24" ht="13.5" thickBot="1">
      <c r="A23" s="354"/>
      <c r="B23" s="324"/>
      <c r="O23" s="355"/>
      <c r="P23" s="327"/>
    </row>
    <row r="24" spans="1:24">
      <c r="A24" s="1239">
        <v>3</v>
      </c>
      <c r="B24" s="1233" t="s">
        <v>463</v>
      </c>
      <c r="C24" s="1233"/>
      <c r="D24" s="1233"/>
      <c r="E24" s="1233"/>
      <c r="F24" s="1233"/>
      <c r="G24" s="1233"/>
      <c r="I24" s="1233" t="str">
        <f>B24</f>
        <v>KOREKSI KIMO THERMOHYGROMETER 14082463</v>
      </c>
      <c r="J24" s="1233"/>
      <c r="K24" s="1233"/>
      <c r="L24" s="1233"/>
      <c r="M24" s="1233"/>
      <c r="N24" s="1233"/>
      <c r="P24" s="1233" t="str">
        <f>I24</f>
        <v>KOREKSI KIMO THERMOHYGROMETER 14082463</v>
      </c>
      <c r="Q24" s="1233"/>
      <c r="R24" s="1233"/>
      <c r="S24" s="1233"/>
      <c r="T24" s="1233"/>
      <c r="U24" s="1233"/>
      <c r="W24" s="1227" t="s">
        <v>371</v>
      </c>
      <c r="X24" s="1228"/>
    </row>
    <row r="25" spans="1:24" ht="13">
      <c r="A25" s="1240"/>
      <c r="B25" s="1229" t="s">
        <v>456</v>
      </c>
      <c r="C25" s="1229"/>
      <c r="D25" s="1229" t="s">
        <v>457</v>
      </c>
      <c r="E25" s="1229"/>
      <c r="F25" s="1229"/>
      <c r="G25" s="1229" t="s">
        <v>357</v>
      </c>
      <c r="I25" s="1229" t="s">
        <v>458</v>
      </c>
      <c r="J25" s="1229"/>
      <c r="K25" s="1229" t="s">
        <v>457</v>
      </c>
      <c r="L25" s="1229"/>
      <c r="M25" s="1229"/>
      <c r="N25" s="1229" t="s">
        <v>357</v>
      </c>
      <c r="P25" s="1229" t="s">
        <v>459</v>
      </c>
      <c r="Q25" s="1229"/>
      <c r="R25" s="1229" t="s">
        <v>457</v>
      </c>
      <c r="S25" s="1229"/>
      <c r="T25" s="1229"/>
      <c r="U25" s="1229" t="s">
        <v>357</v>
      </c>
      <c r="W25" s="347" t="s">
        <v>456</v>
      </c>
      <c r="X25" s="348">
        <v>0.5</v>
      </c>
    </row>
    <row r="26" spans="1:24" ht="14.5">
      <c r="A26" s="1240"/>
      <c r="B26" s="1230" t="s">
        <v>460</v>
      </c>
      <c r="C26" s="1230"/>
      <c r="D26" s="349">
        <v>2023</v>
      </c>
      <c r="E26" s="349">
        <v>2021</v>
      </c>
      <c r="F26" s="349">
        <v>2018</v>
      </c>
      <c r="G26" s="1229"/>
      <c r="I26" s="1231" t="s">
        <v>15</v>
      </c>
      <c r="J26" s="1230"/>
      <c r="K26" s="349">
        <f>D26</f>
        <v>2023</v>
      </c>
      <c r="L26" s="349">
        <f>E26</f>
        <v>2021</v>
      </c>
      <c r="M26" s="349">
        <f>F26</f>
        <v>2018</v>
      </c>
      <c r="N26" s="1229"/>
      <c r="P26" s="1231" t="s">
        <v>461</v>
      </c>
      <c r="Q26" s="1230"/>
      <c r="R26" s="349">
        <f>K26</f>
        <v>2023</v>
      </c>
      <c r="S26" s="349">
        <f>L26</f>
        <v>2021</v>
      </c>
      <c r="T26" s="349">
        <f>M26</f>
        <v>2018</v>
      </c>
      <c r="U26" s="1229"/>
      <c r="W26" s="347" t="s">
        <v>15</v>
      </c>
      <c r="X26" s="348">
        <v>2.4</v>
      </c>
    </row>
    <row r="27" spans="1:24" ht="13.5" thickBot="1">
      <c r="A27" s="1240"/>
      <c r="B27" s="665">
        <v>1</v>
      </c>
      <c r="C27" s="322">
        <v>15</v>
      </c>
      <c r="D27" s="350">
        <v>0.2</v>
      </c>
      <c r="E27" s="350">
        <v>0.4</v>
      </c>
      <c r="F27" s="350">
        <v>9.9999999999999995E-7</v>
      </c>
      <c r="G27" s="351">
        <f>0.5*(MAX(D27:F27)-MIN(D27:F27))</f>
        <v>0.19999950000000002</v>
      </c>
      <c r="I27" s="665">
        <v>1</v>
      </c>
      <c r="J27" s="322">
        <v>35</v>
      </c>
      <c r="K27" s="350">
        <v>-11.5</v>
      </c>
      <c r="L27" s="350">
        <v>-7.3</v>
      </c>
      <c r="M27" s="350">
        <v>-5.7</v>
      </c>
      <c r="N27" s="351">
        <f>0.5*(MAX(K27:M27)-MIN(K27:M27))</f>
        <v>2.9</v>
      </c>
      <c r="P27" s="665">
        <v>1</v>
      </c>
      <c r="Q27" s="322">
        <v>750</v>
      </c>
      <c r="R27" s="352" t="s">
        <v>101</v>
      </c>
      <c r="S27" s="352" t="s">
        <v>101</v>
      </c>
      <c r="T27" s="322" t="s">
        <v>101</v>
      </c>
      <c r="U27" s="351">
        <f>0.5*(MAX(R27:T27)-MIN(R27:S27))</f>
        <v>0</v>
      </c>
      <c r="W27" s="353" t="s">
        <v>461</v>
      </c>
      <c r="X27" s="320">
        <v>0</v>
      </c>
    </row>
    <row r="28" spans="1:24" ht="13">
      <c r="A28" s="1240"/>
      <c r="B28" s="665">
        <v>2</v>
      </c>
      <c r="C28" s="322">
        <v>20</v>
      </c>
      <c r="D28" s="350">
        <v>0.2</v>
      </c>
      <c r="E28" s="350">
        <v>1</v>
      </c>
      <c r="F28" s="350">
        <v>9.9999999999999995E-7</v>
      </c>
      <c r="G28" s="351">
        <f t="shared" ref="G28:G33" si="6">0.5*(MAX(D28:F28)-MIN(D28:F28))</f>
        <v>0.49999949999999999</v>
      </c>
      <c r="I28" s="665">
        <v>2</v>
      </c>
      <c r="J28" s="322">
        <v>40</v>
      </c>
      <c r="K28" s="350">
        <v>-9.6999999999999993</v>
      </c>
      <c r="L28" s="350">
        <v>-5.9</v>
      </c>
      <c r="M28" s="350">
        <v>-5.3</v>
      </c>
      <c r="N28" s="351">
        <f t="shared" ref="N28:N33" si="7">0.5*(MAX(K28:M28)-MIN(K28:M28))</f>
        <v>2.1999999999999997</v>
      </c>
      <c r="P28" s="665">
        <v>2</v>
      </c>
      <c r="Q28" s="322">
        <v>800</v>
      </c>
      <c r="R28" s="352" t="s">
        <v>101</v>
      </c>
      <c r="S28" s="352" t="s">
        <v>101</v>
      </c>
      <c r="T28" s="322" t="s">
        <v>101</v>
      </c>
      <c r="U28" s="351">
        <f t="shared" ref="U28:U33" si="8">0.5*(MAX(R28:T28)-MIN(R28:S28))</f>
        <v>0</v>
      </c>
    </row>
    <row r="29" spans="1:24" ht="13">
      <c r="A29" s="1240"/>
      <c r="B29" s="665">
        <v>3</v>
      </c>
      <c r="C29" s="322">
        <v>25</v>
      </c>
      <c r="D29" s="350">
        <v>0.3</v>
      </c>
      <c r="E29" s="350">
        <v>0.7</v>
      </c>
      <c r="F29" s="350">
        <v>-0.1</v>
      </c>
      <c r="G29" s="351">
        <f t="shared" si="6"/>
        <v>0.39999999999999997</v>
      </c>
      <c r="I29" s="665">
        <v>3</v>
      </c>
      <c r="J29" s="322">
        <v>50</v>
      </c>
      <c r="K29" s="350">
        <v>-7.9</v>
      </c>
      <c r="L29" s="350">
        <v>-4.5</v>
      </c>
      <c r="M29" s="350">
        <v>-4.9000000000000004</v>
      </c>
      <c r="N29" s="351">
        <f t="shared" si="7"/>
        <v>1.7000000000000002</v>
      </c>
      <c r="P29" s="665">
        <v>3</v>
      </c>
      <c r="Q29" s="322">
        <v>850</v>
      </c>
      <c r="R29" s="352" t="s">
        <v>101</v>
      </c>
      <c r="S29" s="352" t="s">
        <v>101</v>
      </c>
      <c r="T29" s="322" t="s">
        <v>101</v>
      </c>
      <c r="U29" s="351">
        <f t="shared" si="8"/>
        <v>0</v>
      </c>
    </row>
    <row r="30" spans="1:24" ht="13">
      <c r="A30" s="1240"/>
      <c r="B30" s="665">
        <v>4</v>
      </c>
      <c r="C30" s="325">
        <v>30</v>
      </c>
      <c r="D30" s="326">
        <v>0.3</v>
      </c>
      <c r="E30" s="326">
        <v>9.9999999999999995E-7</v>
      </c>
      <c r="F30" s="326">
        <v>-0.3</v>
      </c>
      <c r="G30" s="351">
        <f t="shared" si="6"/>
        <v>0.3</v>
      </c>
      <c r="I30" s="665">
        <v>4</v>
      </c>
      <c r="J30" s="325">
        <v>60</v>
      </c>
      <c r="K30" s="326">
        <v>-6.2</v>
      </c>
      <c r="L30" s="326">
        <v>-3.2</v>
      </c>
      <c r="M30" s="326">
        <v>-4.3</v>
      </c>
      <c r="N30" s="351">
        <f t="shared" si="7"/>
        <v>1.5</v>
      </c>
      <c r="P30" s="665">
        <v>4</v>
      </c>
      <c r="Q30" s="325">
        <v>900</v>
      </c>
      <c r="R30" s="326" t="s">
        <v>101</v>
      </c>
      <c r="S30" s="326" t="s">
        <v>101</v>
      </c>
      <c r="T30" s="322" t="s">
        <v>101</v>
      </c>
      <c r="U30" s="351">
        <f t="shared" si="8"/>
        <v>0</v>
      </c>
    </row>
    <row r="31" spans="1:24" ht="13">
      <c r="A31" s="1240"/>
      <c r="B31" s="665">
        <v>5</v>
      </c>
      <c r="C31" s="325">
        <v>35</v>
      </c>
      <c r="D31" s="326">
        <v>0.3</v>
      </c>
      <c r="E31" s="326">
        <v>-0.3</v>
      </c>
      <c r="F31" s="326">
        <v>-0.5</v>
      </c>
      <c r="G31" s="351">
        <f t="shared" si="6"/>
        <v>0.4</v>
      </c>
      <c r="I31" s="665">
        <v>5</v>
      </c>
      <c r="J31" s="325">
        <v>70</v>
      </c>
      <c r="K31" s="326">
        <v>-4.4000000000000004</v>
      </c>
      <c r="L31" s="326">
        <v>-2</v>
      </c>
      <c r="M31" s="326">
        <v>-3.6</v>
      </c>
      <c r="N31" s="351">
        <f t="shared" si="7"/>
        <v>1.2000000000000002</v>
      </c>
      <c r="P31" s="665">
        <v>5</v>
      </c>
      <c r="Q31" s="325">
        <v>1000</v>
      </c>
      <c r="R31" s="326" t="s">
        <v>101</v>
      </c>
      <c r="S31" s="326" t="s">
        <v>101</v>
      </c>
      <c r="T31" s="322" t="s">
        <v>101</v>
      </c>
      <c r="U31" s="351">
        <f t="shared" si="8"/>
        <v>0</v>
      </c>
    </row>
    <row r="32" spans="1:24" ht="13">
      <c r="A32" s="1240"/>
      <c r="B32" s="665">
        <v>6</v>
      </c>
      <c r="C32" s="325">
        <v>37</v>
      </c>
      <c r="D32" s="326">
        <v>0.3</v>
      </c>
      <c r="E32" s="326">
        <v>-0.2</v>
      </c>
      <c r="F32" s="326">
        <v>-0.6</v>
      </c>
      <c r="G32" s="351">
        <f t="shared" si="6"/>
        <v>0.44999999999999996</v>
      </c>
      <c r="I32" s="665">
        <v>6</v>
      </c>
      <c r="J32" s="325">
        <v>80</v>
      </c>
      <c r="K32" s="326">
        <v>-2.7</v>
      </c>
      <c r="L32" s="326">
        <v>-0.8</v>
      </c>
      <c r="M32" s="326">
        <v>-2.9</v>
      </c>
      <c r="N32" s="351">
        <f t="shared" si="7"/>
        <v>1.0499999999999998</v>
      </c>
      <c r="P32" s="665">
        <v>6</v>
      </c>
      <c r="Q32" s="325">
        <v>1005</v>
      </c>
      <c r="R32" s="326" t="s">
        <v>101</v>
      </c>
      <c r="S32" s="326" t="s">
        <v>101</v>
      </c>
      <c r="T32" s="322" t="s">
        <v>101</v>
      </c>
      <c r="U32" s="351">
        <f t="shared" si="8"/>
        <v>0</v>
      </c>
    </row>
    <row r="33" spans="1:24" ht="13.5" thickBot="1">
      <c r="A33" s="1241"/>
      <c r="B33" s="665">
        <v>7</v>
      </c>
      <c r="C33" s="325">
        <v>40</v>
      </c>
      <c r="D33" s="326">
        <v>0.3</v>
      </c>
      <c r="E33" s="326">
        <v>0.2</v>
      </c>
      <c r="F33" s="326">
        <v>-0.7</v>
      </c>
      <c r="G33" s="351">
        <f t="shared" si="6"/>
        <v>0.5</v>
      </c>
      <c r="I33" s="665">
        <v>7</v>
      </c>
      <c r="J33" s="325">
        <v>90</v>
      </c>
      <c r="K33" s="326">
        <v>-0.9</v>
      </c>
      <c r="L33" s="326">
        <v>0.3</v>
      </c>
      <c r="M33" s="326">
        <v>-2</v>
      </c>
      <c r="N33" s="351">
        <f t="shared" si="7"/>
        <v>1.1499999999999999</v>
      </c>
      <c r="P33" s="665">
        <v>7</v>
      </c>
      <c r="Q33" s="325">
        <v>1020</v>
      </c>
      <c r="R33" s="326" t="s">
        <v>101</v>
      </c>
      <c r="S33" s="326" t="s">
        <v>101</v>
      </c>
      <c r="T33" s="322" t="s">
        <v>101</v>
      </c>
      <c r="U33" s="351">
        <f t="shared" si="8"/>
        <v>0</v>
      </c>
    </row>
    <row r="34" spans="1:24" ht="13.5" thickBot="1">
      <c r="A34" s="354"/>
      <c r="B34" s="324"/>
      <c r="H34" s="343"/>
      <c r="O34" s="355"/>
      <c r="P34" s="327"/>
    </row>
    <row r="35" spans="1:24">
      <c r="A35" s="1236">
        <v>4</v>
      </c>
      <c r="B35" s="1233" t="s">
        <v>464</v>
      </c>
      <c r="C35" s="1233"/>
      <c r="D35" s="1233"/>
      <c r="E35" s="1233"/>
      <c r="F35" s="1233"/>
      <c r="G35" s="1233"/>
      <c r="I35" s="1233" t="str">
        <f>B35</f>
        <v>KOREKSI KIMO THERMOHYGROMETER 15062872</v>
      </c>
      <c r="J35" s="1233"/>
      <c r="K35" s="1233"/>
      <c r="L35" s="1233"/>
      <c r="M35" s="1233"/>
      <c r="N35" s="1233"/>
      <c r="P35" s="1233" t="str">
        <f>I35</f>
        <v>KOREKSI KIMO THERMOHYGROMETER 15062872</v>
      </c>
      <c r="Q35" s="1233"/>
      <c r="R35" s="1233"/>
      <c r="S35" s="1233"/>
      <c r="T35" s="1233"/>
      <c r="U35" s="1233"/>
      <c r="W35" s="1227" t="s">
        <v>371</v>
      </c>
      <c r="X35" s="1228"/>
    </row>
    <row r="36" spans="1:24" ht="13">
      <c r="A36" s="1237"/>
      <c r="B36" s="1229" t="s">
        <v>456</v>
      </c>
      <c r="C36" s="1229"/>
      <c r="D36" s="1229" t="s">
        <v>457</v>
      </c>
      <c r="E36" s="1229"/>
      <c r="F36" s="1229"/>
      <c r="G36" s="1229" t="s">
        <v>357</v>
      </c>
      <c r="I36" s="1229" t="s">
        <v>458</v>
      </c>
      <c r="J36" s="1229"/>
      <c r="K36" s="1229" t="s">
        <v>457</v>
      </c>
      <c r="L36" s="1229"/>
      <c r="M36" s="1229"/>
      <c r="N36" s="1229" t="s">
        <v>357</v>
      </c>
      <c r="P36" s="1229" t="s">
        <v>459</v>
      </c>
      <c r="Q36" s="1229"/>
      <c r="R36" s="1229" t="s">
        <v>457</v>
      </c>
      <c r="S36" s="1229"/>
      <c r="T36" s="1229"/>
      <c r="U36" s="1229" t="s">
        <v>357</v>
      </c>
      <c r="W36" s="347" t="s">
        <v>456</v>
      </c>
      <c r="X36" s="348">
        <v>0.3</v>
      </c>
    </row>
    <row r="37" spans="1:24" ht="14.5">
      <c r="A37" s="1237"/>
      <c r="B37" s="1230" t="s">
        <v>460</v>
      </c>
      <c r="C37" s="1230"/>
      <c r="D37" s="349">
        <v>2019</v>
      </c>
      <c r="E37" s="349">
        <v>2017</v>
      </c>
      <c r="F37" s="349">
        <v>2016</v>
      </c>
      <c r="G37" s="1229"/>
      <c r="I37" s="1231" t="s">
        <v>15</v>
      </c>
      <c r="J37" s="1230"/>
      <c r="K37" s="349">
        <f>D37</f>
        <v>2019</v>
      </c>
      <c r="L37" s="349">
        <f>E37</f>
        <v>2017</v>
      </c>
      <c r="M37" s="349">
        <v>2016</v>
      </c>
      <c r="N37" s="1229"/>
      <c r="P37" s="1231" t="s">
        <v>461</v>
      </c>
      <c r="Q37" s="1230"/>
      <c r="R37" s="349">
        <f>K37</f>
        <v>2019</v>
      </c>
      <c r="S37" s="349">
        <f>L37</f>
        <v>2017</v>
      </c>
      <c r="T37" s="349">
        <v>2016</v>
      </c>
      <c r="U37" s="1229"/>
      <c r="W37" s="347" t="s">
        <v>15</v>
      </c>
      <c r="X37" s="348">
        <v>1.3</v>
      </c>
    </row>
    <row r="38" spans="1:24" ht="13.5" thickBot="1">
      <c r="A38" s="1237"/>
      <c r="B38" s="665">
        <v>1</v>
      </c>
      <c r="C38" s="322">
        <v>15</v>
      </c>
      <c r="D38" s="350">
        <v>-0.2</v>
      </c>
      <c r="E38" s="350">
        <v>-0.1</v>
      </c>
      <c r="F38" s="356"/>
      <c r="G38" s="351">
        <f>0.5*(MAX(D38:F38)-MIN(D38:F38))</f>
        <v>0.05</v>
      </c>
      <c r="I38" s="665">
        <v>1</v>
      </c>
      <c r="J38" s="322">
        <v>35</v>
      </c>
      <c r="K38" s="350">
        <v>-4.5</v>
      </c>
      <c r="L38" s="350">
        <v>-1.7</v>
      </c>
      <c r="M38" s="356"/>
      <c r="N38" s="351">
        <f>0.5*(MAX(K38:M38)-MIN(K38:M38))</f>
        <v>1.4</v>
      </c>
      <c r="P38" s="665">
        <v>1</v>
      </c>
      <c r="Q38" s="322">
        <v>750</v>
      </c>
      <c r="R38" s="352" t="s">
        <v>101</v>
      </c>
      <c r="S38" s="352" t="s">
        <v>101</v>
      </c>
      <c r="T38" s="322">
        <v>9.9999999999999995E-7</v>
      </c>
      <c r="U38" s="351">
        <f>0.5*(MAX(R38:T38)-MIN(R38:T38))</f>
        <v>0</v>
      </c>
      <c r="W38" s="353" t="s">
        <v>461</v>
      </c>
      <c r="X38" s="320">
        <v>0</v>
      </c>
    </row>
    <row r="39" spans="1:24" ht="13">
      <c r="A39" s="1237"/>
      <c r="B39" s="665">
        <v>2</v>
      </c>
      <c r="C39" s="322">
        <v>20</v>
      </c>
      <c r="D39" s="350">
        <v>-0.1</v>
      </c>
      <c r="E39" s="350">
        <v>-0.3</v>
      </c>
      <c r="F39" s="356"/>
      <c r="G39" s="351">
        <f t="shared" ref="G39:G44" si="9">0.5*(MAX(D39:F39)-MIN(D39:F39))</f>
        <v>9.9999999999999992E-2</v>
      </c>
      <c r="I39" s="665">
        <v>2</v>
      </c>
      <c r="J39" s="322">
        <v>40</v>
      </c>
      <c r="K39" s="350">
        <v>-4.4000000000000004</v>
      </c>
      <c r="L39" s="350">
        <v>-1.5</v>
      </c>
      <c r="M39" s="356"/>
      <c r="N39" s="351">
        <f t="shared" ref="N39:N44" si="10">0.5*(MAX(K39:L39)-MIN(K39:L39))</f>
        <v>1.4500000000000002</v>
      </c>
      <c r="P39" s="665">
        <v>2</v>
      </c>
      <c r="Q39" s="322">
        <v>800</v>
      </c>
      <c r="R39" s="352" t="s">
        <v>101</v>
      </c>
      <c r="S39" s="352" t="s">
        <v>101</v>
      </c>
      <c r="T39" s="322">
        <v>9.9999999999999995E-7</v>
      </c>
      <c r="U39" s="351">
        <f t="shared" ref="U39:U44" si="11">0.5*(MAX(R39:T39)-MIN(R39:T39))</f>
        <v>0</v>
      </c>
    </row>
    <row r="40" spans="1:24" ht="13">
      <c r="A40" s="1237"/>
      <c r="B40" s="665">
        <v>3</v>
      </c>
      <c r="C40" s="322">
        <v>25</v>
      </c>
      <c r="D40" s="350">
        <v>-0.1</v>
      </c>
      <c r="E40" s="350">
        <v>-0.5</v>
      </c>
      <c r="F40" s="356"/>
      <c r="G40" s="351">
        <f t="shared" si="9"/>
        <v>0.2</v>
      </c>
      <c r="I40" s="665">
        <v>3</v>
      </c>
      <c r="J40" s="322">
        <v>50</v>
      </c>
      <c r="K40" s="350">
        <v>-4.3</v>
      </c>
      <c r="L40" s="350">
        <v>-1</v>
      </c>
      <c r="M40" s="356"/>
      <c r="N40" s="351">
        <f t="shared" si="10"/>
        <v>1.65</v>
      </c>
      <c r="P40" s="665">
        <v>3</v>
      </c>
      <c r="Q40" s="322">
        <v>850</v>
      </c>
      <c r="R40" s="352" t="s">
        <v>101</v>
      </c>
      <c r="S40" s="352" t="s">
        <v>101</v>
      </c>
      <c r="T40" s="322">
        <v>9.9999999999999995E-7</v>
      </c>
      <c r="U40" s="351">
        <f t="shared" si="11"/>
        <v>0</v>
      </c>
    </row>
    <row r="41" spans="1:24" ht="13">
      <c r="A41" s="1237"/>
      <c r="B41" s="665">
        <v>4</v>
      </c>
      <c r="C41" s="325">
        <v>30</v>
      </c>
      <c r="D41" s="326">
        <v>-0.1</v>
      </c>
      <c r="E41" s="326">
        <v>-0.6</v>
      </c>
      <c r="F41" s="356"/>
      <c r="G41" s="351">
        <f t="shared" si="9"/>
        <v>0.25</v>
      </c>
      <c r="I41" s="665">
        <v>4</v>
      </c>
      <c r="J41" s="325">
        <v>60</v>
      </c>
      <c r="K41" s="326">
        <v>-4.2</v>
      </c>
      <c r="L41" s="326">
        <v>-0.3</v>
      </c>
      <c r="M41" s="356"/>
      <c r="N41" s="351">
        <f t="shared" si="10"/>
        <v>1.9500000000000002</v>
      </c>
      <c r="P41" s="665">
        <v>4</v>
      </c>
      <c r="Q41" s="325">
        <v>900</v>
      </c>
      <c r="R41" s="326" t="s">
        <v>101</v>
      </c>
      <c r="S41" s="326" t="s">
        <v>101</v>
      </c>
      <c r="T41" s="322">
        <v>9.9999999999999995E-7</v>
      </c>
      <c r="U41" s="351">
        <f t="shared" si="11"/>
        <v>0</v>
      </c>
    </row>
    <row r="42" spans="1:24" ht="13">
      <c r="A42" s="1237"/>
      <c r="B42" s="665">
        <v>5</v>
      </c>
      <c r="C42" s="325">
        <v>35</v>
      </c>
      <c r="D42" s="326">
        <v>-0.3</v>
      </c>
      <c r="E42" s="326">
        <v>-0.6</v>
      </c>
      <c r="F42" s="356"/>
      <c r="G42" s="351">
        <f t="shared" si="9"/>
        <v>0.15</v>
      </c>
      <c r="I42" s="665">
        <v>5</v>
      </c>
      <c r="J42" s="325">
        <v>70</v>
      </c>
      <c r="K42" s="326">
        <v>-4</v>
      </c>
      <c r="L42" s="326">
        <v>0.7</v>
      </c>
      <c r="M42" s="356"/>
      <c r="N42" s="351">
        <f t="shared" si="10"/>
        <v>2.35</v>
      </c>
      <c r="P42" s="665">
        <v>5</v>
      </c>
      <c r="Q42" s="325">
        <v>1000</v>
      </c>
      <c r="R42" s="326" t="s">
        <v>101</v>
      </c>
      <c r="S42" s="326" t="s">
        <v>101</v>
      </c>
      <c r="T42" s="322">
        <v>9.9999999999999995E-7</v>
      </c>
      <c r="U42" s="351">
        <f t="shared" si="11"/>
        <v>0</v>
      </c>
    </row>
    <row r="43" spans="1:24" ht="13">
      <c r="A43" s="1237"/>
      <c r="B43" s="665">
        <v>6</v>
      </c>
      <c r="C43" s="325">
        <v>37</v>
      </c>
      <c r="D43" s="326">
        <v>-0.4</v>
      </c>
      <c r="E43" s="326">
        <v>-0.6</v>
      </c>
      <c r="F43" s="356"/>
      <c r="G43" s="351">
        <f t="shared" si="9"/>
        <v>9.9999999999999978E-2</v>
      </c>
      <c r="I43" s="665">
        <v>6</v>
      </c>
      <c r="J43" s="325">
        <v>80</v>
      </c>
      <c r="K43" s="326">
        <v>-3.8</v>
      </c>
      <c r="L43" s="326">
        <v>1.9</v>
      </c>
      <c r="M43" s="356"/>
      <c r="N43" s="351">
        <f t="shared" si="10"/>
        <v>2.8499999999999996</v>
      </c>
      <c r="P43" s="665">
        <v>6</v>
      </c>
      <c r="Q43" s="325">
        <v>1005</v>
      </c>
      <c r="R43" s="326" t="s">
        <v>101</v>
      </c>
      <c r="S43" s="326" t="s">
        <v>101</v>
      </c>
      <c r="T43" s="322">
        <v>9.9999999999999995E-7</v>
      </c>
      <c r="U43" s="351">
        <f t="shared" si="11"/>
        <v>0</v>
      </c>
    </row>
    <row r="44" spans="1:24" ht="13.5" thickBot="1">
      <c r="A44" s="1238"/>
      <c r="B44" s="665">
        <v>7</v>
      </c>
      <c r="C44" s="325">
        <v>40</v>
      </c>
      <c r="D44" s="326">
        <v>-0.5</v>
      </c>
      <c r="E44" s="326">
        <v>-0.6</v>
      </c>
      <c r="F44" s="356"/>
      <c r="G44" s="351">
        <f t="shared" si="9"/>
        <v>4.9999999999999989E-2</v>
      </c>
      <c r="I44" s="665">
        <v>7</v>
      </c>
      <c r="J44" s="325">
        <v>90</v>
      </c>
      <c r="K44" s="326">
        <v>-3.5</v>
      </c>
      <c r="L44" s="326">
        <v>3.3</v>
      </c>
      <c r="M44" s="356"/>
      <c r="N44" s="351">
        <f t="shared" si="10"/>
        <v>3.4</v>
      </c>
      <c r="P44" s="665">
        <v>7</v>
      </c>
      <c r="Q44" s="325">
        <v>1020</v>
      </c>
      <c r="R44" s="326" t="s">
        <v>101</v>
      </c>
      <c r="S44" s="326" t="s">
        <v>101</v>
      </c>
      <c r="T44" s="322">
        <v>9.9999999999999995E-7</v>
      </c>
      <c r="U44" s="351">
        <f t="shared" si="11"/>
        <v>0</v>
      </c>
    </row>
    <row r="45" spans="1:24" ht="13.5" thickBot="1">
      <c r="A45" s="354"/>
      <c r="B45" s="324"/>
      <c r="O45" s="355"/>
      <c r="P45" s="327"/>
    </row>
    <row r="46" spans="1:24">
      <c r="A46" s="1239">
        <v>5</v>
      </c>
      <c r="B46" s="1233" t="s">
        <v>465</v>
      </c>
      <c r="C46" s="1233"/>
      <c r="D46" s="1233"/>
      <c r="E46" s="1233"/>
      <c r="F46" s="1233"/>
      <c r="G46" s="1233"/>
      <c r="I46" s="1233" t="str">
        <f>B46</f>
        <v>KOREKSI KIMO THERMOHYGROMETER 15062875</v>
      </c>
      <c r="J46" s="1233"/>
      <c r="K46" s="1233"/>
      <c r="L46" s="1233"/>
      <c r="M46" s="1233"/>
      <c r="N46" s="1233"/>
      <c r="P46" s="1233" t="str">
        <f>I46</f>
        <v>KOREKSI KIMO THERMOHYGROMETER 15062875</v>
      </c>
      <c r="Q46" s="1233"/>
      <c r="R46" s="1233"/>
      <c r="S46" s="1233"/>
      <c r="T46" s="1233"/>
      <c r="U46" s="1233"/>
      <c r="W46" s="1227" t="s">
        <v>371</v>
      </c>
      <c r="X46" s="1228"/>
    </row>
    <row r="47" spans="1:24" ht="13">
      <c r="A47" s="1240"/>
      <c r="B47" s="1229" t="s">
        <v>456</v>
      </c>
      <c r="C47" s="1229"/>
      <c r="D47" s="1229" t="s">
        <v>457</v>
      </c>
      <c r="E47" s="1229"/>
      <c r="F47" s="1229"/>
      <c r="G47" s="1229" t="s">
        <v>357</v>
      </c>
      <c r="I47" s="1229" t="s">
        <v>458</v>
      </c>
      <c r="J47" s="1229"/>
      <c r="K47" s="1229" t="s">
        <v>457</v>
      </c>
      <c r="L47" s="1229"/>
      <c r="M47" s="1229"/>
      <c r="N47" s="1229" t="s">
        <v>357</v>
      </c>
      <c r="P47" s="1229" t="s">
        <v>459</v>
      </c>
      <c r="Q47" s="1229"/>
      <c r="R47" s="1229" t="s">
        <v>457</v>
      </c>
      <c r="S47" s="1229"/>
      <c r="T47" s="1229"/>
      <c r="U47" s="1229" t="s">
        <v>357</v>
      </c>
      <c r="W47" s="347" t="s">
        <v>456</v>
      </c>
      <c r="X47" s="348">
        <v>0.3</v>
      </c>
    </row>
    <row r="48" spans="1:24" ht="14.5">
      <c r="A48" s="1240"/>
      <c r="B48" s="1230" t="s">
        <v>460</v>
      </c>
      <c r="C48" s="1230"/>
      <c r="D48" s="349">
        <v>2023</v>
      </c>
      <c r="E48" s="349">
        <v>2021</v>
      </c>
      <c r="F48" s="349">
        <v>2020</v>
      </c>
      <c r="G48" s="1229"/>
      <c r="I48" s="1231" t="s">
        <v>15</v>
      </c>
      <c r="J48" s="1230"/>
      <c r="K48" s="349">
        <f>D48</f>
        <v>2023</v>
      </c>
      <c r="L48" s="349">
        <f>E48</f>
        <v>2021</v>
      </c>
      <c r="M48" s="349">
        <f>F48</f>
        <v>2020</v>
      </c>
      <c r="N48" s="1229"/>
      <c r="P48" s="1231" t="s">
        <v>461</v>
      </c>
      <c r="Q48" s="1230"/>
      <c r="R48" s="349">
        <f>K48</f>
        <v>2023</v>
      </c>
      <c r="S48" s="349">
        <f>L48</f>
        <v>2021</v>
      </c>
      <c r="T48" s="349">
        <f>M48</f>
        <v>2020</v>
      </c>
      <c r="U48" s="1229"/>
      <c r="W48" s="347" t="s">
        <v>15</v>
      </c>
      <c r="X48" s="348">
        <v>2.2999999999999998</v>
      </c>
    </row>
    <row r="49" spans="1:24" ht="13.5" thickBot="1">
      <c r="A49" s="1240"/>
      <c r="B49" s="665">
        <v>1</v>
      </c>
      <c r="C49" s="322">
        <v>15</v>
      </c>
      <c r="D49" s="350">
        <v>0.3</v>
      </c>
      <c r="E49" s="350">
        <v>-0.1</v>
      </c>
      <c r="F49" s="350">
        <v>-0.3</v>
      </c>
      <c r="G49" s="351">
        <f>0.5*(MAX(D49:F49)-MIN(D49:F49))</f>
        <v>0.3</v>
      </c>
      <c r="I49" s="665">
        <v>1</v>
      </c>
      <c r="J49" s="322">
        <v>35</v>
      </c>
      <c r="K49" s="350">
        <v>-10.5</v>
      </c>
      <c r="L49" s="350">
        <v>-9.6999999999999993</v>
      </c>
      <c r="M49" s="350">
        <v>-7.7</v>
      </c>
      <c r="N49" s="351">
        <f>0.5*(MAX(K49:M49)-MIN(K49:M49))</f>
        <v>1.4</v>
      </c>
      <c r="P49" s="665">
        <v>1</v>
      </c>
      <c r="Q49" s="322">
        <v>750</v>
      </c>
      <c r="R49" s="352" t="s">
        <v>101</v>
      </c>
      <c r="S49" s="352" t="s">
        <v>101</v>
      </c>
      <c r="T49" s="322" t="s">
        <v>101</v>
      </c>
      <c r="U49" s="351">
        <f>0.5*(MAX(R49:T49)-MIN(R49:T49))</f>
        <v>0</v>
      </c>
      <c r="W49" s="353" t="s">
        <v>461</v>
      </c>
      <c r="X49" s="320">
        <v>0</v>
      </c>
    </row>
    <row r="50" spans="1:24" ht="13">
      <c r="A50" s="1240"/>
      <c r="B50" s="665">
        <v>2</v>
      </c>
      <c r="C50" s="322">
        <v>20</v>
      </c>
      <c r="D50" s="350">
        <v>0.4</v>
      </c>
      <c r="E50" s="350">
        <v>0.1</v>
      </c>
      <c r="F50" s="350">
        <v>0.1</v>
      </c>
      <c r="G50" s="351">
        <f t="shared" ref="G50:G55" si="12">0.5*(MAX(D50:F50)-MIN(D50:F50))</f>
        <v>0.15000000000000002</v>
      </c>
      <c r="I50" s="665">
        <v>2</v>
      </c>
      <c r="J50" s="322">
        <v>40</v>
      </c>
      <c r="K50" s="350">
        <v>-9.6</v>
      </c>
      <c r="L50" s="350">
        <v>-9.6999999999999993</v>
      </c>
      <c r="M50" s="350">
        <v>-7.2</v>
      </c>
      <c r="N50" s="351">
        <f t="shared" ref="N50:N55" si="13">0.5*(MAX(K50:M50)-MIN(K50:M50))</f>
        <v>1.2499999999999996</v>
      </c>
      <c r="P50" s="665">
        <v>2</v>
      </c>
      <c r="Q50" s="322">
        <v>800</v>
      </c>
      <c r="R50" s="352" t="s">
        <v>101</v>
      </c>
      <c r="S50" s="352" t="s">
        <v>101</v>
      </c>
      <c r="T50" s="322" t="s">
        <v>101</v>
      </c>
      <c r="U50" s="351">
        <f t="shared" ref="U50:U55" si="14">0.5*(MAX(R50:T50)-MIN(R50:T50))</f>
        <v>0</v>
      </c>
    </row>
    <row r="51" spans="1:24" ht="13">
      <c r="A51" s="1240"/>
      <c r="B51" s="665">
        <v>3</v>
      </c>
      <c r="C51" s="322">
        <v>25</v>
      </c>
      <c r="D51" s="350">
        <v>0.4</v>
      </c>
      <c r="E51" s="350">
        <v>0.2</v>
      </c>
      <c r="F51" s="350">
        <v>0.4</v>
      </c>
      <c r="G51" s="351">
        <f t="shared" si="12"/>
        <v>0.1</v>
      </c>
      <c r="I51" s="665">
        <v>3</v>
      </c>
      <c r="J51" s="322">
        <v>50</v>
      </c>
      <c r="K51" s="350">
        <v>-8.8000000000000007</v>
      </c>
      <c r="L51" s="350">
        <v>-9.1</v>
      </c>
      <c r="M51" s="350">
        <v>-6.2</v>
      </c>
      <c r="N51" s="351">
        <f t="shared" si="13"/>
        <v>1.4499999999999997</v>
      </c>
      <c r="P51" s="665">
        <v>3</v>
      </c>
      <c r="Q51" s="322">
        <v>850</v>
      </c>
      <c r="R51" s="352" t="s">
        <v>101</v>
      </c>
      <c r="S51" s="352" t="s">
        <v>101</v>
      </c>
      <c r="T51" s="322" t="s">
        <v>101</v>
      </c>
      <c r="U51" s="351">
        <f t="shared" si="14"/>
        <v>0</v>
      </c>
    </row>
    <row r="52" spans="1:24" ht="13">
      <c r="A52" s="1240"/>
      <c r="B52" s="665">
        <v>4</v>
      </c>
      <c r="C52" s="325">
        <v>30</v>
      </c>
      <c r="D52" s="326">
        <v>0.4</v>
      </c>
      <c r="E52" s="326">
        <v>0.1</v>
      </c>
      <c r="F52" s="326">
        <v>0.6</v>
      </c>
      <c r="G52" s="351">
        <f t="shared" si="12"/>
        <v>0.25</v>
      </c>
      <c r="I52" s="665">
        <v>4</v>
      </c>
      <c r="J52" s="325">
        <v>60</v>
      </c>
      <c r="K52" s="326">
        <v>-8</v>
      </c>
      <c r="L52" s="326">
        <v>-7.9</v>
      </c>
      <c r="M52" s="326">
        <v>-5.2</v>
      </c>
      <c r="N52" s="351">
        <f t="shared" si="13"/>
        <v>1.4</v>
      </c>
      <c r="P52" s="665">
        <v>4</v>
      </c>
      <c r="Q52" s="325">
        <v>900</v>
      </c>
      <c r="R52" s="326" t="s">
        <v>101</v>
      </c>
      <c r="S52" s="326" t="s">
        <v>101</v>
      </c>
      <c r="T52" s="322" t="s">
        <v>101</v>
      </c>
      <c r="U52" s="351">
        <f t="shared" si="14"/>
        <v>0</v>
      </c>
    </row>
    <row r="53" spans="1:24" ht="13">
      <c r="A53" s="1240"/>
      <c r="B53" s="665">
        <v>5</v>
      </c>
      <c r="C53" s="325">
        <v>35</v>
      </c>
      <c r="D53" s="326">
        <v>0.4</v>
      </c>
      <c r="E53" s="326">
        <v>0.1</v>
      </c>
      <c r="F53" s="326">
        <v>0.7</v>
      </c>
      <c r="G53" s="351">
        <f t="shared" si="12"/>
        <v>0.3</v>
      </c>
      <c r="I53" s="665">
        <v>5</v>
      </c>
      <c r="J53" s="325">
        <v>70</v>
      </c>
      <c r="K53" s="326">
        <v>-7.1</v>
      </c>
      <c r="L53" s="326">
        <v>-6.1</v>
      </c>
      <c r="M53" s="326">
        <v>-4.0999999999999996</v>
      </c>
      <c r="N53" s="351">
        <f t="shared" si="13"/>
        <v>1.5</v>
      </c>
      <c r="P53" s="665">
        <v>5</v>
      </c>
      <c r="Q53" s="325">
        <v>1000</v>
      </c>
      <c r="R53" s="326" t="s">
        <v>101</v>
      </c>
      <c r="S53" s="326" t="s">
        <v>101</v>
      </c>
      <c r="T53" s="322" t="s">
        <v>101</v>
      </c>
      <c r="U53" s="351">
        <f t="shared" si="14"/>
        <v>0</v>
      </c>
    </row>
    <row r="54" spans="1:24" ht="13">
      <c r="A54" s="1240"/>
      <c r="B54" s="665">
        <v>6</v>
      </c>
      <c r="C54" s="325">
        <v>37</v>
      </c>
      <c r="D54" s="326">
        <v>0.3</v>
      </c>
      <c r="E54" s="326">
        <v>0.1</v>
      </c>
      <c r="F54" s="326">
        <v>0.7</v>
      </c>
      <c r="G54" s="351">
        <f t="shared" si="12"/>
        <v>0.3</v>
      </c>
      <c r="I54" s="665">
        <v>6</v>
      </c>
      <c r="J54" s="325">
        <v>80</v>
      </c>
      <c r="K54" s="326">
        <v>-6.3</v>
      </c>
      <c r="L54" s="326">
        <v>-3.8</v>
      </c>
      <c r="M54" s="326">
        <v>-3</v>
      </c>
      <c r="N54" s="351">
        <f t="shared" si="13"/>
        <v>1.65</v>
      </c>
      <c r="P54" s="665">
        <v>6</v>
      </c>
      <c r="Q54" s="325">
        <v>1005</v>
      </c>
      <c r="R54" s="326" t="s">
        <v>101</v>
      </c>
      <c r="S54" s="326" t="s">
        <v>101</v>
      </c>
      <c r="T54" s="322" t="s">
        <v>101</v>
      </c>
      <c r="U54" s="351">
        <f t="shared" si="14"/>
        <v>0</v>
      </c>
    </row>
    <row r="55" spans="1:24" ht="13.5" thickBot="1">
      <c r="A55" s="1241"/>
      <c r="B55" s="665">
        <v>7</v>
      </c>
      <c r="C55" s="325">
        <v>40</v>
      </c>
      <c r="D55" s="326">
        <v>0.3</v>
      </c>
      <c r="E55" s="326">
        <v>0.2</v>
      </c>
      <c r="F55" s="326">
        <v>0.7</v>
      </c>
      <c r="G55" s="351">
        <f t="shared" si="12"/>
        <v>0.24999999999999997</v>
      </c>
      <c r="I55" s="665">
        <v>7</v>
      </c>
      <c r="J55" s="325">
        <v>90</v>
      </c>
      <c r="K55" s="326">
        <v>-5.4</v>
      </c>
      <c r="L55" s="326">
        <v>-0.8</v>
      </c>
      <c r="M55" s="326">
        <v>-1.8</v>
      </c>
      <c r="N55" s="351">
        <f t="shared" si="13"/>
        <v>2.3000000000000003</v>
      </c>
      <c r="P55" s="665">
        <v>7</v>
      </c>
      <c r="Q55" s="325">
        <v>1020</v>
      </c>
      <c r="R55" s="326" t="s">
        <v>101</v>
      </c>
      <c r="S55" s="326" t="s">
        <v>101</v>
      </c>
      <c r="T55" s="322" t="s">
        <v>101</v>
      </c>
      <c r="U55" s="351">
        <f t="shared" si="14"/>
        <v>0</v>
      </c>
    </row>
    <row r="56" spans="1:24" ht="13.5" thickBot="1">
      <c r="A56" s="357"/>
      <c r="B56" s="281"/>
      <c r="C56" s="281"/>
      <c r="D56" s="281"/>
      <c r="E56" s="358"/>
      <c r="F56" s="359"/>
      <c r="G56" s="328"/>
      <c r="H56" s="281"/>
      <c r="I56" s="281"/>
      <c r="J56" s="281"/>
      <c r="K56" s="358"/>
      <c r="L56" s="359"/>
      <c r="O56" s="355"/>
      <c r="P56" s="327"/>
    </row>
    <row r="57" spans="1:24">
      <c r="A57" s="1242">
        <v>6</v>
      </c>
      <c r="B57" s="1233" t="s">
        <v>466</v>
      </c>
      <c r="C57" s="1233"/>
      <c r="D57" s="1233"/>
      <c r="E57" s="1233"/>
      <c r="F57" s="1233"/>
      <c r="G57" s="1233"/>
      <c r="I57" s="1233" t="str">
        <f>B57</f>
        <v>KOREKSI GREISINGER 34903046</v>
      </c>
      <c r="J57" s="1233"/>
      <c r="K57" s="1233"/>
      <c r="L57" s="1233"/>
      <c r="M57" s="1233"/>
      <c r="N57" s="1233"/>
      <c r="P57" s="1233" t="str">
        <f>I57</f>
        <v>KOREKSI GREISINGER 34903046</v>
      </c>
      <c r="Q57" s="1233"/>
      <c r="R57" s="1233"/>
      <c r="S57" s="1233"/>
      <c r="T57" s="1233"/>
      <c r="U57" s="1233"/>
      <c r="W57" s="1227" t="s">
        <v>371</v>
      </c>
      <c r="X57" s="1228"/>
    </row>
    <row r="58" spans="1:24" ht="13">
      <c r="A58" s="1242"/>
      <c r="B58" s="1229" t="s">
        <v>456</v>
      </c>
      <c r="C58" s="1229"/>
      <c r="D58" s="1229" t="s">
        <v>457</v>
      </c>
      <c r="E58" s="1229"/>
      <c r="F58" s="1229"/>
      <c r="G58" s="1229" t="s">
        <v>357</v>
      </c>
      <c r="I58" s="1229" t="s">
        <v>458</v>
      </c>
      <c r="J58" s="1229"/>
      <c r="K58" s="1229" t="s">
        <v>457</v>
      </c>
      <c r="L58" s="1229"/>
      <c r="M58" s="1229"/>
      <c r="N58" s="1229" t="s">
        <v>357</v>
      </c>
      <c r="P58" s="1229" t="s">
        <v>459</v>
      </c>
      <c r="Q58" s="1229"/>
      <c r="R58" s="1243" t="s">
        <v>457</v>
      </c>
      <c r="S58" s="1244"/>
      <c r="T58" s="1245"/>
      <c r="U58" s="1229" t="s">
        <v>357</v>
      </c>
      <c r="W58" s="347" t="s">
        <v>456</v>
      </c>
      <c r="X58" s="348">
        <v>0.8</v>
      </c>
    </row>
    <row r="59" spans="1:24" ht="14.5">
      <c r="A59" s="1242"/>
      <c r="B59" s="1230" t="s">
        <v>460</v>
      </c>
      <c r="C59" s="1230"/>
      <c r="D59" s="349">
        <v>2019</v>
      </c>
      <c r="E59" s="349">
        <v>2018</v>
      </c>
      <c r="F59" s="349">
        <v>2016</v>
      </c>
      <c r="G59" s="1229"/>
      <c r="I59" s="1231" t="s">
        <v>15</v>
      </c>
      <c r="J59" s="1230"/>
      <c r="K59" s="349">
        <f>D59</f>
        <v>2019</v>
      </c>
      <c r="L59" s="349">
        <f>E59</f>
        <v>2018</v>
      </c>
      <c r="M59" s="349">
        <v>2016</v>
      </c>
      <c r="N59" s="1229"/>
      <c r="P59" s="1231" t="s">
        <v>461</v>
      </c>
      <c r="Q59" s="1230"/>
      <c r="R59" s="349">
        <f>K59</f>
        <v>2019</v>
      </c>
      <c r="S59" s="349">
        <f>L59</f>
        <v>2018</v>
      </c>
      <c r="T59" s="349">
        <v>2016</v>
      </c>
      <c r="U59" s="1229"/>
      <c r="W59" s="347" t="s">
        <v>15</v>
      </c>
      <c r="X59" s="348">
        <v>2.6</v>
      </c>
    </row>
    <row r="60" spans="1:24" ht="13.5" thickBot="1">
      <c r="A60" s="1242"/>
      <c r="B60" s="665">
        <v>1</v>
      </c>
      <c r="C60" s="322">
        <v>15</v>
      </c>
      <c r="D60" s="322">
        <v>0.4</v>
      </c>
      <c r="E60" s="322">
        <v>0.4</v>
      </c>
      <c r="F60" s="356"/>
      <c r="G60" s="351">
        <f>0.5*(MAX(D60:F60)-MIN(D60:F60))</f>
        <v>0</v>
      </c>
      <c r="I60" s="665">
        <v>1</v>
      </c>
      <c r="J60" s="322">
        <v>30</v>
      </c>
      <c r="K60" s="322">
        <v>-1.5</v>
      </c>
      <c r="L60" s="322">
        <v>1.7</v>
      </c>
      <c r="M60" s="356"/>
      <c r="N60" s="351">
        <f>0.5*(MAX(K60:M60)-MIN(K60:M60))</f>
        <v>1.6</v>
      </c>
      <c r="P60" s="665">
        <v>1</v>
      </c>
      <c r="Q60" s="322">
        <v>750</v>
      </c>
      <c r="R60" s="322">
        <v>0.9</v>
      </c>
      <c r="S60" s="322">
        <v>2.1</v>
      </c>
      <c r="T60" s="322">
        <v>9.9999999999999995E-7</v>
      </c>
      <c r="U60" s="351">
        <f>0.5*(MAX(R60:T60)-MIN(R60:T60))</f>
        <v>1.0499995</v>
      </c>
      <c r="W60" s="353" t="s">
        <v>461</v>
      </c>
      <c r="X60" s="320">
        <v>1.6</v>
      </c>
    </row>
    <row r="61" spans="1:24" ht="13">
      <c r="A61" s="1242"/>
      <c r="B61" s="665">
        <v>2</v>
      </c>
      <c r="C61" s="322">
        <v>20</v>
      </c>
      <c r="D61" s="322">
        <v>0.3</v>
      </c>
      <c r="E61" s="322">
        <v>0.2</v>
      </c>
      <c r="F61" s="356"/>
      <c r="G61" s="351">
        <f t="shared" ref="G61:G66" si="15">0.5*(MAX(D61:F61)-MIN(D61:F61))</f>
        <v>4.9999999999999989E-2</v>
      </c>
      <c r="I61" s="665">
        <v>2</v>
      </c>
      <c r="J61" s="322">
        <v>40</v>
      </c>
      <c r="K61" s="322">
        <v>-3.8</v>
      </c>
      <c r="L61" s="322">
        <v>1.5</v>
      </c>
      <c r="M61" s="356"/>
      <c r="N61" s="351">
        <f t="shared" ref="N61:N66" si="16">0.5*(MAX(K61:M61)-MIN(K61:M61))</f>
        <v>2.65</v>
      </c>
      <c r="P61" s="665">
        <v>2</v>
      </c>
      <c r="Q61" s="322">
        <v>800</v>
      </c>
      <c r="R61" s="322">
        <v>0.9</v>
      </c>
      <c r="S61" s="322">
        <v>1.6</v>
      </c>
      <c r="T61" s="322">
        <v>9.9999999999999995E-7</v>
      </c>
      <c r="U61" s="351">
        <f t="shared" ref="U61:U66" si="17">0.5*(MAX(R61:T61)-MIN(R61:T61))</f>
        <v>0.79999950000000009</v>
      </c>
    </row>
    <row r="62" spans="1:24" ht="13">
      <c r="A62" s="1242"/>
      <c r="B62" s="665">
        <v>3</v>
      </c>
      <c r="C62" s="322">
        <v>25</v>
      </c>
      <c r="D62" s="322">
        <v>0.2</v>
      </c>
      <c r="E62" s="322">
        <v>-0.1</v>
      </c>
      <c r="F62" s="356"/>
      <c r="G62" s="351">
        <f t="shared" si="15"/>
        <v>0.15000000000000002</v>
      </c>
      <c r="I62" s="665">
        <v>3</v>
      </c>
      <c r="J62" s="322">
        <v>50</v>
      </c>
      <c r="K62" s="322">
        <v>-5.4</v>
      </c>
      <c r="L62" s="322">
        <v>1.2</v>
      </c>
      <c r="M62" s="356"/>
      <c r="N62" s="351">
        <f t="shared" si="16"/>
        <v>3.3000000000000003</v>
      </c>
      <c r="P62" s="665">
        <v>3</v>
      </c>
      <c r="Q62" s="322">
        <v>850</v>
      </c>
      <c r="R62" s="322">
        <v>0.9</v>
      </c>
      <c r="S62" s="322">
        <v>1.1000000000000001</v>
      </c>
      <c r="T62" s="322">
        <v>9.9999999999999995E-7</v>
      </c>
      <c r="U62" s="351">
        <f t="shared" si="17"/>
        <v>0.54999950000000009</v>
      </c>
    </row>
    <row r="63" spans="1:24" ht="13">
      <c r="A63" s="1242"/>
      <c r="B63" s="665">
        <v>4</v>
      </c>
      <c r="C63" s="325">
        <v>30</v>
      </c>
      <c r="D63" s="325">
        <v>0.1</v>
      </c>
      <c r="E63" s="325">
        <v>-0.5</v>
      </c>
      <c r="F63" s="356"/>
      <c r="G63" s="351">
        <f t="shared" si="15"/>
        <v>0.3</v>
      </c>
      <c r="I63" s="665">
        <v>4</v>
      </c>
      <c r="J63" s="325">
        <v>60</v>
      </c>
      <c r="K63" s="325">
        <v>-6.4</v>
      </c>
      <c r="L63" s="325">
        <v>1.1000000000000001</v>
      </c>
      <c r="M63" s="356"/>
      <c r="N63" s="351">
        <f t="shared" si="16"/>
        <v>3.75</v>
      </c>
      <c r="P63" s="665">
        <v>4</v>
      </c>
      <c r="Q63" s="325">
        <v>900</v>
      </c>
      <c r="R63" s="325">
        <v>0.9</v>
      </c>
      <c r="S63" s="325">
        <v>0.7</v>
      </c>
      <c r="T63" s="322">
        <v>9.9999999999999995E-7</v>
      </c>
      <c r="U63" s="351">
        <f t="shared" si="17"/>
        <v>0.4499995</v>
      </c>
    </row>
    <row r="64" spans="1:24" ht="13">
      <c r="A64" s="1242"/>
      <c r="B64" s="665">
        <v>5</v>
      </c>
      <c r="C64" s="325">
        <v>35</v>
      </c>
      <c r="D64" s="325">
        <v>0.1</v>
      </c>
      <c r="E64" s="325">
        <v>-0.9</v>
      </c>
      <c r="F64" s="356"/>
      <c r="G64" s="351">
        <f t="shared" si="15"/>
        <v>0.5</v>
      </c>
      <c r="I64" s="665">
        <v>5</v>
      </c>
      <c r="J64" s="325">
        <v>70</v>
      </c>
      <c r="K64" s="325">
        <v>-6.7</v>
      </c>
      <c r="L64" s="325">
        <v>0.9</v>
      </c>
      <c r="M64" s="356"/>
      <c r="N64" s="351">
        <f t="shared" si="16"/>
        <v>3.8000000000000003</v>
      </c>
      <c r="P64" s="665">
        <v>5</v>
      </c>
      <c r="Q64" s="325">
        <v>1000</v>
      </c>
      <c r="R64" s="325">
        <v>0.9</v>
      </c>
      <c r="S64" s="325">
        <v>-0.3</v>
      </c>
      <c r="T64" s="322">
        <v>9.9999999999999995E-7</v>
      </c>
      <c r="U64" s="351">
        <f t="shared" si="17"/>
        <v>0.6</v>
      </c>
    </row>
    <row r="65" spans="1:24" ht="13">
      <c r="A65" s="1242"/>
      <c r="B65" s="665">
        <v>6</v>
      </c>
      <c r="C65" s="325">
        <v>37</v>
      </c>
      <c r="D65" s="325">
        <v>0.1</v>
      </c>
      <c r="E65" s="325">
        <v>-1.1000000000000001</v>
      </c>
      <c r="F65" s="356"/>
      <c r="G65" s="351">
        <f t="shared" si="15"/>
        <v>0.60000000000000009</v>
      </c>
      <c r="I65" s="665">
        <v>6</v>
      </c>
      <c r="J65" s="325">
        <v>80</v>
      </c>
      <c r="K65" s="325">
        <v>-6.3</v>
      </c>
      <c r="L65" s="325">
        <v>0.8</v>
      </c>
      <c r="M65" s="356"/>
      <c r="N65" s="351">
        <f t="shared" si="16"/>
        <v>3.55</v>
      </c>
      <c r="P65" s="665">
        <v>6</v>
      </c>
      <c r="Q65" s="325">
        <v>1005</v>
      </c>
      <c r="R65" s="325">
        <v>0.9</v>
      </c>
      <c r="S65" s="325">
        <v>-0.3</v>
      </c>
      <c r="T65" s="322">
        <v>9.9999999999999995E-7</v>
      </c>
      <c r="U65" s="351">
        <f t="shared" si="17"/>
        <v>0.6</v>
      </c>
    </row>
    <row r="66" spans="1:24" ht="13">
      <c r="A66" s="1242"/>
      <c r="B66" s="665">
        <v>7</v>
      </c>
      <c r="C66" s="325">
        <v>40</v>
      </c>
      <c r="D66" s="325">
        <v>0.1</v>
      </c>
      <c r="E66" s="325">
        <v>-1.4</v>
      </c>
      <c r="F66" s="356"/>
      <c r="G66" s="351">
        <f t="shared" si="15"/>
        <v>0.75</v>
      </c>
      <c r="I66" s="665">
        <v>7</v>
      </c>
      <c r="J66" s="325">
        <v>90</v>
      </c>
      <c r="K66" s="325">
        <v>-5.2</v>
      </c>
      <c r="L66" s="325">
        <v>0.7</v>
      </c>
      <c r="M66" s="356"/>
      <c r="N66" s="351">
        <f t="shared" si="16"/>
        <v>2.95</v>
      </c>
      <c r="P66" s="665">
        <v>7</v>
      </c>
      <c r="Q66" s="325">
        <v>1020</v>
      </c>
      <c r="R66" s="325">
        <v>0.9</v>
      </c>
      <c r="S66" s="325">
        <v>9.9999999999999995E-7</v>
      </c>
      <c r="T66" s="322">
        <v>9.9999999999999995E-7</v>
      </c>
      <c r="U66" s="351">
        <f t="shared" si="17"/>
        <v>0.4499995</v>
      </c>
    </row>
    <row r="67" spans="1:24" ht="13.5" thickBot="1">
      <c r="A67" s="357"/>
      <c r="B67" s="281"/>
      <c r="C67" s="281"/>
      <c r="D67" s="281"/>
      <c r="E67" s="358"/>
      <c r="F67" s="359"/>
      <c r="G67" s="328"/>
      <c r="I67" s="281"/>
      <c r="J67" s="281"/>
      <c r="K67" s="281"/>
      <c r="L67" s="358"/>
      <c r="M67" s="359"/>
      <c r="R67" s="327"/>
    </row>
    <row r="68" spans="1:24">
      <c r="A68" s="1242">
        <v>7</v>
      </c>
      <c r="B68" s="1233" t="s">
        <v>467</v>
      </c>
      <c r="C68" s="1233"/>
      <c r="D68" s="1233"/>
      <c r="E68" s="1233"/>
      <c r="F68" s="1233"/>
      <c r="G68" s="1233"/>
      <c r="I68" s="1233" t="str">
        <f>B68</f>
        <v>KOREKSI GREISINGER 34903053</v>
      </c>
      <c r="J68" s="1233"/>
      <c r="K68" s="1233"/>
      <c r="L68" s="1233"/>
      <c r="M68" s="1233"/>
      <c r="N68" s="1233"/>
      <c r="P68" s="1233" t="str">
        <f>I68</f>
        <v>KOREKSI GREISINGER 34903053</v>
      </c>
      <c r="Q68" s="1233"/>
      <c r="R68" s="1233"/>
      <c r="S68" s="1233"/>
      <c r="T68" s="1233"/>
      <c r="U68" s="1233"/>
      <c r="W68" s="1227" t="s">
        <v>371</v>
      </c>
      <c r="X68" s="1228"/>
    </row>
    <row r="69" spans="1:24" ht="13">
      <c r="A69" s="1242"/>
      <c r="B69" s="1229" t="s">
        <v>456</v>
      </c>
      <c r="C69" s="1229"/>
      <c r="D69" s="1229" t="s">
        <v>457</v>
      </c>
      <c r="E69" s="1229"/>
      <c r="F69" s="1229"/>
      <c r="G69" s="1229" t="s">
        <v>357</v>
      </c>
      <c r="I69" s="1229" t="s">
        <v>458</v>
      </c>
      <c r="J69" s="1229"/>
      <c r="K69" s="1229" t="s">
        <v>457</v>
      </c>
      <c r="L69" s="1229"/>
      <c r="M69" s="1229"/>
      <c r="N69" s="1229" t="s">
        <v>357</v>
      </c>
      <c r="P69" s="1229" t="s">
        <v>459</v>
      </c>
      <c r="Q69" s="1229"/>
      <c r="R69" s="1229" t="s">
        <v>457</v>
      </c>
      <c r="S69" s="1229"/>
      <c r="T69" s="1229"/>
      <c r="U69" s="1229" t="s">
        <v>357</v>
      </c>
      <c r="W69" s="347" t="s">
        <v>456</v>
      </c>
      <c r="X69" s="348">
        <v>0.2</v>
      </c>
    </row>
    <row r="70" spans="1:24" ht="14.5">
      <c r="A70" s="1242"/>
      <c r="B70" s="1230" t="s">
        <v>460</v>
      </c>
      <c r="C70" s="1230"/>
      <c r="D70" s="349">
        <v>2021</v>
      </c>
      <c r="E70" s="349">
        <v>2018</v>
      </c>
      <c r="F70" s="349">
        <v>2016</v>
      </c>
      <c r="G70" s="1229"/>
      <c r="I70" s="1231" t="s">
        <v>15</v>
      </c>
      <c r="J70" s="1230"/>
      <c r="K70" s="349">
        <f>D70</f>
        <v>2021</v>
      </c>
      <c r="L70" s="349">
        <f>E70</f>
        <v>2018</v>
      </c>
      <c r="M70" s="349">
        <v>2016</v>
      </c>
      <c r="N70" s="1229"/>
      <c r="P70" s="1231" t="s">
        <v>461</v>
      </c>
      <c r="Q70" s="1230"/>
      <c r="R70" s="349">
        <f>K70</f>
        <v>2021</v>
      </c>
      <c r="S70" s="349">
        <f>L70</f>
        <v>2018</v>
      </c>
      <c r="T70" s="349">
        <v>2016</v>
      </c>
      <c r="U70" s="1229"/>
      <c r="W70" s="347" t="s">
        <v>15</v>
      </c>
      <c r="X70" s="348">
        <v>2.4</v>
      </c>
    </row>
    <row r="71" spans="1:24" ht="13.5" thickBot="1">
      <c r="A71" s="1242"/>
      <c r="B71" s="665">
        <v>1</v>
      </c>
      <c r="C71" s="322">
        <v>15</v>
      </c>
      <c r="D71" s="322">
        <v>0.1</v>
      </c>
      <c r="E71" s="322">
        <v>0.3</v>
      </c>
      <c r="F71" s="356"/>
      <c r="G71" s="351">
        <f>0.5*(MAX(D71:F71)-MIN(D71:F71))</f>
        <v>9.9999999999999992E-2</v>
      </c>
      <c r="I71" s="665">
        <v>1</v>
      </c>
      <c r="J71" s="322">
        <v>30</v>
      </c>
      <c r="K71" s="322">
        <v>-1.9</v>
      </c>
      <c r="L71" s="322">
        <v>1.8</v>
      </c>
      <c r="M71" s="356"/>
      <c r="N71" s="351">
        <f>0.5*(MAX(K71:M71)-MIN(K71:M71))</f>
        <v>1.85</v>
      </c>
      <c r="P71" s="665">
        <v>1</v>
      </c>
      <c r="Q71" s="322">
        <v>750</v>
      </c>
      <c r="R71" s="322">
        <v>9.9999999999999995E-7</v>
      </c>
      <c r="S71" s="322">
        <v>3.2</v>
      </c>
      <c r="T71" s="322">
        <v>9.9999999999999995E-7</v>
      </c>
      <c r="U71" s="351">
        <f>0.5*(MAX(R71:T71)-MIN(R71:T71))</f>
        <v>1.5999995</v>
      </c>
      <c r="W71" s="353" t="s">
        <v>461</v>
      </c>
      <c r="X71" s="320">
        <v>2.4</v>
      </c>
    </row>
    <row r="72" spans="1:24" ht="13">
      <c r="A72" s="1242"/>
      <c r="B72" s="665">
        <v>2</v>
      </c>
      <c r="C72" s="322">
        <v>20</v>
      </c>
      <c r="D72" s="322">
        <v>9.9999999999999995E-7</v>
      </c>
      <c r="E72" s="322">
        <v>0.1</v>
      </c>
      <c r="F72" s="356"/>
      <c r="G72" s="351">
        <f t="shared" ref="G72:G77" si="18">0.5*(MAX(D72:F72)-MIN(D72:F72))</f>
        <v>4.9999500000000002E-2</v>
      </c>
      <c r="I72" s="665">
        <v>2</v>
      </c>
      <c r="J72" s="322">
        <v>40</v>
      </c>
      <c r="K72" s="322">
        <v>-1.9</v>
      </c>
      <c r="L72" s="322">
        <v>1.2</v>
      </c>
      <c r="M72" s="356"/>
      <c r="N72" s="351">
        <f t="shared" ref="N72:N77" si="19">0.5*(MAX(K72:M72)-MIN(K72:M72))</f>
        <v>1.5499999999999998</v>
      </c>
      <c r="P72" s="665">
        <v>2</v>
      </c>
      <c r="Q72" s="322">
        <v>800</v>
      </c>
      <c r="R72" s="322">
        <v>9.9999999999999995E-7</v>
      </c>
      <c r="S72" s="322">
        <v>2.5</v>
      </c>
      <c r="T72" s="322">
        <v>9.9999999999999995E-7</v>
      </c>
      <c r="U72" s="351">
        <f t="shared" ref="U72:U77" si="20">0.5*(MAX(R72:T72)-MIN(R72:T72))</f>
        <v>1.2499994999999999</v>
      </c>
    </row>
    <row r="73" spans="1:24" ht="13">
      <c r="A73" s="1242"/>
      <c r="B73" s="665">
        <v>3</v>
      </c>
      <c r="C73" s="322">
        <v>25</v>
      </c>
      <c r="D73" s="322">
        <v>9.9999999999999995E-7</v>
      </c>
      <c r="E73" s="322">
        <v>-0.2</v>
      </c>
      <c r="F73" s="356"/>
      <c r="G73" s="351">
        <f t="shared" si="18"/>
        <v>0.10000050000000001</v>
      </c>
      <c r="I73" s="665">
        <v>3</v>
      </c>
      <c r="J73" s="322">
        <v>50</v>
      </c>
      <c r="K73" s="322">
        <v>-1.9</v>
      </c>
      <c r="L73" s="322">
        <v>0.8</v>
      </c>
      <c r="M73" s="356"/>
      <c r="N73" s="351">
        <f t="shared" si="19"/>
        <v>1.35</v>
      </c>
      <c r="P73" s="665">
        <v>3</v>
      </c>
      <c r="Q73" s="322">
        <v>850</v>
      </c>
      <c r="R73" s="322">
        <v>9.9999999999999995E-7</v>
      </c>
      <c r="S73" s="322">
        <v>1.7</v>
      </c>
      <c r="T73" s="322">
        <v>9.9999999999999995E-7</v>
      </c>
      <c r="U73" s="351">
        <f t="shared" si="20"/>
        <v>0.84999950000000002</v>
      </c>
    </row>
    <row r="74" spans="1:24" ht="13">
      <c r="A74" s="1242"/>
      <c r="B74" s="665">
        <v>4</v>
      </c>
      <c r="C74" s="325">
        <v>30</v>
      </c>
      <c r="D74" s="322">
        <v>9.9999999999999995E-7</v>
      </c>
      <c r="E74" s="325">
        <v>-0.6</v>
      </c>
      <c r="F74" s="356"/>
      <c r="G74" s="351">
        <f t="shared" si="18"/>
        <v>0.3000005</v>
      </c>
      <c r="I74" s="665">
        <v>4</v>
      </c>
      <c r="J74" s="325">
        <v>60</v>
      </c>
      <c r="K74" s="325">
        <v>-2.1</v>
      </c>
      <c r="L74" s="325">
        <v>0.7</v>
      </c>
      <c r="M74" s="356"/>
      <c r="N74" s="351">
        <f t="shared" si="19"/>
        <v>1.4</v>
      </c>
      <c r="P74" s="665">
        <v>4</v>
      </c>
      <c r="Q74" s="325">
        <v>900</v>
      </c>
      <c r="R74" s="322">
        <v>9.9999999999999995E-7</v>
      </c>
      <c r="S74" s="325">
        <v>1</v>
      </c>
      <c r="T74" s="322">
        <v>9.9999999999999995E-7</v>
      </c>
      <c r="U74" s="351">
        <f t="shared" si="20"/>
        <v>0.49999949999999999</v>
      </c>
    </row>
    <row r="75" spans="1:24" ht="13">
      <c r="A75" s="1242"/>
      <c r="B75" s="665">
        <v>5</v>
      </c>
      <c r="C75" s="325">
        <v>35</v>
      </c>
      <c r="D75" s="322">
        <v>9.9999999999999995E-7</v>
      </c>
      <c r="E75" s="325">
        <v>-1.1000000000000001</v>
      </c>
      <c r="F75" s="356"/>
      <c r="G75" s="351">
        <f t="shared" si="18"/>
        <v>0.5500005</v>
      </c>
      <c r="I75" s="665">
        <v>5</v>
      </c>
      <c r="J75" s="325">
        <v>70</v>
      </c>
      <c r="K75" s="325">
        <v>-2.2999999999999998</v>
      </c>
      <c r="L75" s="325">
        <v>0.9</v>
      </c>
      <c r="M75" s="356"/>
      <c r="N75" s="351">
        <f t="shared" si="19"/>
        <v>1.5999999999999999</v>
      </c>
      <c r="P75" s="665">
        <v>5</v>
      </c>
      <c r="Q75" s="325">
        <v>1000</v>
      </c>
      <c r="R75" s="325">
        <v>-3.9</v>
      </c>
      <c r="S75" s="325">
        <v>-0.4</v>
      </c>
      <c r="T75" s="322">
        <v>9.9999999999999995E-7</v>
      </c>
      <c r="U75" s="351">
        <f t="shared" si="20"/>
        <v>1.9500005</v>
      </c>
    </row>
    <row r="76" spans="1:24" ht="13">
      <c r="A76" s="1242"/>
      <c r="B76" s="665">
        <v>6</v>
      </c>
      <c r="C76" s="325">
        <v>37</v>
      </c>
      <c r="D76" s="322">
        <v>9.9999999999999995E-7</v>
      </c>
      <c r="E76" s="325">
        <v>-1.4</v>
      </c>
      <c r="F76" s="356"/>
      <c r="G76" s="351">
        <f t="shared" si="18"/>
        <v>0.70000049999999991</v>
      </c>
      <c r="I76" s="665">
        <v>6</v>
      </c>
      <c r="J76" s="325">
        <v>80</v>
      </c>
      <c r="K76" s="325">
        <v>-2.6</v>
      </c>
      <c r="L76" s="325">
        <v>1.2</v>
      </c>
      <c r="M76" s="356"/>
      <c r="N76" s="351">
        <f t="shared" si="19"/>
        <v>1.9</v>
      </c>
      <c r="P76" s="665">
        <v>6</v>
      </c>
      <c r="Q76" s="325">
        <v>1005</v>
      </c>
      <c r="R76" s="325">
        <v>-3.8</v>
      </c>
      <c r="S76" s="325">
        <v>-0.5</v>
      </c>
      <c r="T76" s="322">
        <v>9.9999999999999995E-7</v>
      </c>
      <c r="U76" s="351">
        <f t="shared" si="20"/>
        <v>1.9000005</v>
      </c>
    </row>
    <row r="77" spans="1:24" ht="13.5" thickBot="1">
      <c r="A77" s="1242"/>
      <c r="B77" s="665">
        <v>7</v>
      </c>
      <c r="C77" s="325">
        <v>40</v>
      </c>
      <c r="D77" s="325">
        <v>0.1</v>
      </c>
      <c r="E77" s="325">
        <v>-1.7</v>
      </c>
      <c r="F77" s="356"/>
      <c r="G77" s="351">
        <f t="shared" si="18"/>
        <v>0.9</v>
      </c>
      <c r="I77" s="665">
        <v>7</v>
      </c>
      <c r="J77" s="325">
        <v>90</v>
      </c>
      <c r="K77" s="325">
        <v>-3</v>
      </c>
      <c r="L77" s="325">
        <v>1.8</v>
      </c>
      <c r="M77" s="356"/>
      <c r="N77" s="351">
        <f t="shared" si="19"/>
        <v>2.4</v>
      </c>
      <c r="P77" s="665">
        <v>7</v>
      </c>
      <c r="Q77" s="325">
        <v>1020</v>
      </c>
      <c r="R77" s="325">
        <v>-3.8</v>
      </c>
      <c r="S77" s="325">
        <v>9.9999999999999995E-7</v>
      </c>
      <c r="T77" s="322">
        <v>9.9999999999999995E-7</v>
      </c>
      <c r="U77" s="351">
        <f t="shared" si="20"/>
        <v>1.9000005</v>
      </c>
    </row>
    <row r="78" spans="1:24" ht="13.5" thickBot="1">
      <c r="A78" s="357"/>
      <c r="B78" s="281"/>
      <c r="C78" s="281"/>
      <c r="D78" s="281"/>
      <c r="E78" s="358"/>
      <c r="F78" s="359"/>
      <c r="G78" s="328"/>
      <c r="H78" s="281"/>
      <c r="I78" s="281"/>
      <c r="J78" s="281"/>
      <c r="K78" s="358"/>
      <c r="L78" s="359"/>
      <c r="O78" s="355"/>
      <c r="P78" s="327"/>
    </row>
    <row r="79" spans="1:24">
      <c r="A79" s="1232">
        <v>8</v>
      </c>
      <c r="B79" s="1233" t="s">
        <v>468</v>
      </c>
      <c r="C79" s="1233"/>
      <c r="D79" s="1233"/>
      <c r="E79" s="1233"/>
      <c r="F79" s="1233"/>
      <c r="G79" s="1233"/>
      <c r="I79" s="1233" t="str">
        <f>B79</f>
        <v>KOREKSI GREISINGER 34903051</v>
      </c>
      <c r="J79" s="1233"/>
      <c r="K79" s="1233"/>
      <c r="L79" s="1233"/>
      <c r="M79" s="1233"/>
      <c r="N79" s="1233"/>
      <c r="P79" s="1233" t="str">
        <f>I79</f>
        <v>KOREKSI GREISINGER 34903051</v>
      </c>
      <c r="Q79" s="1233"/>
      <c r="R79" s="1233"/>
      <c r="S79" s="1233"/>
      <c r="T79" s="1233"/>
      <c r="U79" s="1233"/>
      <c r="W79" s="1227" t="s">
        <v>371</v>
      </c>
      <c r="X79" s="1228"/>
    </row>
    <row r="80" spans="1:24" ht="13">
      <c r="A80" s="1232"/>
      <c r="B80" s="1229" t="s">
        <v>456</v>
      </c>
      <c r="C80" s="1229"/>
      <c r="D80" s="1229" t="s">
        <v>457</v>
      </c>
      <c r="E80" s="1229"/>
      <c r="F80" s="1229"/>
      <c r="G80" s="1229" t="s">
        <v>357</v>
      </c>
      <c r="I80" s="1229" t="s">
        <v>458</v>
      </c>
      <c r="J80" s="1229"/>
      <c r="K80" s="1229" t="s">
        <v>457</v>
      </c>
      <c r="L80" s="1229"/>
      <c r="M80" s="1229"/>
      <c r="N80" s="1229" t="s">
        <v>357</v>
      </c>
      <c r="P80" s="1229" t="s">
        <v>459</v>
      </c>
      <c r="Q80" s="1229"/>
      <c r="R80" s="1229" t="s">
        <v>457</v>
      </c>
      <c r="S80" s="1229"/>
      <c r="T80" s="1229"/>
      <c r="U80" s="1229" t="s">
        <v>357</v>
      </c>
      <c r="W80" s="347" t="s">
        <v>456</v>
      </c>
      <c r="X80" s="348">
        <v>0.8</v>
      </c>
    </row>
    <row r="81" spans="1:24" ht="14.5">
      <c r="A81" s="1232"/>
      <c r="B81" s="1230" t="s">
        <v>460</v>
      </c>
      <c r="C81" s="1230"/>
      <c r="D81" s="349">
        <v>2023</v>
      </c>
      <c r="E81" s="349">
        <v>2021</v>
      </c>
      <c r="F81" s="349">
        <v>2019</v>
      </c>
      <c r="G81" s="1229"/>
      <c r="I81" s="1231" t="s">
        <v>15</v>
      </c>
      <c r="J81" s="1230"/>
      <c r="K81" s="349">
        <f>D81</f>
        <v>2023</v>
      </c>
      <c r="L81" s="349">
        <f>E81</f>
        <v>2021</v>
      </c>
      <c r="M81" s="349">
        <v>2019</v>
      </c>
      <c r="N81" s="1229"/>
      <c r="P81" s="1231" t="s">
        <v>461</v>
      </c>
      <c r="Q81" s="1230"/>
      <c r="R81" s="349">
        <f>K81</f>
        <v>2023</v>
      </c>
      <c r="S81" s="349">
        <f>L81</f>
        <v>2021</v>
      </c>
      <c r="T81" s="349">
        <v>2019</v>
      </c>
      <c r="U81" s="1229"/>
      <c r="W81" s="347" t="s">
        <v>15</v>
      </c>
      <c r="X81" s="348">
        <v>2.2999999999999998</v>
      </c>
    </row>
    <row r="82" spans="1:24" ht="13.5" thickBot="1">
      <c r="A82" s="1232"/>
      <c r="B82" s="665">
        <v>1</v>
      </c>
      <c r="C82" s="322">
        <v>15</v>
      </c>
      <c r="D82" s="322">
        <v>0.4</v>
      </c>
      <c r="E82" s="322">
        <v>0.1</v>
      </c>
      <c r="F82" s="322">
        <v>9.9999999999999995E-7</v>
      </c>
      <c r="G82" s="351">
        <f>0.5*(MAX(D82:F82)-MIN(D82:F82))</f>
        <v>0.19999950000000002</v>
      </c>
      <c r="I82" s="665">
        <v>1</v>
      </c>
      <c r="J82" s="322">
        <v>30</v>
      </c>
      <c r="K82" s="322"/>
      <c r="L82" s="322">
        <v>-4</v>
      </c>
      <c r="M82" s="322">
        <v>-1.4</v>
      </c>
      <c r="N82" s="351">
        <f>0.5*(MAX(K82:M82)-MIN(K82:M82))</f>
        <v>1.3</v>
      </c>
      <c r="P82" s="665">
        <v>1</v>
      </c>
      <c r="Q82" s="322">
        <v>960</v>
      </c>
      <c r="R82" s="352">
        <v>-1.5</v>
      </c>
      <c r="S82" s="352">
        <v>-4</v>
      </c>
      <c r="T82" s="352">
        <v>9.9999999999999995E-7</v>
      </c>
      <c r="U82" s="351">
        <f>0.5*(MAX(R82:T82)-MIN(R82:T82))</f>
        <v>2.0000005000000001</v>
      </c>
      <c r="W82" s="353" t="s">
        <v>461</v>
      </c>
      <c r="X82" s="320">
        <v>2.5</v>
      </c>
    </row>
    <row r="83" spans="1:24" ht="13">
      <c r="A83" s="1232"/>
      <c r="B83" s="665">
        <v>2</v>
      </c>
      <c r="C83" s="322">
        <v>20</v>
      </c>
      <c r="D83" s="322">
        <v>0.2</v>
      </c>
      <c r="E83" s="322">
        <v>9.9999999999999995E-7</v>
      </c>
      <c r="F83" s="322">
        <v>-0.2</v>
      </c>
      <c r="G83" s="351">
        <f t="shared" ref="G83:G88" si="21">0.5*(MAX(D83:F83)-MIN(D83:F83))</f>
        <v>0.2</v>
      </c>
      <c r="I83" s="665">
        <v>2</v>
      </c>
      <c r="J83" s="322">
        <v>40</v>
      </c>
      <c r="K83" s="322">
        <v>-4.5999999999999996</v>
      </c>
      <c r="L83" s="322">
        <v>-3.8</v>
      </c>
      <c r="M83" s="322">
        <v>-1.2</v>
      </c>
      <c r="N83" s="351">
        <f t="shared" ref="N83:N88" si="22">0.5*(MAX(K83:M83)-MIN(K83:M83))</f>
        <v>1.6999999999999997</v>
      </c>
      <c r="P83" s="665">
        <v>2</v>
      </c>
      <c r="Q83" s="322">
        <v>970</v>
      </c>
      <c r="R83" s="352">
        <v>-1</v>
      </c>
      <c r="S83" s="352">
        <v>-3.9</v>
      </c>
      <c r="T83" s="352">
        <v>9.9999999999999995E-7</v>
      </c>
      <c r="U83" s="351">
        <f t="shared" ref="U83:U88" si="23">0.5*(MAX(R83:T83)-MIN(R83:T83))</f>
        <v>1.9500005</v>
      </c>
    </row>
    <row r="84" spans="1:24" ht="13">
      <c r="A84" s="1232"/>
      <c r="B84" s="665">
        <v>3</v>
      </c>
      <c r="C84" s="322">
        <v>25</v>
      </c>
      <c r="D84" s="322">
        <v>0</v>
      </c>
      <c r="E84" s="322">
        <v>-0.1</v>
      </c>
      <c r="F84" s="322">
        <v>-0.4</v>
      </c>
      <c r="G84" s="351">
        <f t="shared" si="21"/>
        <v>0.2</v>
      </c>
      <c r="I84" s="665">
        <v>3</v>
      </c>
      <c r="J84" s="322">
        <v>50</v>
      </c>
      <c r="K84" s="322">
        <v>-5</v>
      </c>
      <c r="L84" s="322">
        <v>-3.8</v>
      </c>
      <c r="M84" s="322">
        <v>-1.2</v>
      </c>
      <c r="N84" s="351">
        <f t="shared" si="22"/>
        <v>1.9</v>
      </c>
      <c r="P84" s="665">
        <v>3</v>
      </c>
      <c r="Q84" s="322">
        <v>980</v>
      </c>
      <c r="R84" s="352">
        <v>-0.6</v>
      </c>
      <c r="S84" s="352">
        <v>-3.8</v>
      </c>
      <c r="T84" s="352">
        <v>9.9999999999999995E-7</v>
      </c>
      <c r="U84" s="351">
        <f t="shared" si="23"/>
        <v>1.9000005</v>
      </c>
    </row>
    <row r="85" spans="1:24" ht="13">
      <c r="A85" s="1232"/>
      <c r="B85" s="665">
        <v>4</v>
      </c>
      <c r="C85" s="325">
        <v>30</v>
      </c>
      <c r="D85" s="322">
        <v>-0.1</v>
      </c>
      <c r="E85" s="322">
        <v>-0.2</v>
      </c>
      <c r="F85" s="322">
        <v>-0.4</v>
      </c>
      <c r="G85" s="351">
        <f t="shared" si="21"/>
        <v>0.15000000000000002</v>
      </c>
      <c r="I85" s="665">
        <v>4</v>
      </c>
      <c r="J85" s="325">
        <v>60</v>
      </c>
      <c r="K85" s="325">
        <v>-5.6</v>
      </c>
      <c r="L85" s="325">
        <v>-3.9</v>
      </c>
      <c r="M85" s="325">
        <v>-1.1000000000000001</v>
      </c>
      <c r="N85" s="351">
        <f t="shared" si="22"/>
        <v>2.25</v>
      </c>
      <c r="P85" s="665">
        <v>4</v>
      </c>
      <c r="Q85" s="325">
        <v>990</v>
      </c>
      <c r="R85" s="326">
        <v>-0.2</v>
      </c>
      <c r="S85" s="326">
        <v>-3.6</v>
      </c>
      <c r="T85" s="352">
        <v>9.9999999999999995E-7</v>
      </c>
      <c r="U85" s="351">
        <f t="shared" si="23"/>
        <v>1.8000005000000001</v>
      </c>
    </row>
    <row r="86" spans="1:24" ht="13">
      <c r="A86" s="1232"/>
      <c r="B86" s="665">
        <v>5</v>
      </c>
      <c r="C86" s="325">
        <v>35</v>
      </c>
      <c r="D86" s="325">
        <v>-0.1</v>
      </c>
      <c r="E86" s="325">
        <v>-0.1</v>
      </c>
      <c r="F86" s="325">
        <v>-0.5</v>
      </c>
      <c r="G86" s="351">
        <f t="shared" si="21"/>
        <v>0.2</v>
      </c>
      <c r="I86" s="665">
        <v>5</v>
      </c>
      <c r="J86" s="325">
        <v>70</v>
      </c>
      <c r="K86" s="325">
        <v>-6.5</v>
      </c>
      <c r="L86" s="325">
        <v>-4.0999999999999996</v>
      </c>
      <c r="M86" s="325">
        <v>-1.2</v>
      </c>
      <c r="N86" s="351">
        <f t="shared" si="22"/>
        <v>2.65</v>
      </c>
      <c r="P86" s="665">
        <v>5</v>
      </c>
      <c r="Q86" s="325">
        <v>1000</v>
      </c>
      <c r="R86" s="326">
        <v>0.2</v>
      </c>
      <c r="S86" s="326">
        <v>-3.5</v>
      </c>
      <c r="T86" s="326">
        <v>0.2</v>
      </c>
      <c r="U86" s="351">
        <f t="shared" si="23"/>
        <v>1.85</v>
      </c>
    </row>
    <row r="87" spans="1:24" ht="13">
      <c r="A87" s="1232"/>
      <c r="B87" s="665">
        <v>6</v>
      </c>
      <c r="C87" s="325">
        <v>37</v>
      </c>
      <c r="D87" s="325">
        <v>-0.1</v>
      </c>
      <c r="E87" s="325">
        <v>-0.1</v>
      </c>
      <c r="F87" s="325">
        <v>-0.5</v>
      </c>
      <c r="G87" s="351">
        <f t="shared" si="21"/>
        <v>0.2</v>
      </c>
      <c r="I87" s="665">
        <v>6</v>
      </c>
      <c r="J87" s="325">
        <v>80</v>
      </c>
      <c r="K87" s="325">
        <v>-7.6</v>
      </c>
      <c r="L87" s="325">
        <v>-4.5</v>
      </c>
      <c r="M87" s="325">
        <v>-1.2</v>
      </c>
      <c r="N87" s="351">
        <f t="shared" si="22"/>
        <v>3.1999999999999997</v>
      </c>
      <c r="P87" s="665">
        <v>6</v>
      </c>
      <c r="Q87" s="325">
        <v>1010</v>
      </c>
      <c r="R87" s="326">
        <v>0.6</v>
      </c>
      <c r="S87" s="326">
        <v>-3.4</v>
      </c>
      <c r="T87" s="326">
        <v>0.2</v>
      </c>
      <c r="U87" s="351">
        <f t="shared" si="23"/>
        <v>2</v>
      </c>
    </row>
    <row r="88" spans="1:24" ht="13">
      <c r="A88" s="1232"/>
      <c r="B88" s="665">
        <v>7</v>
      </c>
      <c r="C88" s="325">
        <v>40</v>
      </c>
      <c r="D88" s="325">
        <v>-0.1</v>
      </c>
      <c r="E88" s="325">
        <v>9.9999999999999995E-7</v>
      </c>
      <c r="F88" s="325">
        <v>-0.4</v>
      </c>
      <c r="G88" s="351">
        <f t="shared" si="21"/>
        <v>0.2000005</v>
      </c>
      <c r="I88" s="665">
        <v>7</v>
      </c>
      <c r="J88" s="325">
        <v>90</v>
      </c>
      <c r="K88" s="325">
        <v>-9.1</v>
      </c>
      <c r="L88" s="325">
        <v>-4.9000000000000004</v>
      </c>
      <c r="M88" s="325">
        <v>-1.3</v>
      </c>
      <c r="N88" s="351">
        <f t="shared" si="22"/>
        <v>3.9</v>
      </c>
      <c r="P88" s="665">
        <v>7</v>
      </c>
      <c r="Q88" s="325">
        <v>1020</v>
      </c>
      <c r="R88" s="326"/>
      <c r="S88" s="326">
        <v>0</v>
      </c>
      <c r="T88" s="326">
        <v>9.9999999999999995E-7</v>
      </c>
      <c r="U88" s="351">
        <f t="shared" si="23"/>
        <v>4.9999999999999998E-7</v>
      </c>
    </row>
    <row r="89" spans="1:24" ht="13.5" thickBot="1">
      <c r="A89" s="357"/>
      <c r="B89" s="281"/>
      <c r="C89" s="281"/>
      <c r="D89" s="281"/>
      <c r="E89" s="358"/>
      <c r="G89" s="359"/>
      <c r="I89" s="281"/>
      <c r="J89" s="281"/>
      <c r="K89" s="281"/>
      <c r="L89" s="358"/>
      <c r="N89" s="359"/>
      <c r="R89" s="327"/>
    </row>
    <row r="90" spans="1:24">
      <c r="A90" s="1242">
        <v>9</v>
      </c>
      <c r="B90" s="1233" t="s">
        <v>469</v>
      </c>
      <c r="C90" s="1233"/>
      <c r="D90" s="1233"/>
      <c r="E90" s="1233"/>
      <c r="F90" s="1233"/>
      <c r="G90" s="1233"/>
      <c r="I90" s="1233" t="str">
        <f>B90</f>
        <v>KOREKSI GREISINGER 34904091</v>
      </c>
      <c r="J90" s="1233"/>
      <c r="K90" s="1233"/>
      <c r="L90" s="1233"/>
      <c r="M90" s="1233"/>
      <c r="N90" s="1233"/>
      <c r="P90" s="1233" t="str">
        <f>I90</f>
        <v>KOREKSI GREISINGER 34904091</v>
      </c>
      <c r="Q90" s="1233"/>
      <c r="R90" s="1233"/>
      <c r="S90" s="1233"/>
      <c r="T90" s="1233"/>
      <c r="U90" s="1233"/>
      <c r="W90" s="1227" t="s">
        <v>371</v>
      </c>
      <c r="X90" s="1228"/>
    </row>
    <row r="91" spans="1:24" ht="13">
      <c r="A91" s="1242"/>
      <c r="B91" s="1229" t="s">
        <v>456</v>
      </c>
      <c r="C91" s="1229"/>
      <c r="D91" s="1229" t="s">
        <v>457</v>
      </c>
      <c r="E91" s="1229"/>
      <c r="F91" s="1229"/>
      <c r="G91" s="1229" t="s">
        <v>357</v>
      </c>
      <c r="I91" s="1229" t="s">
        <v>458</v>
      </c>
      <c r="J91" s="1229"/>
      <c r="K91" s="1229" t="s">
        <v>457</v>
      </c>
      <c r="L91" s="1229"/>
      <c r="M91" s="1229"/>
      <c r="N91" s="1229" t="s">
        <v>357</v>
      </c>
      <c r="P91" s="1229" t="s">
        <v>459</v>
      </c>
      <c r="Q91" s="1229"/>
      <c r="R91" s="1229" t="s">
        <v>457</v>
      </c>
      <c r="S91" s="1229"/>
      <c r="T91" s="1229"/>
      <c r="U91" s="1229" t="s">
        <v>357</v>
      </c>
      <c r="W91" s="347" t="s">
        <v>456</v>
      </c>
      <c r="X91" s="348">
        <v>0.3</v>
      </c>
    </row>
    <row r="92" spans="1:24" ht="14.5">
      <c r="A92" s="1242"/>
      <c r="B92" s="1230" t="s">
        <v>460</v>
      </c>
      <c r="C92" s="1230"/>
      <c r="D92" s="349">
        <v>2019</v>
      </c>
      <c r="E92" s="360" t="s">
        <v>101</v>
      </c>
      <c r="F92" s="349">
        <v>2016</v>
      </c>
      <c r="G92" s="1229"/>
      <c r="I92" s="1231" t="s">
        <v>15</v>
      </c>
      <c r="J92" s="1230"/>
      <c r="K92" s="361">
        <f>D92</f>
        <v>2019</v>
      </c>
      <c r="L92" s="361" t="str">
        <f>E92</f>
        <v>-</v>
      </c>
      <c r="M92" s="349">
        <v>2016</v>
      </c>
      <c r="N92" s="1229"/>
      <c r="P92" s="1231" t="s">
        <v>461</v>
      </c>
      <c r="Q92" s="1230"/>
      <c r="R92" s="361">
        <f>K92</f>
        <v>2019</v>
      </c>
      <c r="S92" s="361" t="str">
        <f>L92</f>
        <v>-</v>
      </c>
      <c r="T92" s="349">
        <v>2016</v>
      </c>
      <c r="U92" s="1229"/>
      <c r="W92" s="347" t="s">
        <v>15</v>
      </c>
      <c r="X92" s="348">
        <v>2.4</v>
      </c>
    </row>
    <row r="93" spans="1:24" ht="13.5" thickBot="1">
      <c r="A93" s="1242"/>
      <c r="B93" s="665">
        <v>1</v>
      </c>
      <c r="C93" s="322">
        <v>15</v>
      </c>
      <c r="D93" s="350">
        <v>9.9999999999999995E-7</v>
      </c>
      <c r="E93" s="350" t="s">
        <v>101</v>
      </c>
      <c r="F93" s="356"/>
      <c r="G93" s="351">
        <f>0.5*(MAX(D93:F93)-MIN(D93:F93))</f>
        <v>0</v>
      </c>
      <c r="I93" s="665">
        <v>1</v>
      </c>
      <c r="J93" s="322">
        <v>30</v>
      </c>
      <c r="K93" s="350">
        <v>-1.2</v>
      </c>
      <c r="L93" s="350" t="s">
        <v>101</v>
      </c>
      <c r="M93" s="356"/>
      <c r="N93" s="351">
        <f>0.5*(MAX(K93:M93)-MIN(K93:M93))</f>
        <v>0</v>
      </c>
      <c r="P93" s="665">
        <v>1</v>
      </c>
      <c r="Q93" s="322">
        <v>750</v>
      </c>
      <c r="R93" s="352">
        <v>9.9999999999999995E-7</v>
      </c>
      <c r="S93" s="352" t="s">
        <v>101</v>
      </c>
      <c r="T93" s="322">
        <v>9.9999999999999995E-7</v>
      </c>
      <c r="U93" s="351">
        <f>0.5*(MAX(R93:T93)-MIN(R93:T93))</f>
        <v>0</v>
      </c>
      <c r="W93" s="353" t="s">
        <v>461</v>
      </c>
      <c r="X93" s="320">
        <v>2.2000000000000002</v>
      </c>
    </row>
    <row r="94" spans="1:24" ht="13">
      <c r="A94" s="1242"/>
      <c r="B94" s="665">
        <v>2</v>
      </c>
      <c r="C94" s="322">
        <v>20</v>
      </c>
      <c r="D94" s="350">
        <v>-0.2</v>
      </c>
      <c r="E94" s="350" t="s">
        <v>101</v>
      </c>
      <c r="F94" s="356"/>
      <c r="G94" s="351">
        <f t="shared" ref="G94:G99" si="24">0.5*(MAX(D94:F94)-MIN(D94:F94))</f>
        <v>0</v>
      </c>
      <c r="I94" s="665">
        <v>2</v>
      </c>
      <c r="J94" s="322">
        <v>40</v>
      </c>
      <c r="K94" s="350">
        <v>-1</v>
      </c>
      <c r="L94" s="350" t="s">
        <v>101</v>
      </c>
      <c r="M94" s="356"/>
      <c r="N94" s="351">
        <f t="shared" ref="N94:N99" si="25">0.5*(MAX(K94:M94)-MIN(K94:M94))</f>
        <v>0</v>
      </c>
      <c r="P94" s="665">
        <v>2</v>
      </c>
      <c r="Q94" s="322">
        <v>800</v>
      </c>
      <c r="R94" s="352">
        <v>9.9999999999999995E-7</v>
      </c>
      <c r="S94" s="352" t="s">
        <v>101</v>
      </c>
      <c r="T94" s="322">
        <v>9.9999999999999995E-7</v>
      </c>
      <c r="U94" s="351">
        <f t="shared" ref="U94:U99" si="26">0.5*(MAX(R94:T94)-MIN(R94:T94))</f>
        <v>0</v>
      </c>
    </row>
    <row r="95" spans="1:24" ht="13">
      <c r="A95" s="1242"/>
      <c r="B95" s="665">
        <v>3</v>
      </c>
      <c r="C95" s="322">
        <v>25</v>
      </c>
      <c r="D95" s="350">
        <v>-0.4</v>
      </c>
      <c r="E95" s="350" t="s">
        <v>101</v>
      </c>
      <c r="F95" s="356"/>
      <c r="G95" s="351">
        <f t="shared" si="24"/>
        <v>0</v>
      </c>
      <c r="I95" s="665">
        <v>3</v>
      </c>
      <c r="J95" s="322">
        <v>50</v>
      </c>
      <c r="K95" s="350">
        <v>-0.9</v>
      </c>
      <c r="L95" s="350" t="s">
        <v>101</v>
      </c>
      <c r="M95" s="356"/>
      <c r="N95" s="351">
        <f t="shared" si="25"/>
        <v>0</v>
      </c>
      <c r="P95" s="665">
        <v>3</v>
      </c>
      <c r="Q95" s="322">
        <v>850</v>
      </c>
      <c r="R95" s="352">
        <v>9.9999999999999995E-7</v>
      </c>
      <c r="S95" s="352" t="s">
        <v>101</v>
      </c>
      <c r="T95" s="322">
        <v>9.9999999999999995E-7</v>
      </c>
      <c r="U95" s="351">
        <f t="shared" si="26"/>
        <v>0</v>
      </c>
    </row>
    <row r="96" spans="1:24" ht="13">
      <c r="A96" s="1242"/>
      <c r="B96" s="665">
        <v>4</v>
      </c>
      <c r="C96" s="325">
        <v>30</v>
      </c>
      <c r="D96" s="350">
        <v>-0.5</v>
      </c>
      <c r="E96" s="326" t="s">
        <v>101</v>
      </c>
      <c r="F96" s="356"/>
      <c r="G96" s="351">
        <f t="shared" si="24"/>
        <v>0</v>
      </c>
      <c r="I96" s="665">
        <v>4</v>
      </c>
      <c r="J96" s="325">
        <v>60</v>
      </c>
      <c r="K96" s="350">
        <v>-0.8</v>
      </c>
      <c r="L96" s="326" t="s">
        <v>101</v>
      </c>
      <c r="M96" s="356"/>
      <c r="N96" s="351">
        <f t="shared" si="25"/>
        <v>0</v>
      </c>
      <c r="P96" s="665">
        <v>4</v>
      </c>
      <c r="Q96" s="325">
        <v>900</v>
      </c>
      <c r="R96" s="352">
        <v>9.9999999999999995E-7</v>
      </c>
      <c r="S96" s="326" t="s">
        <v>101</v>
      </c>
      <c r="T96" s="322">
        <v>9.9999999999999995E-7</v>
      </c>
      <c r="U96" s="351">
        <f t="shared" si="26"/>
        <v>0</v>
      </c>
    </row>
    <row r="97" spans="1:28" ht="13">
      <c r="A97" s="1242"/>
      <c r="B97" s="665">
        <v>5</v>
      </c>
      <c r="C97" s="325">
        <v>35</v>
      </c>
      <c r="D97" s="350">
        <v>-0.5</v>
      </c>
      <c r="E97" s="326" t="s">
        <v>101</v>
      </c>
      <c r="F97" s="356"/>
      <c r="G97" s="351">
        <f t="shared" si="24"/>
        <v>0</v>
      </c>
      <c r="I97" s="665">
        <v>5</v>
      </c>
      <c r="J97" s="325">
        <v>70</v>
      </c>
      <c r="K97" s="350">
        <v>-0.6</v>
      </c>
      <c r="L97" s="326" t="s">
        <v>101</v>
      </c>
      <c r="M97" s="356"/>
      <c r="N97" s="351">
        <f t="shared" si="25"/>
        <v>0</v>
      </c>
      <c r="P97" s="665">
        <v>5</v>
      </c>
      <c r="Q97" s="325">
        <v>1000</v>
      </c>
      <c r="R97" s="326">
        <v>0.2</v>
      </c>
      <c r="S97" s="326" t="s">
        <v>101</v>
      </c>
      <c r="T97" s="322">
        <v>9.9999999999999995E-7</v>
      </c>
      <c r="U97" s="351">
        <f t="shared" si="26"/>
        <v>9.9999500000000005E-2</v>
      </c>
    </row>
    <row r="98" spans="1:28" ht="13">
      <c r="A98" s="1242"/>
      <c r="B98" s="665">
        <v>6</v>
      </c>
      <c r="C98" s="325">
        <v>37</v>
      </c>
      <c r="D98" s="350">
        <v>-0.5</v>
      </c>
      <c r="E98" s="326" t="s">
        <v>101</v>
      </c>
      <c r="F98" s="356"/>
      <c r="G98" s="351">
        <f t="shared" si="24"/>
        <v>0</v>
      </c>
      <c r="I98" s="665">
        <v>6</v>
      </c>
      <c r="J98" s="325">
        <v>80</v>
      </c>
      <c r="K98" s="350">
        <v>-0.5</v>
      </c>
      <c r="L98" s="326" t="s">
        <v>101</v>
      </c>
      <c r="M98" s="356"/>
      <c r="N98" s="351">
        <f t="shared" si="25"/>
        <v>0</v>
      </c>
      <c r="P98" s="665">
        <v>6</v>
      </c>
      <c r="Q98" s="325">
        <v>1005</v>
      </c>
      <c r="R98" s="326">
        <v>0.2</v>
      </c>
      <c r="S98" s="326" t="s">
        <v>101</v>
      </c>
      <c r="T98" s="322">
        <v>9.9999999999999995E-7</v>
      </c>
      <c r="U98" s="351">
        <f t="shared" si="26"/>
        <v>9.9999500000000005E-2</v>
      </c>
    </row>
    <row r="99" spans="1:28" ht="13">
      <c r="A99" s="1242"/>
      <c r="B99" s="665">
        <v>7</v>
      </c>
      <c r="C99" s="325">
        <v>40</v>
      </c>
      <c r="D99" s="350">
        <v>-0.4</v>
      </c>
      <c r="E99" s="326" t="s">
        <v>101</v>
      </c>
      <c r="F99" s="356"/>
      <c r="G99" s="351">
        <f t="shared" si="24"/>
        <v>0</v>
      </c>
      <c r="I99" s="665">
        <v>7</v>
      </c>
      <c r="J99" s="325">
        <v>90</v>
      </c>
      <c r="K99" s="350">
        <v>-0.2</v>
      </c>
      <c r="L99" s="326" t="s">
        <v>101</v>
      </c>
      <c r="M99" s="356"/>
      <c r="N99" s="351">
        <f t="shared" si="25"/>
        <v>0</v>
      </c>
      <c r="P99" s="665">
        <v>7</v>
      </c>
      <c r="Q99" s="325">
        <v>1020</v>
      </c>
      <c r="R99" s="326">
        <v>9.9999999999999995E-7</v>
      </c>
      <c r="S99" s="326" t="s">
        <v>101</v>
      </c>
      <c r="T99" s="322">
        <v>9.9999999999999995E-7</v>
      </c>
      <c r="U99" s="351">
        <f t="shared" si="26"/>
        <v>0</v>
      </c>
    </row>
    <row r="100" spans="1:28" ht="13.5" thickBot="1">
      <c r="A100" s="357"/>
      <c r="B100" s="281"/>
      <c r="C100" s="281"/>
      <c r="D100" s="281"/>
      <c r="E100" s="358"/>
      <c r="G100" s="359"/>
      <c r="I100" s="281"/>
      <c r="J100" s="281"/>
      <c r="K100" s="281"/>
      <c r="L100" s="358"/>
      <c r="N100" s="359"/>
      <c r="R100" s="327"/>
      <c r="AB100" s="328"/>
    </row>
    <row r="101" spans="1:28">
      <c r="A101" s="1232">
        <v>10</v>
      </c>
      <c r="B101" s="1233" t="s">
        <v>470</v>
      </c>
      <c r="C101" s="1233"/>
      <c r="D101" s="1233"/>
      <c r="E101" s="1233"/>
      <c r="F101" s="1233"/>
      <c r="G101" s="1233"/>
      <c r="I101" s="1233" t="str">
        <f>B101</f>
        <v>KOREKSI Sekonic HE-21.000669</v>
      </c>
      <c r="J101" s="1233"/>
      <c r="K101" s="1233"/>
      <c r="L101" s="1233"/>
      <c r="M101" s="1233"/>
      <c r="N101" s="1233"/>
      <c r="P101" s="1233" t="str">
        <f>I101</f>
        <v>KOREKSI Sekonic HE-21.000669</v>
      </c>
      <c r="Q101" s="1233"/>
      <c r="R101" s="1233"/>
      <c r="S101" s="1233"/>
      <c r="T101" s="1233"/>
      <c r="U101" s="1233"/>
      <c r="W101" s="1227" t="s">
        <v>371</v>
      </c>
      <c r="X101" s="1228"/>
    </row>
    <row r="102" spans="1:28" ht="13">
      <c r="A102" s="1232"/>
      <c r="B102" s="1229" t="s">
        <v>456</v>
      </c>
      <c r="C102" s="1229"/>
      <c r="D102" s="1229" t="s">
        <v>457</v>
      </c>
      <c r="E102" s="1229"/>
      <c r="F102" s="1229"/>
      <c r="G102" s="1229" t="s">
        <v>357</v>
      </c>
      <c r="I102" s="1229" t="s">
        <v>458</v>
      </c>
      <c r="J102" s="1229"/>
      <c r="K102" s="1229" t="s">
        <v>457</v>
      </c>
      <c r="L102" s="1229"/>
      <c r="M102" s="1229"/>
      <c r="N102" s="1229" t="s">
        <v>357</v>
      </c>
      <c r="P102" s="1229" t="s">
        <v>459</v>
      </c>
      <c r="Q102" s="1229"/>
      <c r="R102" s="1229" t="s">
        <v>457</v>
      </c>
      <c r="S102" s="1229"/>
      <c r="T102" s="1229"/>
      <c r="U102" s="1229" t="s">
        <v>357</v>
      </c>
      <c r="W102" s="347" t="s">
        <v>456</v>
      </c>
      <c r="X102" s="348">
        <v>0.3</v>
      </c>
    </row>
    <row r="103" spans="1:28" ht="14.5">
      <c r="A103" s="1232"/>
      <c r="B103" s="1230" t="s">
        <v>460</v>
      </c>
      <c r="C103" s="1230"/>
      <c r="D103" s="349">
        <v>2019</v>
      </c>
      <c r="E103" s="349">
        <v>2016</v>
      </c>
      <c r="F103" s="349">
        <v>2016</v>
      </c>
      <c r="G103" s="1229"/>
      <c r="I103" s="1231" t="s">
        <v>15</v>
      </c>
      <c r="J103" s="1230"/>
      <c r="K103" s="361">
        <f>D103</f>
        <v>2019</v>
      </c>
      <c r="L103" s="361">
        <f>E103</f>
        <v>2016</v>
      </c>
      <c r="M103" s="349">
        <v>2016</v>
      </c>
      <c r="N103" s="1229"/>
      <c r="P103" s="1231" t="s">
        <v>461</v>
      </c>
      <c r="Q103" s="1230"/>
      <c r="R103" s="349">
        <f>K103</f>
        <v>2019</v>
      </c>
      <c r="S103" s="349">
        <f>L103</f>
        <v>2016</v>
      </c>
      <c r="T103" s="349">
        <v>2016</v>
      </c>
      <c r="U103" s="1229"/>
      <c r="W103" s="347" t="s">
        <v>15</v>
      </c>
      <c r="X103" s="348">
        <v>1.5</v>
      </c>
    </row>
    <row r="104" spans="1:28" ht="13.5" thickBot="1">
      <c r="A104" s="1232"/>
      <c r="B104" s="665">
        <v>1</v>
      </c>
      <c r="C104" s="322">
        <v>15</v>
      </c>
      <c r="D104" s="322">
        <v>0.2</v>
      </c>
      <c r="E104" s="322">
        <v>0.2</v>
      </c>
      <c r="F104" s="356"/>
      <c r="G104" s="351">
        <f>0.5*(MAX(D104:F104)-MIN(D104:F104))</f>
        <v>0</v>
      </c>
      <c r="I104" s="665">
        <v>1</v>
      </c>
      <c r="J104" s="350">
        <v>30</v>
      </c>
      <c r="K104" s="322">
        <v>-2.9</v>
      </c>
      <c r="L104" s="322">
        <v>-5.8</v>
      </c>
      <c r="M104" s="356"/>
      <c r="N104" s="351">
        <f>0.5*(MAX(K104:M104)-MIN(K104:M104))</f>
        <v>1.45</v>
      </c>
      <c r="P104" s="665">
        <v>1</v>
      </c>
      <c r="Q104" s="322">
        <v>750</v>
      </c>
      <c r="R104" s="352" t="s">
        <v>101</v>
      </c>
      <c r="S104" s="352" t="s">
        <v>101</v>
      </c>
      <c r="T104" s="322">
        <v>9.9999999999999995E-7</v>
      </c>
      <c r="U104" s="351">
        <f>0.5*(MAX(R104:T104)-MIN(R104:T104))</f>
        <v>0</v>
      </c>
      <c r="W104" s="353" t="s">
        <v>461</v>
      </c>
      <c r="X104" s="320">
        <v>0</v>
      </c>
    </row>
    <row r="105" spans="1:28" ht="13">
      <c r="A105" s="1232"/>
      <c r="B105" s="665">
        <v>2</v>
      </c>
      <c r="C105" s="322">
        <v>20</v>
      </c>
      <c r="D105" s="322">
        <v>0.2</v>
      </c>
      <c r="E105" s="322">
        <v>-0.7</v>
      </c>
      <c r="F105" s="356"/>
      <c r="G105" s="351">
        <f t="shared" ref="G105:G110" si="27">0.5*(MAX(D105:F105)-MIN(D105:F105))</f>
        <v>0.44999999999999996</v>
      </c>
      <c r="I105" s="665">
        <v>2</v>
      </c>
      <c r="J105" s="350">
        <v>40</v>
      </c>
      <c r="K105" s="322">
        <v>-3.3</v>
      </c>
      <c r="L105" s="322">
        <v>-6.4</v>
      </c>
      <c r="M105" s="356"/>
      <c r="N105" s="351">
        <f t="shared" ref="N105:N110" si="28">0.5*(MAX(K105:M105)-MIN(K105:M105))</f>
        <v>1.5500000000000003</v>
      </c>
      <c r="P105" s="665">
        <v>2</v>
      </c>
      <c r="Q105" s="322">
        <v>800</v>
      </c>
      <c r="R105" s="352" t="s">
        <v>101</v>
      </c>
      <c r="S105" s="352" t="s">
        <v>101</v>
      </c>
      <c r="T105" s="322">
        <v>9.9999999999999995E-7</v>
      </c>
      <c r="U105" s="351">
        <f t="shared" ref="U105:U110" si="29">0.5*(MAX(R105:T105)-MIN(R105:T105))</f>
        <v>0</v>
      </c>
    </row>
    <row r="106" spans="1:28" ht="13">
      <c r="A106" s="1232"/>
      <c r="B106" s="665">
        <v>3</v>
      </c>
      <c r="C106" s="322">
        <v>25</v>
      </c>
      <c r="D106" s="322">
        <v>0.1</v>
      </c>
      <c r="E106" s="322">
        <v>-0.5</v>
      </c>
      <c r="F106" s="356"/>
      <c r="G106" s="351">
        <f t="shared" si="27"/>
        <v>0.3</v>
      </c>
      <c r="I106" s="665">
        <v>3</v>
      </c>
      <c r="J106" s="350">
        <v>50</v>
      </c>
      <c r="K106" s="322">
        <v>-3.1</v>
      </c>
      <c r="L106" s="322">
        <v>-6.1</v>
      </c>
      <c r="M106" s="356"/>
      <c r="N106" s="351">
        <f t="shared" si="28"/>
        <v>1.4999999999999998</v>
      </c>
      <c r="P106" s="665">
        <v>3</v>
      </c>
      <c r="Q106" s="322">
        <v>850</v>
      </c>
      <c r="R106" s="352" t="s">
        <v>101</v>
      </c>
      <c r="S106" s="352" t="s">
        <v>101</v>
      </c>
      <c r="T106" s="322">
        <v>9.9999999999999995E-7</v>
      </c>
      <c r="U106" s="351">
        <f t="shared" si="29"/>
        <v>0</v>
      </c>
    </row>
    <row r="107" spans="1:28" ht="13">
      <c r="A107" s="1232"/>
      <c r="B107" s="665">
        <v>4</v>
      </c>
      <c r="C107" s="325">
        <v>30</v>
      </c>
      <c r="D107" s="325">
        <v>0.1</v>
      </c>
      <c r="E107" s="325">
        <v>0.2</v>
      </c>
      <c r="F107" s="356"/>
      <c r="G107" s="351">
        <f t="shared" si="27"/>
        <v>0.05</v>
      </c>
      <c r="I107" s="665">
        <v>4</v>
      </c>
      <c r="J107" s="362">
        <v>60</v>
      </c>
      <c r="K107" s="325">
        <v>-2.1</v>
      </c>
      <c r="L107" s="325">
        <v>-5.6</v>
      </c>
      <c r="M107" s="356"/>
      <c r="N107" s="351">
        <f t="shared" si="28"/>
        <v>1.7499999999999998</v>
      </c>
      <c r="P107" s="665">
        <v>4</v>
      </c>
      <c r="Q107" s="325">
        <v>900</v>
      </c>
      <c r="R107" s="326" t="s">
        <v>101</v>
      </c>
      <c r="S107" s="326" t="s">
        <v>101</v>
      </c>
      <c r="T107" s="322">
        <v>9.9999999999999995E-7</v>
      </c>
      <c r="U107" s="351">
        <f t="shared" si="29"/>
        <v>0</v>
      </c>
    </row>
    <row r="108" spans="1:28" ht="13">
      <c r="A108" s="1232"/>
      <c r="B108" s="665">
        <v>5</v>
      </c>
      <c r="C108" s="325">
        <v>35</v>
      </c>
      <c r="D108" s="325">
        <v>0.2</v>
      </c>
      <c r="E108" s="325">
        <v>0.8</v>
      </c>
      <c r="F108" s="356"/>
      <c r="G108" s="351">
        <f t="shared" si="27"/>
        <v>0.30000000000000004</v>
      </c>
      <c r="I108" s="665">
        <v>5</v>
      </c>
      <c r="J108" s="362">
        <v>70</v>
      </c>
      <c r="K108" s="325">
        <v>-0.3</v>
      </c>
      <c r="L108" s="325">
        <v>-5.0999999999999996</v>
      </c>
      <c r="M108" s="356"/>
      <c r="N108" s="351">
        <f t="shared" si="28"/>
        <v>2.4</v>
      </c>
      <c r="P108" s="665">
        <v>5</v>
      </c>
      <c r="Q108" s="325">
        <v>1000</v>
      </c>
      <c r="R108" s="326" t="s">
        <v>101</v>
      </c>
      <c r="S108" s="326" t="s">
        <v>101</v>
      </c>
      <c r="T108" s="322">
        <v>9.9999999999999995E-7</v>
      </c>
      <c r="U108" s="351">
        <f t="shared" si="29"/>
        <v>0</v>
      </c>
    </row>
    <row r="109" spans="1:28" ht="13">
      <c r="A109" s="1232"/>
      <c r="B109" s="665">
        <v>6</v>
      </c>
      <c r="C109" s="325">
        <v>37</v>
      </c>
      <c r="D109" s="325">
        <v>0.2</v>
      </c>
      <c r="E109" s="325">
        <v>0.4</v>
      </c>
      <c r="F109" s="356"/>
      <c r="G109" s="351">
        <f t="shared" si="27"/>
        <v>0.1</v>
      </c>
      <c r="I109" s="665">
        <v>6</v>
      </c>
      <c r="J109" s="362">
        <v>80</v>
      </c>
      <c r="K109" s="325">
        <v>2.2000000000000002</v>
      </c>
      <c r="L109" s="325">
        <v>-4.7</v>
      </c>
      <c r="M109" s="356"/>
      <c r="N109" s="351">
        <f t="shared" si="28"/>
        <v>3.45</v>
      </c>
      <c r="P109" s="665">
        <v>6</v>
      </c>
      <c r="Q109" s="325">
        <v>1005</v>
      </c>
      <c r="R109" s="326" t="s">
        <v>101</v>
      </c>
      <c r="S109" s="326" t="s">
        <v>101</v>
      </c>
      <c r="T109" s="322">
        <v>9.9999999999999995E-7</v>
      </c>
      <c r="U109" s="351">
        <f t="shared" si="29"/>
        <v>0</v>
      </c>
    </row>
    <row r="110" spans="1:28" ht="13.5" thickBot="1">
      <c r="A110" s="1232"/>
      <c r="B110" s="665">
        <v>7</v>
      </c>
      <c r="C110" s="362">
        <v>40</v>
      </c>
      <c r="D110" s="350">
        <v>0.2</v>
      </c>
      <c r="E110" s="350">
        <v>9.9999999999999995E-7</v>
      </c>
      <c r="F110" s="356"/>
      <c r="G110" s="351">
        <f t="shared" si="27"/>
        <v>9.9999500000000005E-2</v>
      </c>
      <c r="I110" s="665">
        <v>7</v>
      </c>
      <c r="J110" s="362">
        <v>90</v>
      </c>
      <c r="K110" s="362">
        <v>5.4</v>
      </c>
      <c r="L110" s="362">
        <v>9.9999999999999995E-7</v>
      </c>
      <c r="M110" s="356"/>
      <c r="N110" s="351">
        <f t="shared" si="28"/>
        <v>2.6999995000000001</v>
      </c>
      <c r="P110" s="665">
        <v>7</v>
      </c>
      <c r="Q110" s="325">
        <v>1020</v>
      </c>
      <c r="R110" s="326" t="s">
        <v>101</v>
      </c>
      <c r="S110" s="326" t="s">
        <v>101</v>
      </c>
      <c r="T110" s="322">
        <v>9.9999999999999995E-7</v>
      </c>
      <c r="U110" s="351">
        <f t="shared" si="29"/>
        <v>0</v>
      </c>
    </row>
    <row r="111" spans="1:28" ht="13.5" thickBot="1">
      <c r="A111" s="357"/>
      <c r="B111" s="281"/>
      <c r="C111" s="281"/>
      <c r="D111" s="281"/>
      <c r="E111" s="358"/>
      <c r="F111" s="359"/>
      <c r="G111" s="328"/>
      <c r="H111" s="281"/>
      <c r="I111" s="281"/>
      <c r="J111" s="281"/>
      <c r="K111" s="358"/>
      <c r="L111" s="359"/>
      <c r="M111" s="328"/>
      <c r="O111" s="319"/>
      <c r="P111" s="327"/>
    </row>
    <row r="112" spans="1:28">
      <c r="A112" s="1242">
        <v>11</v>
      </c>
      <c r="B112" s="1233" t="s">
        <v>471</v>
      </c>
      <c r="C112" s="1233"/>
      <c r="D112" s="1233"/>
      <c r="E112" s="1233"/>
      <c r="F112" s="1233"/>
      <c r="G112" s="1233"/>
      <c r="I112" s="1233" t="str">
        <f>B112</f>
        <v>KOREKSI Sekonic HE-21.000670</v>
      </c>
      <c r="J112" s="1233"/>
      <c r="K112" s="1233"/>
      <c r="L112" s="1233"/>
      <c r="M112" s="1233"/>
      <c r="N112" s="1233"/>
      <c r="P112" s="1233" t="str">
        <f>I112</f>
        <v>KOREKSI Sekonic HE-21.000670</v>
      </c>
      <c r="Q112" s="1233"/>
      <c r="R112" s="1233"/>
      <c r="S112" s="1233"/>
      <c r="T112" s="1233"/>
      <c r="U112" s="1233"/>
      <c r="W112" s="1227" t="s">
        <v>371</v>
      </c>
      <c r="X112" s="1228"/>
      <c r="AB112" s="319"/>
    </row>
    <row r="113" spans="1:24" ht="13">
      <c r="A113" s="1242"/>
      <c r="B113" s="1229" t="s">
        <v>456</v>
      </c>
      <c r="C113" s="1229"/>
      <c r="D113" s="1229" t="s">
        <v>457</v>
      </c>
      <c r="E113" s="1229"/>
      <c r="F113" s="1229"/>
      <c r="G113" s="1229" t="s">
        <v>357</v>
      </c>
      <c r="I113" s="1229" t="s">
        <v>458</v>
      </c>
      <c r="J113" s="1229"/>
      <c r="K113" s="1229" t="s">
        <v>457</v>
      </c>
      <c r="L113" s="1229"/>
      <c r="M113" s="1229"/>
      <c r="N113" s="1229" t="s">
        <v>357</v>
      </c>
      <c r="P113" s="1229" t="s">
        <v>459</v>
      </c>
      <c r="Q113" s="1229"/>
      <c r="R113" s="1229" t="s">
        <v>457</v>
      </c>
      <c r="S113" s="1229"/>
      <c r="T113" s="1229"/>
      <c r="U113" s="1229" t="s">
        <v>357</v>
      </c>
      <c r="W113" s="347" t="s">
        <v>456</v>
      </c>
      <c r="X113" s="348">
        <v>0.3</v>
      </c>
    </row>
    <row r="114" spans="1:24" ht="14.5">
      <c r="A114" s="1242"/>
      <c r="B114" s="1230" t="s">
        <v>460</v>
      </c>
      <c r="C114" s="1230"/>
      <c r="D114" s="349">
        <v>2020</v>
      </c>
      <c r="E114" s="360">
        <v>2016</v>
      </c>
      <c r="F114" s="349">
        <v>2016</v>
      </c>
      <c r="G114" s="1229"/>
      <c r="I114" s="1231" t="s">
        <v>15</v>
      </c>
      <c r="J114" s="1230"/>
      <c r="K114" s="361">
        <f>D114</f>
        <v>2020</v>
      </c>
      <c r="L114" s="361">
        <f>E114</f>
        <v>2016</v>
      </c>
      <c r="M114" s="349">
        <v>2016</v>
      </c>
      <c r="N114" s="1229"/>
      <c r="P114" s="1231" t="s">
        <v>461</v>
      </c>
      <c r="Q114" s="1230"/>
      <c r="R114" s="361">
        <f>K114</f>
        <v>2020</v>
      </c>
      <c r="S114" s="361">
        <f>L114</f>
        <v>2016</v>
      </c>
      <c r="T114" s="349">
        <v>2016</v>
      </c>
      <c r="U114" s="1229"/>
      <c r="W114" s="347" t="s">
        <v>15</v>
      </c>
      <c r="X114" s="348">
        <v>1.8</v>
      </c>
    </row>
    <row r="115" spans="1:24" ht="13.5" thickBot="1">
      <c r="A115" s="1242"/>
      <c r="B115" s="665">
        <v>1</v>
      </c>
      <c r="C115" s="322">
        <v>15</v>
      </c>
      <c r="D115" s="322">
        <v>0.3</v>
      </c>
      <c r="E115" s="322">
        <v>0.3</v>
      </c>
      <c r="F115" s="356"/>
      <c r="G115" s="351">
        <f>0.5*(MAX(D115:F115)-MIN(D115:F115))</f>
        <v>0</v>
      </c>
      <c r="I115" s="665">
        <v>1</v>
      </c>
      <c r="J115" s="322">
        <v>30</v>
      </c>
      <c r="K115" s="322">
        <v>-5.2</v>
      </c>
      <c r="L115" s="322">
        <v>-6.4</v>
      </c>
      <c r="M115" s="356"/>
      <c r="N115" s="351">
        <f>0.5*(MAX(K115:M115)-MIN(K115:M115))</f>
        <v>0.60000000000000009</v>
      </c>
      <c r="P115" s="665">
        <v>1</v>
      </c>
      <c r="Q115" s="322">
        <v>750</v>
      </c>
      <c r="R115" s="352" t="s">
        <v>101</v>
      </c>
      <c r="S115" s="350" t="s">
        <v>101</v>
      </c>
      <c r="T115" s="322">
        <v>9.9999999999999995E-7</v>
      </c>
      <c r="U115" s="351">
        <f>0.5*(MAX(R115:T115)-MIN(R115:T115))</f>
        <v>0</v>
      </c>
      <c r="W115" s="353" t="s">
        <v>461</v>
      </c>
      <c r="X115" s="320">
        <v>0</v>
      </c>
    </row>
    <row r="116" spans="1:24" ht="13">
      <c r="A116" s="1242"/>
      <c r="B116" s="665">
        <v>2</v>
      </c>
      <c r="C116" s="322">
        <v>20</v>
      </c>
      <c r="D116" s="322">
        <v>0.4</v>
      </c>
      <c r="E116" s="322">
        <v>0.5</v>
      </c>
      <c r="F116" s="356"/>
      <c r="G116" s="351">
        <f t="shared" ref="G116:G121" si="30">0.5*(MAX(D116:F116)-MIN(D116:F116))</f>
        <v>4.9999999999999989E-2</v>
      </c>
      <c r="I116" s="665">
        <v>2</v>
      </c>
      <c r="J116" s="322">
        <v>40</v>
      </c>
      <c r="K116" s="322">
        <v>-5.5</v>
      </c>
      <c r="L116" s="322">
        <v>-5.9</v>
      </c>
      <c r="M116" s="356"/>
      <c r="N116" s="351">
        <f t="shared" ref="N116:N121" si="31">0.5*(MAX(K116:M116)-MIN(K116:M116))</f>
        <v>0.20000000000000018</v>
      </c>
      <c r="P116" s="665">
        <v>2</v>
      </c>
      <c r="Q116" s="322">
        <v>800</v>
      </c>
      <c r="R116" s="352" t="s">
        <v>101</v>
      </c>
      <c r="S116" s="350" t="s">
        <v>101</v>
      </c>
      <c r="T116" s="322">
        <v>9.9999999999999995E-7</v>
      </c>
      <c r="U116" s="351">
        <f t="shared" ref="U116:U121" si="32">0.5*(MAX(R116:T116)-MIN(R116:T116))</f>
        <v>0</v>
      </c>
    </row>
    <row r="117" spans="1:24" ht="13">
      <c r="A117" s="1242"/>
      <c r="B117" s="665">
        <v>3</v>
      </c>
      <c r="C117" s="322">
        <v>25</v>
      </c>
      <c r="D117" s="322">
        <v>0.4</v>
      </c>
      <c r="E117" s="322">
        <v>0.5</v>
      </c>
      <c r="F117" s="356"/>
      <c r="G117" s="351">
        <f t="shared" si="30"/>
        <v>4.9999999999999989E-2</v>
      </c>
      <c r="I117" s="665">
        <v>3</v>
      </c>
      <c r="J117" s="322">
        <v>50</v>
      </c>
      <c r="K117" s="322">
        <v>-5.5</v>
      </c>
      <c r="L117" s="322">
        <v>-5.6</v>
      </c>
      <c r="M117" s="356"/>
      <c r="N117" s="351">
        <f t="shared" si="31"/>
        <v>4.9999999999999822E-2</v>
      </c>
      <c r="P117" s="665">
        <v>3</v>
      </c>
      <c r="Q117" s="322">
        <v>850</v>
      </c>
      <c r="R117" s="352" t="s">
        <v>101</v>
      </c>
      <c r="S117" s="350" t="s">
        <v>101</v>
      </c>
      <c r="T117" s="322">
        <v>9.9999999999999995E-7</v>
      </c>
      <c r="U117" s="351">
        <f t="shared" si="32"/>
        <v>0</v>
      </c>
    </row>
    <row r="118" spans="1:24" ht="13">
      <c r="A118" s="1242"/>
      <c r="B118" s="665">
        <v>4</v>
      </c>
      <c r="C118" s="325">
        <v>30</v>
      </c>
      <c r="D118" s="325">
        <v>0.5</v>
      </c>
      <c r="E118" s="325">
        <v>0.4</v>
      </c>
      <c r="F118" s="356"/>
      <c r="G118" s="351">
        <f t="shared" si="30"/>
        <v>4.9999999999999989E-2</v>
      </c>
      <c r="I118" s="665">
        <v>4</v>
      </c>
      <c r="J118" s="325">
        <v>60</v>
      </c>
      <c r="K118" s="325">
        <v>-4.8</v>
      </c>
      <c r="L118" s="325">
        <v>-4.5</v>
      </c>
      <c r="M118" s="356"/>
      <c r="N118" s="351">
        <f t="shared" si="31"/>
        <v>0.14999999999999991</v>
      </c>
      <c r="P118" s="665">
        <v>4</v>
      </c>
      <c r="Q118" s="325">
        <v>900</v>
      </c>
      <c r="R118" s="326" t="s">
        <v>101</v>
      </c>
      <c r="S118" s="326" t="s">
        <v>101</v>
      </c>
      <c r="T118" s="322">
        <v>9.9999999999999995E-7</v>
      </c>
      <c r="U118" s="351">
        <f t="shared" si="32"/>
        <v>0</v>
      </c>
    </row>
    <row r="119" spans="1:24" ht="13">
      <c r="A119" s="1242"/>
      <c r="B119" s="665">
        <v>5</v>
      </c>
      <c r="C119" s="325">
        <v>35</v>
      </c>
      <c r="D119" s="325">
        <v>0.5</v>
      </c>
      <c r="E119" s="325">
        <v>0.4</v>
      </c>
      <c r="F119" s="356"/>
      <c r="G119" s="351">
        <f t="shared" si="30"/>
        <v>4.9999999999999989E-2</v>
      </c>
      <c r="I119" s="665">
        <v>5</v>
      </c>
      <c r="J119" s="325">
        <v>70</v>
      </c>
      <c r="K119" s="325">
        <v>-3.4</v>
      </c>
      <c r="L119" s="325">
        <v>-1.7</v>
      </c>
      <c r="M119" s="356"/>
      <c r="N119" s="351">
        <f t="shared" si="31"/>
        <v>0.85</v>
      </c>
      <c r="P119" s="665">
        <v>5</v>
      </c>
      <c r="Q119" s="325">
        <v>1000</v>
      </c>
      <c r="R119" s="326" t="s">
        <v>101</v>
      </c>
      <c r="S119" s="326" t="s">
        <v>101</v>
      </c>
      <c r="T119" s="322">
        <v>9.9999999999999995E-7</v>
      </c>
      <c r="U119" s="351">
        <f t="shared" si="32"/>
        <v>0</v>
      </c>
    </row>
    <row r="120" spans="1:24" ht="13">
      <c r="A120" s="1242"/>
      <c r="B120" s="665">
        <v>6</v>
      </c>
      <c r="C120" s="325">
        <v>37</v>
      </c>
      <c r="D120" s="325">
        <v>0.5</v>
      </c>
      <c r="E120" s="325">
        <v>0.5</v>
      </c>
      <c r="F120" s="356"/>
      <c r="G120" s="351">
        <f t="shared" si="30"/>
        <v>0</v>
      </c>
      <c r="I120" s="665">
        <v>6</v>
      </c>
      <c r="J120" s="325">
        <v>80</v>
      </c>
      <c r="K120" s="325">
        <v>-1.4</v>
      </c>
      <c r="L120" s="325">
        <v>2.6</v>
      </c>
      <c r="M120" s="356"/>
      <c r="N120" s="351">
        <f t="shared" si="31"/>
        <v>2</v>
      </c>
      <c r="P120" s="665">
        <v>6</v>
      </c>
      <c r="Q120" s="325">
        <v>1005</v>
      </c>
      <c r="R120" s="326" t="s">
        <v>101</v>
      </c>
      <c r="S120" s="326" t="s">
        <v>101</v>
      </c>
      <c r="T120" s="322">
        <v>9.9999999999999995E-7</v>
      </c>
      <c r="U120" s="351">
        <f t="shared" si="32"/>
        <v>0</v>
      </c>
    </row>
    <row r="121" spans="1:24" ht="13.5" thickBot="1">
      <c r="A121" s="1242"/>
      <c r="B121" s="665">
        <v>7</v>
      </c>
      <c r="C121" s="362">
        <v>40</v>
      </c>
      <c r="D121" s="362">
        <v>0.5</v>
      </c>
      <c r="E121" s="362">
        <v>9.9999999999999995E-7</v>
      </c>
      <c r="F121" s="356"/>
      <c r="G121" s="351">
        <f t="shared" si="30"/>
        <v>0.24999950000000001</v>
      </c>
      <c r="I121" s="665">
        <v>7</v>
      </c>
      <c r="J121" s="362">
        <v>90</v>
      </c>
      <c r="K121" s="362">
        <v>1.3</v>
      </c>
      <c r="L121" s="362">
        <v>9.9999999999999995E-7</v>
      </c>
      <c r="M121" s="356"/>
      <c r="N121" s="351">
        <f t="shared" si="31"/>
        <v>0.64999950000000006</v>
      </c>
      <c r="P121" s="665">
        <v>7</v>
      </c>
      <c r="Q121" s="325">
        <v>1020</v>
      </c>
      <c r="R121" s="326" t="s">
        <v>101</v>
      </c>
      <c r="S121" s="326" t="s">
        <v>101</v>
      </c>
      <c r="T121" s="322">
        <v>9.9999999999999995E-7</v>
      </c>
      <c r="U121" s="351">
        <f t="shared" si="32"/>
        <v>0</v>
      </c>
    </row>
    <row r="122" spans="1:24" ht="13.5" thickBot="1">
      <c r="A122" s="357"/>
      <c r="B122" s="281"/>
      <c r="C122" s="281"/>
      <c r="D122" s="281"/>
      <c r="E122" s="358"/>
      <c r="F122" s="359"/>
      <c r="G122" s="328"/>
      <c r="I122" s="281"/>
      <c r="J122" s="281"/>
      <c r="K122" s="281"/>
      <c r="L122" s="358"/>
      <c r="M122" s="359"/>
      <c r="Q122" s="319"/>
      <c r="R122" s="327"/>
    </row>
    <row r="123" spans="1:24">
      <c r="A123" s="1232">
        <v>12</v>
      </c>
      <c r="B123" s="1233" t="s">
        <v>472</v>
      </c>
      <c r="C123" s="1233"/>
      <c r="D123" s="1233"/>
      <c r="E123" s="1233"/>
      <c r="F123" s="1233"/>
      <c r="G123" s="1233"/>
      <c r="I123" s="1233" t="str">
        <f>B123</f>
        <v>KOREKSI EXTECH A.100586</v>
      </c>
      <c r="J123" s="1233"/>
      <c r="K123" s="1233"/>
      <c r="L123" s="1233"/>
      <c r="M123" s="1233"/>
      <c r="N123" s="1233"/>
      <c r="P123" s="1233" t="str">
        <f>I123</f>
        <v>KOREKSI EXTECH A.100586</v>
      </c>
      <c r="Q123" s="1233"/>
      <c r="R123" s="1233"/>
      <c r="S123" s="1233"/>
      <c r="T123" s="1233"/>
      <c r="U123" s="1233"/>
      <c r="W123" s="1227" t="s">
        <v>371</v>
      </c>
      <c r="X123" s="1228"/>
    </row>
    <row r="124" spans="1:24" ht="13">
      <c r="A124" s="1232"/>
      <c r="B124" s="1229" t="s">
        <v>456</v>
      </c>
      <c r="C124" s="1229"/>
      <c r="D124" s="1229" t="s">
        <v>457</v>
      </c>
      <c r="E124" s="1229"/>
      <c r="F124" s="1229"/>
      <c r="G124" s="1229" t="s">
        <v>357</v>
      </c>
      <c r="I124" s="1229" t="s">
        <v>458</v>
      </c>
      <c r="J124" s="1229"/>
      <c r="K124" s="1229" t="s">
        <v>457</v>
      </c>
      <c r="L124" s="1229"/>
      <c r="M124" s="1229"/>
      <c r="N124" s="1229" t="s">
        <v>357</v>
      </c>
      <c r="P124" s="1229" t="s">
        <v>459</v>
      </c>
      <c r="Q124" s="1229"/>
      <c r="R124" s="1229" t="s">
        <v>457</v>
      </c>
      <c r="S124" s="1229"/>
      <c r="T124" s="1229"/>
      <c r="U124" s="1229" t="s">
        <v>357</v>
      </c>
      <c r="W124" s="347" t="s">
        <v>456</v>
      </c>
      <c r="X124" s="348">
        <v>0.5</v>
      </c>
    </row>
    <row r="125" spans="1:24" ht="14.5">
      <c r="A125" s="1232"/>
      <c r="B125" s="1230" t="s">
        <v>460</v>
      </c>
      <c r="C125" s="1230"/>
      <c r="D125" s="349">
        <v>2023</v>
      </c>
      <c r="E125" s="349">
        <v>2020</v>
      </c>
      <c r="F125" s="349">
        <v>2016</v>
      </c>
      <c r="G125" s="1229"/>
      <c r="I125" s="1231" t="s">
        <v>15</v>
      </c>
      <c r="J125" s="1230"/>
      <c r="K125" s="349">
        <v>2023</v>
      </c>
      <c r="L125" s="349">
        <f>E125</f>
        <v>2020</v>
      </c>
      <c r="M125" s="349">
        <v>2016</v>
      </c>
      <c r="N125" s="1229"/>
      <c r="P125" s="1231" t="s">
        <v>461</v>
      </c>
      <c r="Q125" s="1230"/>
      <c r="R125" s="349">
        <v>2023</v>
      </c>
      <c r="S125" s="349">
        <f>L125</f>
        <v>2020</v>
      </c>
      <c r="T125" s="349">
        <v>2016</v>
      </c>
      <c r="U125" s="1229"/>
      <c r="W125" s="347" t="s">
        <v>15</v>
      </c>
      <c r="X125" s="348">
        <v>2.2999999999999998</v>
      </c>
    </row>
    <row r="126" spans="1:24" ht="13.5" thickBot="1">
      <c r="A126" s="1232"/>
      <c r="B126" s="665">
        <v>1</v>
      </c>
      <c r="C126" s="322">
        <v>15</v>
      </c>
      <c r="D126" s="322">
        <v>0.2</v>
      </c>
      <c r="E126" s="322">
        <v>9.9999999999999995E-7</v>
      </c>
      <c r="F126" s="356"/>
      <c r="G126" s="351">
        <f>0.5*(MAX(D126:F126)-MIN(D126:F126))</f>
        <v>9.9999500000000005E-2</v>
      </c>
      <c r="I126" s="665">
        <v>1</v>
      </c>
      <c r="J126" s="322">
        <v>35</v>
      </c>
      <c r="K126" s="322">
        <v>-3.1</v>
      </c>
      <c r="L126" s="322">
        <v>-0.4</v>
      </c>
      <c r="M126" s="356"/>
      <c r="N126" s="351">
        <f>0.5*(MAX(K126:M126)-MIN(K126:M126))</f>
        <v>1.35</v>
      </c>
      <c r="P126" s="665">
        <v>1</v>
      </c>
      <c r="Q126" s="322">
        <v>960</v>
      </c>
      <c r="R126" s="352">
        <v>4.0999999999999996</v>
      </c>
      <c r="S126" s="352">
        <v>-0.4</v>
      </c>
      <c r="T126" s="356"/>
      <c r="U126" s="351">
        <f>0.5*(MAX(R126:T126)-MIN(R126:T126))</f>
        <v>2.25</v>
      </c>
      <c r="W126" s="353" t="s">
        <v>461</v>
      </c>
      <c r="X126" s="320">
        <v>2.1</v>
      </c>
    </row>
    <row r="127" spans="1:24" ht="13">
      <c r="A127" s="1232"/>
      <c r="B127" s="665">
        <v>2</v>
      </c>
      <c r="C127" s="322">
        <v>20</v>
      </c>
      <c r="D127" s="322">
        <v>0.3</v>
      </c>
      <c r="E127" s="322">
        <v>9.9999999999999995E-7</v>
      </c>
      <c r="F127" s="356"/>
      <c r="G127" s="351">
        <f t="shared" ref="G127:G132" si="33">0.5*(MAX(D127:F127)-MIN(D127:F127))</f>
        <v>0.14999950000000001</v>
      </c>
      <c r="I127" s="665">
        <v>2</v>
      </c>
      <c r="J127" s="322">
        <v>40</v>
      </c>
      <c r="K127" s="322">
        <v>-3.1</v>
      </c>
      <c r="L127" s="322">
        <v>-0.1</v>
      </c>
      <c r="M127" s="356"/>
      <c r="N127" s="351">
        <f t="shared" ref="N127:N132" si="34">0.5*(MAX(K127:M127)-MIN(K127:M127))</f>
        <v>1.5</v>
      </c>
      <c r="P127" s="665">
        <v>2</v>
      </c>
      <c r="Q127" s="322">
        <v>970</v>
      </c>
      <c r="R127" s="352">
        <v>4.0999999999999996</v>
      </c>
      <c r="S127" s="352">
        <v>-0.5</v>
      </c>
      <c r="T127" s="356"/>
      <c r="U127" s="351">
        <f t="shared" ref="U127:U132" si="35">0.5*(MAX(R127:T127)-MIN(R127:T127))</f>
        <v>2.2999999999999998</v>
      </c>
    </row>
    <row r="128" spans="1:24" ht="13">
      <c r="A128" s="1232"/>
      <c r="B128" s="665">
        <v>3</v>
      </c>
      <c r="C128" s="322">
        <v>25</v>
      </c>
      <c r="D128" s="322">
        <v>0.4</v>
      </c>
      <c r="E128" s="322">
        <v>9.9999999999999995E-7</v>
      </c>
      <c r="F128" s="356"/>
      <c r="G128" s="351">
        <f t="shared" si="33"/>
        <v>0.19999950000000002</v>
      </c>
      <c r="I128" s="665">
        <v>3</v>
      </c>
      <c r="J128" s="322">
        <v>50</v>
      </c>
      <c r="K128" s="322">
        <v>-3.2</v>
      </c>
      <c r="L128" s="322">
        <v>9.9999999999999995E-7</v>
      </c>
      <c r="M128" s="356"/>
      <c r="N128" s="351">
        <f t="shared" si="34"/>
        <v>1.6000005000000002</v>
      </c>
      <c r="P128" s="665">
        <v>3</v>
      </c>
      <c r="Q128" s="325">
        <v>980</v>
      </c>
      <c r="R128" s="326">
        <v>4.0999999999999996</v>
      </c>
      <c r="S128" s="326">
        <v>-0.6</v>
      </c>
      <c r="T128" s="356"/>
      <c r="U128" s="351">
        <f t="shared" si="35"/>
        <v>2.3499999999999996</v>
      </c>
    </row>
    <row r="129" spans="1:24" ht="13">
      <c r="A129" s="1232"/>
      <c r="B129" s="665">
        <v>4</v>
      </c>
      <c r="C129" s="325">
        <v>30</v>
      </c>
      <c r="D129" s="325">
        <v>0.5</v>
      </c>
      <c r="E129" s="325">
        <v>-0.1</v>
      </c>
      <c r="F129" s="356"/>
      <c r="G129" s="351">
        <f t="shared" si="33"/>
        <v>0.3</v>
      </c>
      <c r="I129" s="665">
        <v>4</v>
      </c>
      <c r="J129" s="325">
        <v>60</v>
      </c>
      <c r="K129" s="325">
        <v>-3</v>
      </c>
      <c r="L129" s="325">
        <v>9.9999999999999995E-7</v>
      </c>
      <c r="M129" s="356"/>
      <c r="N129" s="351">
        <f t="shared" si="34"/>
        <v>1.5000005000000001</v>
      </c>
      <c r="P129" s="665">
        <v>4</v>
      </c>
      <c r="Q129" s="325">
        <v>990</v>
      </c>
      <c r="R129" s="326">
        <v>4.0999999999999996</v>
      </c>
      <c r="S129" s="326">
        <v>-0.7</v>
      </c>
      <c r="T129" s="356"/>
      <c r="U129" s="351">
        <f t="shared" si="35"/>
        <v>2.4</v>
      </c>
    </row>
    <row r="130" spans="1:24" ht="13">
      <c r="A130" s="1232"/>
      <c r="B130" s="665">
        <v>5</v>
      </c>
      <c r="C130" s="325">
        <v>35</v>
      </c>
      <c r="D130" s="325">
        <v>0.7</v>
      </c>
      <c r="E130" s="325">
        <v>-0.2</v>
      </c>
      <c r="F130" s="356"/>
      <c r="G130" s="351">
        <f t="shared" si="33"/>
        <v>0.44999999999999996</v>
      </c>
      <c r="I130" s="665">
        <v>5</v>
      </c>
      <c r="J130" s="325">
        <v>70</v>
      </c>
      <c r="K130" s="325">
        <v>-2.8</v>
      </c>
      <c r="L130" s="325">
        <v>-0.1</v>
      </c>
      <c r="M130" s="356"/>
      <c r="N130" s="351">
        <f t="shared" si="34"/>
        <v>1.3499999999999999</v>
      </c>
      <c r="P130" s="665">
        <v>5</v>
      </c>
      <c r="Q130" s="325">
        <v>1000</v>
      </c>
      <c r="R130" s="326">
        <v>4.0999999999999996</v>
      </c>
      <c r="S130" s="326">
        <v>-0.8</v>
      </c>
      <c r="T130" s="356"/>
      <c r="U130" s="351">
        <f t="shared" si="35"/>
        <v>2.4499999999999997</v>
      </c>
    </row>
    <row r="131" spans="1:24" ht="13">
      <c r="A131" s="1232"/>
      <c r="B131" s="665">
        <v>6</v>
      </c>
      <c r="C131" s="325">
        <v>37</v>
      </c>
      <c r="D131" s="325">
        <v>0.7</v>
      </c>
      <c r="E131" s="325">
        <v>-0.3</v>
      </c>
      <c r="F131" s="356"/>
      <c r="G131" s="351">
        <f t="shared" si="33"/>
        <v>0.5</v>
      </c>
      <c r="I131" s="665">
        <v>6</v>
      </c>
      <c r="J131" s="325">
        <v>80</v>
      </c>
      <c r="K131" s="325">
        <v>-2.4</v>
      </c>
      <c r="L131" s="325">
        <v>-0.5</v>
      </c>
      <c r="M131" s="356"/>
      <c r="N131" s="351">
        <f t="shared" si="34"/>
        <v>0.95</v>
      </c>
      <c r="P131" s="665">
        <v>6</v>
      </c>
      <c r="Q131" s="325">
        <v>1010</v>
      </c>
      <c r="R131" s="326">
        <v>4.0999999999999996</v>
      </c>
      <c r="S131" s="326">
        <v>-0.8</v>
      </c>
      <c r="T131" s="356"/>
      <c r="U131" s="351">
        <f t="shared" si="35"/>
        <v>2.4499999999999997</v>
      </c>
    </row>
    <row r="132" spans="1:24" ht="13">
      <c r="A132" s="1232"/>
      <c r="B132" s="665">
        <v>7</v>
      </c>
      <c r="C132" s="362">
        <v>40</v>
      </c>
      <c r="D132" s="325">
        <v>0.8</v>
      </c>
      <c r="E132" s="325">
        <v>-0.4</v>
      </c>
      <c r="F132" s="356"/>
      <c r="G132" s="351">
        <f t="shared" si="33"/>
        <v>0.60000000000000009</v>
      </c>
      <c r="I132" s="665">
        <v>7</v>
      </c>
      <c r="J132" s="362">
        <v>90</v>
      </c>
      <c r="K132" s="325">
        <v>-1.8</v>
      </c>
      <c r="L132" s="325">
        <v>-0.9</v>
      </c>
      <c r="M132" s="356"/>
      <c r="N132" s="351">
        <f t="shared" si="34"/>
        <v>0.45</v>
      </c>
      <c r="P132" s="665">
        <v>7</v>
      </c>
      <c r="Q132" s="325">
        <v>1020</v>
      </c>
      <c r="R132" s="326">
        <v>0</v>
      </c>
      <c r="S132" s="326">
        <v>9.9999999999999995E-7</v>
      </c>
      <c r="T132" s="356"/>
      <c r="U132" s="351">
        <f t="shared" si="35"/>
        <v>4.9999999999999998E-7</v>
      </c>
    </row>
    <row r="133" spans="1:24" ht="13" thickBot="1">
      <c r="A133" s="662"/>
      <c r="C133" s="363"/>
      <c r="D133" s="343"/>
      <c r="E133" s="364"/>
      <c r="F133" s="363"/>
      <c r="I133" s="363"/>
      <c r="J133" s="343"/>
      <c r="K133" s="364"/>
      <c r="L133" s="363"/>
      <c r="O133" s="343"/>
      <c r="P133" s="364"/>
      <c r="Q133" s="364"/>
      <c r="R133" s="363"/>
    </row>
    <row r="134" spans="1:24">
      <c r="A134" s="1232">
        <v>13</v>
      </c>
      <c r="B134" s="1233" t="s">
        <v>473</v>
      </c>
      <c r="C134" s="1233"/>
      <c r="D134" s="1233"/>
      <c r="E134" s="1233"/>
      <c r="F134" s="1233"/>
      <c r="G134" s="1233"/>
      <c r="I134" s="1233" t="str">
        <f>B134</f>
        <v>KOREKSI EXTECH A.100605</v>
      </c>
      <c r="J134" s="1233"/>
      <c r="K134" s="1233"/>
      <c r="L134" s="1233"/>
      <c r="M134" s="1233"/>
      <c r="N134" s="1233"/>
      <c r="P134" s="1233" t="str">
        <f>I134</f>
        <v>KOREKSI EXTECH A.100605</v>
      </c>
      <c r="Q134" s="1233"/>
      <c r="R134" s="1233"/>
      <c r="S134" s="1233"/>
      <c r="T134" s="1233"/>
      <c r="U134" s="1233"/>
      <c r="W134" s="1227" t="s">
        <v>371</v>
      </c>
      <c r="X134" s="1228"/>
    </row>
    <row r="135" spans="1:24" ht="13">
      <c r="A135" s="1232"/>
      <c r="B135" s="1229" t="s">
        <v>456</v>
      </c>
      <c r="C135" s="1229"/>
      <c r="D135" s="1229" t="s">
        <v>457</v>
      </c>
      <c r="E135" s="1229"/>
      <c r="F135" s="1229"/>
      <c r="G135" s="1229" t="s">
        <v>357</v>
      </c>
      <c r="I135" s="1229" t="s">
        <v>458</v>
      </c>
      <c r="J135" s="1229"/>
      <c r="K135" s="1229" t="s">
        <v>457</v>
      </c>
      <c r="L135" s="1229"/>
      <c r="M135" s="1229"/>
      <c r="N135" s="1229" t="s">
        <v>357</v>
      </c>
      <c r="P135" s="1229" t="s">
        <v>459</v>
      </c>
      <c r="Q135" s="1229"/>
      <c r="R135" s="1229" t="s">
        <v>457</v>
      </c>
      <c r="S135" s="1229"/>
      <c r="T135" s="1229"/>
      <c r="U135" s="1229" t="s">
        <v>357</v>
      </c>
      <c r="W135" s="347" t="s">
        <v>456</v>
      </c>
      <c r="X135" s="348">
        <v>0.5</v>
      </c>
    </row>
    <row r="136" spans="1:24" ht="14.5">
      <c r="A136" s="1232"/>
      <c r="B136" s="1230" t="s">
        <v>460</v>
      </c>
      <c r="C136" s="1230"/>
      <c r="D136" s="349">
        <v>2023</v>
      </c>
      <c r="E136" s="349">
        <v>2022</v>
      </c>
      <c r="F136" s="349">
        <v>2020</v>
      </c>
      <c r="G136" s="1229"/>
      <c r="I136" s="1231" t="s">
        <v>15</v>
      </c>
      <c r="J136" s="1230"/>
      <c r="K136" s="361">
        <f>D136</f>
        <v>2023</v>
      </c>
      <c r="L136" s="361">
        <f>E136</f>
        <v>2022</v>
      </c>
      <c r="M136" s="349">
        <v>2020</v>
      </c>
      <c r="N136" s="1229"/>
      <c r="P136" s="1231" t="s">
        <v>461</v>
      </c>
      <c r="Q136" s="1230"/>
      <c r="R136" s="361">
        <f>K136</f>
        <v>2023</v>
      </c>
      <c r="S136" s="361">
        <f>L136</f>
        <v>2022</v>
      </c>
      <c r="T136" s="349">
        <v>2020</v>
      </c>
      <c r="U136" s="1229"/>
      <c r="W136" s="347" t="s">
        <v>15</v>
      </c>
      <c r="X136" s="348">
        <v>2.2999999999999998</v>
      </c>
    </row>
    <row r="137" spans="1:24" ht="13.5" thickBot="1">
      <c r="A137" s="1232"/>
      <c r="B137" s="665">
        <v>1</v>
      </c>
      <c r="C137" s="322">
        <v>15</v>
      </c>
      <c r="D137" s="322">
        <v>0.1</v>
      </c>
      <c r="E137" s="322">
        <v>0.5</v>
      </c>
      <c r="F137" s="322">
        <v>-0.7</v>
      </c>
      <c r="G137" s="351">
        <f>0.5*(MAX(D137:F137)-MIN(D137:F137))</f>
        <v>0.6</v>
      </c>
      <c r="I137" s="665">
        <v>1</v>
      </c>
      <c r="J137" s="322">
        <v>30</v>
      </c>
      <c r="K137" s="322"/>
      <c r="L137" s="322">
        <v>-2.2000000000000002</v>
      </c>
      <c r="M137" s="322">
        <v>-1.4</v>
      </c>
      <c r="N137" s="351">
        <f>0.5*(MAX(K137:M137)-MIN(K137:M137))</f>
        <v>0.40000000000000013</v>
      </c>
      <c r="P137" s="665">
        <v>1</v>
      </c>
      <c r="Q137" s="322">
        <v>985</v>
      </c>
      <c r="R137" s="352"/>
      <c r="S137" s="352">
        <v>3.8</v>
      </c>
      <c r="T137" s="352">
        <v>0.9</v>
      </c>
      <c r="U137" s="351">
        <f>0.5*(MAX(R137:T137)-MIN(R137:T137))</f>
        <v>1.45</v>
      </c>
      <c r="W137" s="353" t="s">
        <v>461</v>
      </c>
      <c r="X137" s="320">
        <v>2.4</v>
      </c>
    </row>
    <row r="138" spans="1:24" ht="13">
      <c r="A138" s="1232"/>
      <c r="B138" s="665">
        <v>2</v>
      </c>
      <c r="C138" s="322">
        <v>20</v>
      </c>
      <c r="D138" s="322">
        <v>0.2</v>
      </c>
      <c r="E138" s="322">
        <v>0.2</v>
      </c>
      <c r="F138" s="322">
        <v>-0.4</v>
      </c>
      <c r="G138" s="351">
        <f t="shared" ref="G138:G143" si="36">0.5*(MAX(D138:F138)-MIN(D138:F138))</f>
        <v>0.30000000000000004</v>
      </c>
      <c r="I138" s="665">
        <v>2</v>
      </c>
      <c r="J138" s="322">
        <v>40</v>
      </c>
      <c r="K138" s="322">
        <v>-4</v>
      </c>
      <c r="L138" s="322">
        <v>-2</v>
      </c>
      <c r="M138" s="322">
        <v>-1.3</v>
      </c>
      <c r="N138" s="351">
        <f t="shared" ref="N138:N143" si="37">0.5*(MAX(K138:M138)-MIN(K138:M138))</f>
        <v>1.35</v>
      </c>
      <c r="P138" s="665">
        <v>2</v>
      </c>
      <c r="Q138" s="322">
        <v>990</v>
      </c>
      <c r="R138" s="352">
        <v>3.9</v>
      </c>
      <c r="S138" s="352">
        <v>3.8</v>
      </c>
      <c r="T138" s="352">
        <v>1</v>
      </c>
      <c r="U138" s="351">
        <f t="shared" ref="U138:U143" si="38">0.5*(MAX(R138:T138)-MIN(R138:T138))</f>
        <v>1.45</v>
      </c>
    </row>
    <row r="139" spans="1:24" ht="13">
      <c r="A139" s="1232"/>
      <c r="B139" s="665">
        <v>3</v>
      </c>
      <c r="C139" s="322">
        <v>25</v>
      </c>
      <c r="D139" s="322">
        <v>0.3</v>
      </c>
      <c r="E139" s="322">
        <v>0.1</v>
      </c>
      <c r="F139" s="322">
        <v>-0.2</v>
      </c>
      <c r="G139" s="351">
        <f t="shared" si="36"/>
        <v>0.25</v>
      </c>
      <c r="I139" s="665">
        <v>3</v>
      </c>
      <c r="J139" s="322">
        <v>50</v>
      </c>
      <c r="K139" s="322">
        <v>-3.6</v>
      </c>
      <c r="L139" s="322">
        <v>-1.8</v>
      </c>
      <c r="M139" s="322">
        <v>-1.3</v>
      </c>
      <c r="N139" s="351">
        <f t="shared" si="37"/>
        <v>1.1499999999999999</v>
      </c>
      <c r="P139" s="665">
        <v>3</v>
      </c>
      <c r="Q139" s="325">
        <v>995</v>
      </c>
      <c r="R139" s="326"/>
      <c r="S139" s="326">
        <v>3.7</v>
      </c>
      <c r="T139" s="326">
        <v>1</v>
      </c>
      <c r="U139" s="351">
        <f t="shared" si="38"/>
        <v>1.35</v>
      </c>
    </row>
    <row r="140" spans="1:24" ht="13">
      <c r="A140" s="1232"/>
      <c r="B140" s="665">
        <v>4</v>
      </c>
      <c r="C140" s="325">
        <v>30</v>
      </c>
      <c r="D140" s="325">
        <v>0.4</v>
      </c>
      <c r="E140" s="325">
        <v>-0.1</v>
      </c>
      <c r="F140" s="325">
        <v>0.1</v>
      </c>
      <c r="G140" s="351">
        <f t="shared" si="36"/>
        <v>0.25</v>
      </c>
      <c r="I140" s="665">
        <v>4</v>
      </c>
      <c r="J140" s="325">
        <v>60</v>
      </c>
      <c r="K140" s="325">
        <v>-3.1</v>
      </c>
      <c r="L140" s="325">
        <v>-1.6</v>
      </c>
      <c r="M140" s="325">
        <v>-1.5</v>
      </c>
      <c r="N140" s="351">
        <f t="shared" si="37"/>
        <v>0.8</v>
      </c>
      <c r="P140" s="665">
        <v>4</v>
      </c>
      <c r="Q140" s="325">
        <v>1000</v>
      </c>
      <c r="R140" s="326">
        <v>4.0999999999999996</v>
      </c>
      <c r="S140" s="326">
        <v>3.7</v>
      </c>
      <c r="T140" s="326">
        <v>1.1000000000000001</v>
      </c>
      <c r="U140" s="351">
        <f t="shared" si="38"/>
        <v>1.4999999999999998</v>
      </c>
    </row>
    <row r="141" spans="1:24" ht="13">
      <c r="A141" s="1232"/>
      <c r="B141" s="665">
        <v>5</v>
      </c>
      <c r="C141" s="325">
        <v>35</v>
      </c>
      <c r="D141" s="325">
        <v>0.5</v>
      </c>
      <c r="E141" s="325">
        <v>-0.2</v>
      </c>
      <c r="F141" s="325">
        <v>0.3</v>
      </c>
      <c r="G141" s="351">
        <f t="shared" si="36"/>
        <v>0.35</v>
      </c>
      <c r="I141" s="665">
        <v>5</v>
      </c>
      <c r="J141" s="325">
        <v>70</v>
      </c>
      <c r="K141" s="325">
        <v>-2.2999999999999998</v>
      </c>
      <c r="L141" s="325">
        <v>-1.4</v>
      </c>
      <c r="M141" s="325">
        <v>-1.9</v>
      </c>
      <c r="N141" s="351">
        <f t="shared" si="37"/>
        <v>0.44999999999999996</v>
      </c>
      <c r="P141" s="665">
        <v>5</v>
      </c>
      <c r="Q141" s="325">
        <v>1005</v>
      </c>
      <c r="R141" s="326"/>
      <c r="S141" s="326">
        <v>3.6</v>
      </c>
      <c r="T141" s="326">
        <v>1.1000000000000001</v>
      </c>
      <c r="U141" s="351">
        <f t="shared" si="38"/>
        <v>1.25</v>
      </c>
    </row>
    <row r="142" spans="1:24" ht="13">
      <c r="A142" s="1232"/>
      <c r="B142" s="665">
        <v>6</v>
      </c>
      <c r="C142" s="325">
        <v>37</v>
      </c>
      <c r="D142" s="325">
        <v>0.6</v>
      </c>
      <c r="E142" s="325">
        <v>-0.2</v>
      </c>
      <c r="F142" s="325">
        <v>0.4</v>
      </c>
      <c r="G142" s="351">
        <f t="shared" si="36"/>
        <v>0.4</v>
      </c>
      <c r="I142" s="665">
        <v>6</v>
      </c>
      <c r="J142" s="325">
        <v>80</v>
      </c>
      <c r="K142" s="325">
        <v>-1.5</v>
      </c>
      <c r="L142" s="325">
        <v>-1.2</v>
      </c>
      <c r="M142" s="325">
        <v>-2.5</v>
      </c>
      <c r="N142" s="351">
        <f t="shared" si="37"/>
        <v>0.65</v>
      </c>
      <c r="P142" s="665">
        <v>6</v>
      </c>
      <c r="Q142" s="325">
        <v>1010</v>
      </c>
      <c r="R142" s="326">
        <v>4.3</v>
      </c>
      <c r="S142" s="326">
        <v>3.5</v>
      </c>
      <c r="T142" s="326">
        <v>1.1000000000000001</v>
      </c>
      <c r="U142" s="351">
        <f t="shared" si="38"/>
        <v>1.5999999999999999</v>
      </c>
    </row>
    <row r="143" spans="1:24" ht="13">
      <c r="A143" s="1232"/>
      <c r="B143" s="665">
        <v>7</v>
      </c>
      <c r="C143" s="362">
        <v>40</v>
      </c>
      <c r="D143" s="325">
        <v>0.7</v>
      </c>
      <c r="E143" s="325">
        <v>-0.2</v>
      </c>
      <c r="F143" s="325">
        <v>0.5</v>
      </c>
      <c r="G143" s="351">
        <f t="shared" si="36"/>
        <v>0.44999999999999996</v>
      </c>
      <c r="I143" s="665">
        <v>7</v>
      </c>
      <c r="J143" s="362">
        <v>90</v>
      </c>
      <c r="K143" s="325">
        <v>-0.4</v>
      </c>
      <c r="L143" s="325">
        <v>-1</v>
      </c>
      <c r="M143" s="325">
        <v>-3.2</v>
      </c>
      <c r="N143" s="351">
        <f t="shared" si="37"/>
        <v>1.4000000000000001</v>
      </c>
      <c r="P143" s="665">
        <v>7</v>
      </c>
      <c r="Q143" s="325">
        <v>1020</v>
      </c>
      <c r="R143" s="326"/>
      <c r="S143" s="326">
        <v>9.9999999999999995E-7</v>
      </c>
      <c r="T143" s="326">
        <v>9.9999999999999995E-7</v>
      </c>
      <c r="U143" s="351">
        <f t="shared" si="38"/>
        <v>0</v>
      </c>
    </row>
    <row r="144" spans="1:24" ht="13" thickBot="1">
      <c r="A144" s="662"/>
      <c r="C144" s="363"/>
      <c r="D144" s="343"/>
      <c r="E144" s="364"/>
      <c r="F144" s="363"/>
      <c r="J144" s="363"/>
      <c r="K144" s="343"/>
      <c r="L144" s="364"/>
      <c r="M144" s="363"/>
      <c r="Q144" s="343"/>
      <c r="R144" s="364"/>
      <c r="S144" s="364"/>
      <c r="T144" s="363"/>
    </row>
    <row r="145" spans="1:24">
      <c r="A145" s="1232">
        <v>14</v>
      </c>
      <c r="B145" s="1233" t="s">
        <v>474</v>
      </c>
      <c r="C145" s="1233"/>
      <c r="D145" s="1233"/>
      <c r="E145" s="1233"/>
      <c r="F145" s="1233"/>
      <c r="G145" s="1233"/>
      <c r="I145" s="1233" t="str">
        <f>B145</f>
        <v>KOREKSI EXTECH A.100609</v>
      </c>
      <c r="J145" s="1233"/>
      <c r="K145" s="1233"/>
      <c r="L145" s="1233"/>
      <c r="M145" s="1233"/>
      <c r="N145" s="1233"/>
      <c r="P145" s="1233" t="str">
        <f>I145</f>
        <v>KOREKSI EXTECH A.100609</v>
      </c>
      <c r="Q145" s="1233"/>
      <c r="R145" s="1233"/>
      <c r="S145" s="1233"/>
      <c r="T145" s="1233"/>
      <c r="U145" s="1233"/>
      <c r="W145" s="1227" t="s">
        <v>371</v>
      </c>
      <c r="X145" s="1228"/>
    </row>
    <row r="146" spans="1:24" ht="13">
      <c r="A146" s="1232"/>
      <c r="B146" s="1229" t="s">
        <v>456</v>
      </c>
      <c r="C146" s="1229"/>
      <c r="D146" s="1229" t="s">
        <v>457</v>
      </c>
      <c r="E146" s="1229"/>
      <c r="F146" s="1229"/>
      <c r="G146" s="1229" t="s">
        <v>357</v>
      </c>
      <c r="I146" s="1229" t="s">
        <v>458</v>
      </c>
      <c r="J146" s="1229"/>
      <c r="K146" s="1229" t="s">
        <v>457</v>
      </c>
      <c r="L146" s="1229"/>
      <c r="M146" s="1229"/>
      <c r="N146" s="1229" t="s">
        <v>357</v>
      </c>
      <c r="P146" s="1229" t="s">
        <v>459</v>
      </c>
      <c r="Q146" s="1229"/>
      <c r="R146" s="1229" t="s">
        <v>457</v>
      </c>
      <c r="S146" s="1229"/>
      <c r="T146" s="1229"/>
      <c r="U146" s="1229" t="s">
        <v>357</v>
      </c>
      <c r="W146" s="347" t="s">
        <v>456</v>
      </c>
      <c r="X146" s="348">
        <v>0.6</v>
      </c>
    </row>
    <row r="147" spans="1:24" ht="14.5">
      <c r="A147" s="1232"/>
      <c r="B147" s="1230" t="s">
        <v>460</v>
      </c>
      <c r="C147" s="1230"/>
      <c r="D147" s="349">
        <v>2023</v>
      </c>
      <c r="E147" s="349">
        <v>2022</v>
      </c>
      <c r="F147" s="349">
        <v>2020</v>
      </c>
      <c r="G147" s="1229"/>
      <c r="I147" s="1231" t="s">
        <v>15</v>
      </c>
      <c r="J147" s="1230"/>
      <c r="K147" s="361">
        <f>D147</f>
        <v>2023</v>
      </c>
      <c r="L147" s="361">
        <f>E147</f>
        <v>2022</v>
      </c>
      <c r="M147" s="349">
        <v>2020</v>
      </c>
      <c r="N147" s="1229"/>
      <c r="P147" s="1231" t="s">
        <v>461</v>
      </c>
      <c r="Q147" s="1230"/>
      <c r="R147" s="361">
        <f>K147</f>
        <v>2023</v>
      </c>
      <c r="S147" s="361">
        <f>L147</f>
        <v>2022</v>
      </c>
      <c r="T147" s="349">
        <v>2020</v>
      </c>
      <c r="U147" s="1229"/>
      <c r="W147" s="347" t="s">
        <v>15</v>
      </c>
      <c r="X147" s="348">
        <v>2.2999999999999998</v>
      </c>
    </row>
    <row r="148" spans="1:24" ht="13.5" thickBot="1">
      <c r="A148" s="1232"/>
      <c r="B148" s="665">
        <v>1</v>
      </c>
      <c r="C148" s="322">
        <v>15</v>
      </c>
      <c r="D148" s="322">
        <v>0.1</v>
      </c>
      <c r="E148" s="322">
        <v>0.5</v>
      </c>
      <c r="F148" s="322">
        <v>-0.2</v>
      </c>
      <c r="G148" s="351">
        <f>0.5*(MAX(D148:F148)-MIN(D148:F148))</f>
        <v>0.35</v>
      </c>
      <c r="I148" s="665">
        <v>1</v>
      </c>
      <c r="J148" s="322">
        <v>30</v>
      </c>
      <c r="K148" s="322"/>
      <c r="L148" s="322">
        <v>-0.8</v>
      </c>
      <c r="M148" s="322">
        <v>0.6</v>
      </c>
      <c r="N148" s="351">
        <f>0.5*(MAX(K148:M148)-MIN(K148:M148))</f>
        <v>0.7</v>
      </c>
      <c r="P148" s="665">
        <v>1</v>
      </c>
      <c r="Q148" s="322">
        <v>985</v>
      </c>
      <c r="R148" s="352"/>
      <c r="S148" s="352">
        <v>3.9</v>
      </c>
      <c r="T148" s="352">
        <v>0.9</v>
      </c>
      <c r="U148" s="351">
        <f>0.5*(MAX(R148:T148)-MIN(R148:T148))</f>
        <v>1.5</v>
      </c>
      <c r="W148" s="353" t="s">
        <v>461</v>
      </c>
      <c r="X148" s="320">
        <v>2.5</v>
      </c>
    </row>
    <row r="149" spans="1:24" ht="13">
      <c r="A149" s="1232"/>
      <c r="B149" s="665">
        <v>2</v>
      </c>
      <c r="C149" s="322">
        <v>20</v>
      </c>
      <c r="D149" s="322">
        <v>0.2</v>
      </c>
      <c r="E149" s="322">
        <v>0.2</v>
      </c>
      <c r="F149" s="322">
        <v>-0.1</v>
      </c>
      <c r="G149" s="351">
        <f t="shared" ref="G149:G154" si="39">0.5*(MAX(D149:F149)-MIN(D149:F149))</f>
        <v>0.15000000000000002</v>
      </c>
      <c r="I149" s="665">
        <v>2</v>
      </c>
      <c r="J149" s="322">
        <v>40</v>
      </c>
      <c r="K149" s="322">
        <v>-3.8</v>
      </c>
      <c r="L149" s="322">
        <v>-0.4</v>
      </c>
      <c r="M149" s="322">
        <v>0.3</v>
      </c>
      <c r="N149" s="351">
        <f t="shared" ref="N149:N154" si="40">0.5*(MAX(K149:M149)-MIN(K149:M149))</f>
        <v>2.0499999999999998</v>
      </c>
      <c r="P149" s="665">
        <v>2</v>
      </c>
      <c r="Q149" s="322">
        <v>990</v>
      </c>
      <c r="R149" s="352">
        <v>4</v>
      </c>
      <c r="S149" s="352">
        <v>3.9</v>
      </c>
      <c r="T149" s="352">
        <v>1</v>
      </c>
      <c r="U149" s="351">
        <f t="shared" ref="U149:U154" si="41">0.5*(MAX(R149:T149)-MIN(R149:T149))</f>
        <v>1.5</v>
      </c>
    </row>
    <row r="150" spans="1:24" ht="13">
      <c r="A150" s="1232"/>
      <c r="B150" s="665">
        <v>3</v>
      </c>
      <c r="C150" s="322">
        <v>25</v>
      </c>
      <c r="D150" s="322">
        <v>0.2</v>
      </c>
      <c r="E150" s="322">
        <v>-0.1</v>
      </c>
      <c r="F150" s="322">
        <v>-0.1</v>
      </c>
      <c r="G150" s="351">
        <f t="shared" si="39"/>
        <v>0.15000000000000002</v>
      </c>
      <c r="I150" s="665">
        <v>3</v>
      </c>
      <c r="J150" s="322">
        <v>50</v>
      </c>
      <c r="K150" s="322">
        <v>-2.8</v>
      </c>
      <c r="L150" s="322">
        <v>9.9999999999999995E-7</v>
      </c>
      <c r="M150" s="322">
        <v>-0.2</v>
      </c>
      <c r="N150" s="351">
        <f t="shared" si="40"/>
        <v>1.4000005</v>
      </c>
      <c r="P150" s="665">
        <v>3</v>
      </c>
      <c r="Q150" s="325">
        <v>995</v>
      </c>
      <c r="R150" s="326"/>
      <c r="S150" s="326">
        <v>3.8</v>
      </c>
      <c r="T150" s="326">
        <v>1</v>
      </c>
      <c r="U150" s="351">
        <f t="shared" si="41"/>
        <v>1.4</v>
      </c>
    </row>
    <row r="151" spans="1:24" ht="13">
      <c r="A151" s="1232"/>
      <c r="B151" s="665">
        <v>4</v>
      </c>
      <c r="C151" s="325">
        <v>30</v>
      </c>
      <c r="D151" s="325">
        <v>0.3</v>
      </c>
      <c r="E151" s="325">
        <v>-0.4</v>
      </c>
      <c r="F151" s="325">
        <v>-0.3</v>
      </c>
      <c r="G151" s="351">
        <f t="shared" si="39"/>
        <v>0.35</v>
      </c>
      <c r="I151" s="665">
        <v>4</v>
      </c>
      <c r="J151" s="325">
        <v>60</v>
      </c>
      <c r="K151" s="325">
        <v>-1.8</v>
      </c>
      <c r="L151" s="325">
        <v>0.3</v>
      </c>
      <c r="M151" s="325">
        <v>-0.6</v>
      </c>
      <c r="N151" s="351">
        <f t="shared" si="40"/>
        <v>1.05</v>
      </c>
      <c r="P151" s="665">
        <v>4</v>
      </c>
      <c r="Q151" s="325">
        <v>1000</v>
      </c>
      <c r="R151" s="326">
        <v>4.2</v>
      </c>
      <c r="S151" s="326">
        <v>3.8</v>
      </c>
      <c r="T151" s="326">
        <v>1.1000000000000001</v>
      </c>
      <c r="U151" s="351">
        <f t="shared" si="41"/>
        <v>1.55</v>
      </c>
    </row>
    <row r="152" spans="1:24" ht="13">
      <c r="A152" s="1232"/>
      <c r="B152" s="665">
        <v>5</v>
      </c>
      <c r="C152" s="325">
        <v>35</v>
      </c>
      <c r="D152" s="325">
        <v>0.3</v>
      </c>
      <c r="E152" s="325">
        <v>-0.6</v>
      </c>
      <c r="F152" s="325">
        <v>-0.6</v>
      </c>
      <c r="G152" s="351">
        <f t="shared" si="39"/>
        <v>0.44999999999999996</v>
      </c>
      <c r="I152" s="665">
        <v>5</v>
      </c>
      <c r="J152" s="325">
        <v>70</v>
      </c>
      <c r="K152" s="325">
        <v>-0.6</v>
      </c>
      <c r="L152" s="325">
        <v>0.7</v>
      </c>
      <c r="M152" s="325">
        <v>-0.8</v>
      </c>
      <c r="N152" s="351">
        <f t="shared" si="40"/>
        <v>0.75</v>
      </c>
      <c r="P152" s="665">
        <v>5</v>
      </c>
      <c r="Q152" s="325">
        <v>1005</v>
      </c>
      <c r="R152" s="326"/>
      <c r="S152" s="326">
        <v>3.8</v>
      </c>
      <c r="T152" s="326">
        <v>1.1000000000000001</v>
      </c>
      <c r="U152" s="351">
        <f t="shared" si="41"/>
        <v>1.3499999999999999</v>
      </c>
    </row>
    <row r="153" spans="1:24" ht="13">
      <c r="A153" s="1232"/>
      <c r="B153" s="665">
        <v>6</v>
      </c>
      <c r="C153" s="325">
        <v>37</v>
      </c>
      <c r="D153" s="325">
        <v>0.4</v>
      </c>
      <c r="E153" s="325">
        <v>-0.7</v>
      </c>
      <c r="F153" s="325">
        <v>-0.8</v>
      </c>
      <c r="G153" s="351">
        <f t="shared" si="39"/>
        <v>0.60000000000000009</v>
      </c>
      <c r="I153" s="665">
        <v>6</v>
      </c>
      <c r="J153" s="325">
        <v>80</v>
      </c>
      <c r="K153" s="325">
        <v>0.6</v>
      </c>
      <c r="L153" s="325">
        <v>1.1000000000000001</v>
      </c>
      <c r="M153" s="325">
        <v>-0.9</v>
      </c>
      <c r="N153" s="351">
        <f t="shared" si="40"/>
        <v>1</v>
      </c>
      <c r="P153" s="665">
        <v>6</v>
      </c>
      <c r="Q153" s="325">
        <v>1010</v>
      </c>
      <c r="R153" s="326">
        <v>4.4000000000000004</v>
      </c>
      <c r="S153" s="326">
        <v>3.7</v>
      </c>
      <c r="T153" s="326">
        <v>1.1000000000000001</v>
      </c>
      <c r="U153" s="351">
        <f t="shared" si="41"/>
        <v>1.6500000000000001</v>
      </c>
    </row>
    <row r="154" spans="1:24" ht="13">
      <c r="A154" s="1232"/>
      <c r="B154" s="665">
        <v>7</v>
      </c>
      <c r="C154" s="362">
        <v>40</v>
      </c>
      <c r="D154" s="325">
        <v>0.4</v>
      </c>
      <c r="E154" s="325">
        <v>-0.8</v>
      </c>
      <c r="F154" s="325">
        <v>-1.1000000000000001</v>
      </c>
      <c r="G154" s="351">
        <f t="shared" si="39"/>
        <v>0.75</v>
      </c>
      <c r="I154" s="665">
        <v>7</v>
      </c>
      <c r="J154" s="362">
        <v>90</v>
      </c>
      <c r="K154" s="325">
        <v>1.9</v>
      </c>
      <c r="L154" s="325">
        <v>1.5</v>
      </c>
      <c r="M154" s="325">
        <v>-0.8</v>
      </c>
      <c r="N154" s="351">
        <f t="shared" si="40"/>
        <v>1.35</v>
      </c>
      <c r="P154" s="665">
        <v>7</v>
      </c>
      <c r="Q154" s="325">
        <v>1020</v>
      </c>
      <c r="R154" s="326"/>
      <c r="S154" s="326">
        <v>9.9999999999999995E-7</v>
      </c>
      <c r="T154" s="326">
        <v>9.9999999999999995E-7</v>
      </c>
      <c r="U154" s="351">
        <f t="shared" si="41"/>
        <v>0</v>
      </c>
    </row>
    <row r="155" spans="1:24" ht="13" thickBot="1">
      <c r="A155" s="662"/>
      <c r="C155" s="363"/>
      <c r="D155" s="343"/>
      <c r="E155" s="364"/>
      <c r="F155" s="363"/>
      <c r="J155" s="363"/>
      <c r="K155" s="343"/>
      <c r="L155" s="364"/>
      <c r="M155" s="363"/>
      <c r="Q155" s="343"/>
      <c r="R155" s="364"/>
      <c r="S155" s="364"/>
      <c r="T155" s="363"/>
    </row>
    <row r="156" spans="1:24">
      <c r="A156" s="1232">
        <v>15</v>
      </c>
      <c r="B156" s="1233" t="s">
        <v>475</v>
      </c>
      <c r="C156" s="1233"/>
      <c r="D156" s="1233"/>
      <c r="E156" s="1233"/>
      <c r="F156" s="1233"/>
      <c r="G156" s="1233"/>
      <c r="I156" s="1233" t="str">
        <f>B156</f>
        <v>KOREKSI EXTECH A.100611</v>
      </c>
      <c r="J156" s="1233"/>
      <c r="K156" s="1233"/>
      <c r="L156" s="1233"/>
      <c r="M156" s="1233"/>
      <c r="N156" s="1233"/>
      <c r="P156" s="1233" t="str">
        <f>I156</f>
        <v>KOREKSI EXTECH A.100611</v>
      </c>
      <c r="Q156" s="1233"/>
      <c r="R156" s="1233"/>
      <c r="S156" s="1233"/>
      <c r="T156" s="1233"/>
      <c r="U156" s="1233"/>
      <c r="W156" s="1227" t="s">
        <v>371</v>
      </c>
      <c r="X156" s="1228"/>
    </row>
    <row r="157" spans="1:24" ht="13">
      <c r="A157" s="1232"/>
      <c r="B157" s="1229" t="s">
        <v>456</v>
      </c>
      <c r="C157" s="1229"/>
      <c r="D157" s="1229" t="s">
        <v>457</v>
      </c>
      <c r="E157" s="1229"/>
      <c r="F157" s="1229"/>
      <c r="G157" s="1229" t="s">
        <v>357</v>
      </c>
      <c r="I157" s="1229" t="s">
        <v>458</v>
      </c>
      <c r="J157" s="1229"/>
      <c r="K157" s="1229" t="s">
        <v>457</v>
      </c>
      <c r="L157" s="1229"/>
      <c r="M157" s="1229"/>
      <c r="N157" s="1229" t="s">
        <v>357</v>
      </c>
      <c r="P157" s="1229" t="s">
        <v>459</v>
      </c>
      <c r="Q157" s="1229"/>
      <c r="R157" s="1229" t="s">
        <v>457</v>
      </c>
      <c r="S157" s="1229"/>
      <c r="T157" s="1229"/>
      <c r="U157" s="1229" t="s">
        <v>357</v>
      </c>
      <c r="W157" s="347" t="s">
        <v>456</v>
      </c>
      <c r="X157" s="348">
        <v>0.5</v>
      </c>
    </row>
    <row r="158" spans="1:24" ht="14.5">
      <c r="A158" s="1232"/>
      <c r="B158" s="1230" t="s">
        <v>460</v>
      </c>
      <c r="C158" s="1230"/>
      <c r="D158" s="349">
        <v>2023</v>
      </c>
      <c r="E158" s="349">
        <v>2022</v>
      </c>
      <c r="F158" s="349">
        <v>2020</v>
      </c>
      <c r="G158" s="1229"/>
      <c r="I158" s="1231" t="s">
        <v>15</v>
      </c>
      <c r="J158" s="1230"/>
      <c r="K158" s="361">
        <f>D158</f>
        <v>2023</v>
      </c>
      <c r="L158" s="361">
        <f>E158</f>
        <v>2022</v>
      </c>
      <c r="M158" s="349">
        <v>2020</v>
      </c>
      <c r="N158" s="1229"/>
      <c r="P158" s="1231" t="s">
        <v>461</v>
      </c>
      <c r="Q158" s="1230"/>
      <c r="R158" s="361">
        <f>K158</f>
        <v>2023</v>
      </c>
      <c r="S158" s="361">
        <v>2022</v>
      </c>
      <c r="T158" s="349">
        <v>2020</v>
      </c>
      <c r="U158" s="1229"/>
      <c r="W158" s="347" t="s">
        <v>15</v>
      </c>
      <c r="X158" s="348">
        <v>2.2999999999999998</v>
      </c>
    </row>
    <row r="159" spans="1:24" ht="13.5" thickBot="1">
      <c r="A159" s="1232"/>
      <c r="B159" s="665">
        <v>1</v>
      </c>
      <c r="C159" s="322">
        <v>15</v>
      </c>
      <c r="D159" s="322">
        <v>0.1</v>
      </c>
      <c r="E159" s="322">
        <v>0.6</v>
      </c>
      <c r="F159" s="322">
        <v>-0.6</v>
      </c>
      <c r="G159" s="351">
        <f>0.5*(MAX(D159:F159)-MIN(D159:F159))</f>
        <v>0.6</v>
      </c>
      <c r="I159" s="665">
        <v>1</v>
      </c>
      <c r="J159" s="322">
        <v>30</v>
      </c>
      <c r="K159" s="322">
        <v>-4.0999999999999996</v>
      </c>
      <c r="L159" s="322">
        <v>-2</v>
      </c>
      <c r="M159" s="322">
        <v>-0.4</v>
      </c>
      <c r="N159" s="351">
        <f>0.5*(MAX(K159:M159)-MIN(K159:M159))</f>
        <v>1.8499999999999999</v>
      </c>
      <c r="P159" s="665">
        <v>1</v>
      </c>
      <c r="Q159" s="322">
        <v>980</v>
      </c>
      <c r="R159" s="352">
        <v>4.0999999999999996</v>
      </c>
      <c r="S159" s="352">
        <v>4.3</v>
      </c>
      <c r="T159" s="352">
        <v>0.9</v>
      </c>
      <c r="U159" s="351">
        <f>0.5*(MAX(R159:T159)-MIN(R159:T159))</f>
        <v>1.7</v>
      </c>
      <c r="W159" s="353" t="s">
        <v>461</v>
      </c>
      <c r="X159" s="320">
        <v>2.2999999999999998</v>
      </c>
    </row>
    <row r="160" spans="1:24" ht="13">
      <c r="A160" s="1232"/>
      <c r="B160" s="665">
        <v>2</v>
      </c>
      <c r="C160" s="322">
        <v>20</v>
      </c>
      <c r="D160" s="322">
        <v>0.2</v>
      </c>
      <c r="E160" s="322">
        <v>0.3</v>
      </c>
      <c r="F160" s="322">
        <v>-0.5</v>
      </c>
      <c r="G160" s="351">
        <f t="shared" ref="G160:G165" si="42">0.5*(MAX(D160:F160)-MIN(D160:F160))</f>
        <v>0.4</v>
      </c>
      <c r="I160" s="665">
        <v>2</v>
      </c>
      <c r="J160" s="322">
        <v>40</v>
      </c>
      <c r="K160" s="322">
        <v>-3.8</v>
      </c>
      <c r="L160" s="322">
        <v>-1.7</v>
      </c>
      <c r="M160" s="322">
        <v>-0.3</v>
      </c>
      <c r="N160" s="351">
        <f t="shared" ref="N160:N165" si="43">0.5*(MAX(K160:M160)-MIN(K160:M160))</f>
        <v>1.75</v>
      </c>
      <c r="P160" s="665">
        <v>2</v>
      </c>
      <c r="Q160" s="322">
        <v>990</v>
      </c>
      <c r="R160" s="352">
        <v>4.3</v>
      </c>
      <c r="S160" s="352">
        <v>4.2</v>
      </c>
      <c r="T160" s="352">
        <v>1</v>
      </c>
      <c r="U160" s="351">
        <f t="shared" ref="U160:U165" si="44">0.5*(MAX(R160:T160)-MIN(R160:T160))</f>
        <v>1.65</v>
      </c>
    </row>
    <row r="161" spans="1:24" ht="13">
      <c r="A161" s="1232"/>
      <c r="B161" s="665">
        <v>3</v>
      </c>
      <c r="C161" s="322">
        <v>25</v>
      </c>
      <c r="D161" s="322">
        <v>0.3</v>
      </c>
      <c r="E161" s="322">
        <v>0.2</v>
      </c>
      <c r="F161" s="322">
        <v>-0.4</v>
      </c>
      <c r="G161" s="351">
        <f t="shared" si="42"/>
        <v>0.35</v>
      </c>
      <c r="I161" s="665">
        <v>3</v>
      </c>
      <c r="J161" s="322">
        <v>50</v>
      </c>
      <c r="K161" s="322">
        <v>-3.1</v>
      </c>
      <c r="L161" s="322">
        <v>-1.4</v>
      </c>
      <c r="M161" s="322">
        <v>-0.3</v>
      </c>
      <c r="N161" s="351">
        <f t="shared" si="43"/>
        <v>1.4000000000000001</v>
      </c>
      <c r="P161" s="665">
        <v>3</v>
      </c>
      <c r="Q161" s="325">
        <v>995</v>
      </c>
      <c r="R161" s="326"/>
      <c r="S161" s="326">
        <v>4.0999999999999996</v>
      </c>
      <c r="T161" s="326">
        <v>1</v>
      </c>
      <c r="U161" s="351">
        <f t="shared" si="44"/>
        <v>1.5499999999999998</v>
      </c>
    </row>
    <row r="162" spans="1:24" ht="13">
      <c r="A162" s="1232"/>
      <c r="B162" s="665">
        <v>4</v>
      </c>
      <c r="C162" s="325">
        <v>30</v>
      </c>
      <c r="D162" s="325">
        <v>0.4</v>
      </c>
      <c r="E162" s="325">
        <v>0.4</v>
      </c>
      <c r="F162" s="325">
        <v>-0.2</v>
      </c>
      <c r="G162" s="351">
        <f t="shared" si="42"/>
        <v>0.30000000000000004</v>
      </c>
      <c r="I162" s="665">
        <v>4</v>
      </c>
      <c r="J162" s="325">
        <v>60</v>
      </c>
      <c r="K162" s="325">
        <v>-2.2999999999999998</v>
      </c>
      <c r="L162" s="325">
        <v>-1.1000000000000001</v>
      </c>
      <c r="M162" s="325">
        <v>-0.5</v>
      </c>
      <c r="N162" s="351">
        <f t="shared" si="43"/>
        <v>0.89999999999999991</v>
      </c>
      <c r="P162" s="665">
        <v>4</v>
      </c>
      <c r="Q162" s="325">
        <v>1000</v>
      </c>
      <c r="R162" s="326">
        <v>4.4000000000000004</v>
      </c>
      <c r="S162" s="326">
        <v>4.0999999999999996</v>
      </c>
      <c r="T162" s="326">
        <v>1.1000000000000001</v>
      </c>
      <c r="U162" s="351">
        <f t="shared" si="44"/>
        <v>1.6500000000000001</v>
      </c>
    </row>
    <row r="163" spans="1:24" ht="13">
      <c r="A163" s="1232"/>
      <c r="B163" s="665">
        <v>5</v>
      </c>
      <c r="C163" s="325">
        <v>35</v>
      </c>
      <c r="D163" s="325">
        <v>0.5</v>
      </c>
      <c r="E163" s="325">
        <v>0.8</v>
      </c>
      <c r="F163" s="325">
        <v>-0.1</v>
      </c>
      <c r="G163" s="351">
        <f t="shared" si="42"/>
        <v>0.45</v>
      </c>
      <c r="I163" s="665">
        <v>5</v>
      </c>
      <c r="J163" s="325">
        <v>70</v>
      </c>
      <c r="K163" s="325">
        <v>-1.6</v>
      </c>
      <c r="L163" s="325">
        <v>-0.7</v>
      </c>
      <c r="M163" s="325">
        <v>-0.8</v>
      </c>
      <c r="N163" s="351">
        <f t="shared" si="43"/>
        <v>0.45000000000000007</v>
      </c>
      <c r="P163" s="665">
        <v>5</v>
      </c>
      <c r="Q163" s="325">
        <v>1005</v>
      </c>
      <c r="R163" s="326"/>
      <c r="S163" s="326">
        <v>4</v>
      </c>
      <c r="T163" s="326">
        <v>1.1000000000000001</v>
      </c>
      <c r="U163" s="351">
        <f t="shared" si="44"/>
        <v>1.45</v>
      </c>
    </row>
    <row r="164" spans="1:24" ht="13">
      <c r="A164" s="1232"/>
      <c r="B164" s="665">
        <v>6</v>
      </c>
      <c r="C164" s="325">
        <v>37</v>
      </c>
      <c r="D164" s="325">
        <v>0.5</v>
      </c>
      <c r="E164" s="325">
        <v>1</v>
      </c>
      <c r="F164" s="325">
        <v>-0.1</v>
      </c>
      <c r="G164" s="351">
        <f t="shared" si="42"/>
        <v>0.55000000000000004</v>
      </c>
      <c r="I164" s="665">
        <v>6</v>
      </c>
      <c r="J164" s="325">
        <v>80</v>
      </c>
      <c r="K164" s="325">
        <v>-0.7</v>
      </c>
      <c r="L164" s="325">
        <v>-0.4</v>
      </c>
      <c r="M164" s="325">
        <v>-1.3</v>
      </c>
      <c r="N164" s="351">
        <f t="shared" si="43"/>
        <v>0.45</v>
      </c>
      <c r="P164" s="665">
        <v>6</v>
      </c>
      <c r="Q164" s="325">
        <v>1010</v>
      </c>
      <c r="R164" s="326">
        <v>4.5999999999999996</v>
      </c>
      <c r="S164" s="326">
        <v>3.9</v>
      </c>
      <c r="T164" s="326">
        <v>1.1000000000000001</v>
      </c>
      <c r="U164" s="351">
        <f t="shared" si="44"/>
        <v>1.7499999999999998</v>
      </c>
    </row>
    <row r="165" spans="1:24" ht="13">
      <c r="A165" s="1232"/>
      <c r="B165" s="665">
        <v>7</v>
      </c>
      <c r="C165" s="362">
        <v>40</v>
      </c>
      <c r="D165" s="325">
        <v>0.6</v>
      </c>
      <c r="E165" s="325">
        <v>1.4</v>
      </c>
      <c r="F165" s="325">
        <v>9.9999999999999995E-7</v>
      </c>
      <c r="G165" s="351">
        <f t="shared" si="42"/>
        <v>0.6999995</v>
      </c>
      <c r="I165" s="665">
        <v>7</v>
      </c>
      <c r="J165" s="362">
        <v>90</v>
      </c>
      <c r="K165" s="325">
        <v>0.1</v>
      </c>
      <c r="L165" s="325">
        <v>-0.1</v>
      </c>
      <c r="M165" s="325">
        <v>-2</v>
      </c>
      <c r="N165" s="351">
        <f t="shared" si="43"/>
        <v>1.05</v>
      </c>
      <c r="P165" s="665">
        <v>7</v>
      </c>
      <c r="Q165" s="325">
        <v>1020</v>
      </c>
      <c r="R165" s="326"/>
      <c r="S165" s="326">
        <v>9.9999999999999995E-7</v>
      </c>
      <c r="T165" s="326">
        <v>9.9999999999999995E-7</v>
      </c>
      <c r="U165" s="351">
        <f t="shared" si="44"/>
        <v>0</v>
      </c>
    </row>
    <row r="166" spans="1:24" ht="13" thickBot="1">
      <c r="A166" s="662"/>
      <c r="C166" s="363"/>
      <c r="D166" s="343"/>
      <c r="E166" s="364"/>
      <c r="F166" s="363"/>
      <c r="I166" s="363"/>
      <c r="J166" s="343"/>
      <c r="K166" s="364"/>
      <c r="L166" s="363"/>
      <c r="O166" s="343"/>
      <c r="P166" s="364"/>
      <c r="Q166" s="364"/>
      <c r="R166" s="363"/>
    </row>
    <row r="167" spans="1:24">
      <c r="A167" s="1232">
        <v>16</v>
      </c>
      <c r="B167" s="1233" t="s">
        <v>476</v>
      </c>
      <c r="C167" s="1233"/>
      <c r="D167" s="1233"/>
      <c r="E167" s="1233"/>
      <c r="F167" s="1233"/>
      <c r="G167" s="1233"/>
      <c r="I167" s="1233" t="str">
        <f>B167</f>
        <v>KOREKSI EXTECH A.100616</v>
      </c>
      <c r="J167" s="1233"/>
      <c r="K167" s="1233"/>
      <c r="L167" s="1233"/>
      <c r="M167" s="1233"/>
      <c r="N167" s="1233"/>
      <c r="P167" s="1233" t="str">
        <f>I167</f>
        <v>KOREKSI EXTECH A.100616</v>
      </c>
      <c r="Q167" s="1233"/>
      <c r="R167" s="1233"/>
      <c r="S167" s="1233"/>
      <c r="T167" s="1233"/>
      <c r="U167" s="1233"/>
      <c r="W167" s="1227" t="s">
        <v>371</v>
      </c>
      <c r="X167" s="1228"/>
    </row>
    <row r="168" spans="1:24" ht="13">
      <c r="A168" s="1232"/>
      <c r="B168" s="1229" t="s">
        <v>456</v>
      </c>
      <c r="C168" s="1229"/>
      <c r="D168" s="1229" t="s">
        <v>457</v>
      </c>
      <c r="E168" s="1229"/>
      <c r="F168" s="1229"/>
      <c r="G168" s="1229" t="s">
        <v>357</v>
      </c>
      <c r="I168" s="1229" t="s">
        <v>458</v>
      </c>
      <c r="J168" s="1229"/>
      <c r="K168" s="1229" t="s">
        <v>457</v>
      </c>
      <c r="L168" s="1229"/>
      <c r="M168" s="1229"/>
      <c r="N168" s="1229" t="s">
        <v>357</v>
      </c>
      <c r="P168" s="1229" t="s">
        <v>459</v>
      </c>
      <c r="Q168" s="1229"/>
      <c r="R168" s="1229" t="s">
        <v>457</v>
      </c>
      <c r="S168" s="1229"/>
      <c r="T168" s="1229"/>
      <c r="U168" s="1229" t="s">
        <v>357</v>
      </c>
      <c r="W168" s="347" t="s">
        <v>456</v>
      </c>
      <c r="X168" s="348">
        <v>0.5</v>
      </c>
    </row>
    <row r="169" spans="1:24" ht="14.5">
      <c r="A169" s="1232"/>
      <c r="B169" s="1230" t="s">
        <v>460</v>
      </c>
      <c r="C169" s="1230"/>
      <c r="D169" s="349">
        <v>2023</v>
      </c>
      <c r="E169" s="349">
        <v>2020</v>
      </c>
      <c r="F169" s="349">
        <v>2016</v>
      </c>
      <c r="G169" s="1229"/>
      <c r="I169" s="1231" t="s">
        <v>15</v>
      </c>
      <c r="J169" s="1230"/>
      <c r="K169" s="361">
        <f>D169</f>
        <v>2023</v>
      </c>
      <c r="L169" s="361">
        <f>E169</f>
        <v>2020</v>
      </c>
      <c r="M169" s="349">
        <v>2016</v>
      </c>
      <c r="N169" s="1229"/>
      <c r="P169" s="1231" t="s">
        <v>461</v>
      </c>
      <c r="Q169" s="1230"/>
      <c r="R169" s="361">
        <f>K169</f>
        <v>2023</v>
      </c>
      <c r="S169" s="361">
        <f>L169</f>
        <v>2020</v>
      </c>
      <c r="T169" s="349">
        <v>2016</v>
      </c>
      <c r="U169" s="1229"/>
      <c r="W169" s="347" t="s">
        <v>15</v>
      </c>
      <c r="X169" s="348">
        <v>2.2999999999999998</v>
      </c>
    </row>
    <row r="170" spans="1:24" ht="13.5" thickBot="1">
      <c r="A170" s="1232"/>
      <c r="B170" s="665">
        <v>1</v>
      </c>
      <c r="C170" s="322">
        <v>15</v>
      </c>
      <c r="D170" s="322">
        <v>0.1</v>
      </c>
      <c r="E170" s="322">
        <v>0.1</v>
      </c>
      <c r="F170" s="356"/>
      <c r="G170" s="351">
        <f>0.5*(MAX(D170:F170)-MIN(D170:F170))</f>
        <v>0</v>
      </c>
      <c r="I170" s="665">
        <v>1</v>
      </c>
      <c r="J170" s="322">
        <v>35</v>
      </c>
      <c r="K170" s="322">
        <v>-2.5</v>
      </c>
      <c r="L170" s="322">
        <v>-1.6</v>
      </c>
      <c r="M170" s="356"/>
      <c r="N170" s="351">
        <f>0.5*(MAX(K170:M170)-MIN(K170:M170))</f>
        <v>0.44999999999999996</v>
      </c>
      <c r="P170" s="665">
        <v>1</v>
      </c>
      <c r="Q170" s="322">
        <v>960</v>
      </c>
      <c r="R170" s="352">
        <v>4.5999999999999996</v>
      </c>
      <c r="S170" s="352">
        <v>-2.9</v>
      </c>
      <c r="T170" s="356"/>
      <c r="U170" s="351">
        <f>0.5*(MAX(R170:T170)-MIN(R170:T170))</f>
        <v>3.75</v>
      </c>
      <c r="W170" s="353" t="s">
        <v>461</v>
      </c>
      <c r="X170" s="320">
        <v>2.2000000000000002</v>
      </c>
    </row>
    <row r="171" spans="1:24" ht="13">
      <c r="A171" s="1232"/>
      <c r="B171" s="665">
        <v>2</v>
      </c>
      <c r="C171" s="322">
        <v>20</v>
      </c>
      <c r="D171" s="322">
        <v>0.3</v>
      </c>
      <c r="E171" s="322">
        <v>0.2</v>
      </c>
      <c r="F171" s="356"/>
      <c r="G171" s="351">
        <f t="shared" ref="G171:G176" si="45">0.5*(MAX(D171:F171)-MIN(D171:F171))</f>
        <v>4.9999999999999989E-2</v>
      </c>
      <c r="I171" s="665">
        <v>2</v>
      </c>
      <c r="J171" s="322">
        <v>40</v>
      </c>
      <c r="K171" s="322">
        <v>-2.2999999999999998</v>
      </c>
      <c r="L171" s="322">
        <v>-1.4</v>
      </c>
      <c r="M171" s="356"/>
      <c r="N171" s="351">
        <f t="shared" ref="N171:N176" si="46">0.5*(MAX(K171:M171)-MIN(K171:M171))</f>
        <v>0.44999999999999996</v>
      </c>
      <c r="P171" s="665">
        <v>2</v>
      </c>
      <c r="Q171" s="322">
        <v>970</v>
      </c>
      <c r="R171" s="352">
        <v>4.5</v>
      </c>
      <c r="S171" s="352">
        <v>-2.2999999999999998</v>
      </c>
      <c r="T171" s="356"/>
      <c r="U171" s="351">
        <f t="shared" ref="U171:U176" si="47">0.5*(MAX(R171:T171)-MIN(R171:T171))</f>
        <v>3.4</v>
      </c>
    </row>
    <row r="172" spans="1:24" ht="13">
      <c r="A172" s="1232"/>
      <c r="B172" s="665">
        <v>3</v>
      </c>
      <c r="C172" s="322">
        <v>25</v>
      </c>
      <c r="D172" s="322">
        <v>0.5</v>
      </c>
      <c r="E172" s="322">
        <v>0.2</v>
      </c>
      <c r="F172" s="356"/>
      <c r="G172" s="351">
        <f t="shared" si="45"/>
        <v>0.15</v>
      </c>
      <c r="I172" s="665">
        <v>3</v>
      </c>
      <c r="J172" s="322">
        <v>50</v>
      </c>
      <c r="K172" s="322">
        <v>-2</v>
      </c>
      <c r="L172" s="322">
        <v>-1.4</v>
      </c>
      <c r="M172" s="356"/>
      <c r="N172" s="351">
        <f t="shared" si="46"/>
        <v>0.30000000000000004</v>
      </c>
      <c r="P172" s="665">
        <v>3</v>
      </c>
      <c r="Q172" s="325">
        <v>980</v>
      </c>
      <c r="R172" s="326">
        <v>4.5</v>
      </c>
      <c r="S172" s="326">
        <v>-1.7</v>
      </c>
      <c r="T172" s="356"/>
      <c r="U172" s="351">
        <f t="shared" si="47"/>
        <v>3.1</v>
      </c>
    </row>
    <row r="173" spans="1:24" ht="13">
      <c r="A173" s="1232"/>
      <c r="B173" s="665">
        <v>4</v>
      </c>
      <c r="C173" s="325">
        <v>30</v>
      </c>
      <c r="D173" s="325">
        <v>0.6</v>
      </c>
      <c r="E173" s="325">
        <v>0.2</v>
      </c>
      <c r="F173" s="356"/>
      <c r="G173" s="351">
        <f t="shared" si="45"/>
        <v>0.19999999999999998</v>
      </c>
      <c r="I173" s="665">
        <v>4</v>
      </c>
      <c r="J173" s="325">
        <v>60</v>
      </c>
      <c r="K173" s="325">
        <v>-1.9</v>
      </c>
      <c r="L173" s="325">
        <v>-1.5</v>
      </c>
      <c r="M173" s="356"/>
      <c r="N173" s="351">
        <f t="shared" si="46"/>
        <v>0.19999999999999996</v>
      </c>
      <c r="P173" s="665">
        <v>4</v>
      </c>
      <c r="Q173" s="325">
        <v>990</v>
      </c>
      <c r="R173" s="326">
        <v>4.4000000000000004</v>
      </c>
      <c r="S173" s="326">
        <v>-1.1000000000000001</v>
      </c>
      <c r="T173" s="356"/>
      <c r="U173" s="351">
        <f t="shared" si="47"/>
        <v>2.75</v>
      </c>
    </row>
    <row r="174" spans="1:24" ht="13">
      <c r="A174" s="1232"/>
      <c r="B174" s="665">
        <v>5</v>
      </c>
      <c r="C174" s="325">
        <v>35</v>
      </c>
      <c r="D174" s="325">
        <v>0.6</v>
      </c>
      <c r="E174" s="325">
        <v>0.1</v>
      </c>
      <c r="F174" s="356"/>
      <c r="G174" s="351">
        <f t="shared" si="45"/>
        <v>0.25</v>
      </c>
      <c r="I174" s="665">
        <v>5</v>
      </c>
      <c r="J174" s="325">
        <v>70</v>
      </c>
      <c r="K174" s="325">
        <v>-2.1</v>
      </c>
      <c r="L174" s="325">
        <v>-1.8</v>
      </c>
      <c r="M174" s="356"/>
      <c r="N174" s="351">
        <f t="shared" si="46"/>
        <v>0.15000000000000002</v>
      </c>
      <c r="P174" s="665">
        <v>5</v>
      </c>
      <c r="Q174" s="325">
        <v>1000</v>
      </c>
      <c r="R174" s="326">
        <v>4.3</v>
      </c>
      <c r="S174" s="326">
        <v>-0.4</v>
      </c>
      <c r="T174" s="356"/>
      <c r="U174" s="351">
        <f t="shared" si="47"/>
        <v>2.35</v>
      </c>
    </row>
    <row r="175" spans="1:24" ht="13">
      <c r="A175" s="1232"/>
      <c r="B175" s="665">
        <v>6</v>
      </c>
      <c r="C175" s="325">
        <v>37</v>
      </c>
      <c r="D175" s="325">
        <v>0.6</v>
      </c>
      <c r="E175" s="325">
        <v>9.9999999999999995E-7</v>
      </c>
      <c r="F175" s="356"/>
      <c r="G175" s="351">
        <f t="shared" si="45"/>
        <v>0.29999949999999997</v>
      </c>
      <c r="I175" s="665">
        <v>6</v>
      </c>
      <c r="J175" s="325">
        <v>80</v>
      </c>
      <c r="K175" s="325">
        <v>-2.5</v>
      </c>
      <c r="L175" s="325">
        <v>-2.2999999999999998</v>
      </c>
      <c r="M175" s="356"/>
      <c r="N175" s="351">
        <f t="shared" si="46"/>
        <v>0.10000000000000009</v>
      </c>
      <c r="P175" s="665">
        <v>6</v>
      </c>
      <c r="Q175" s="325">
        <v>1010</v>
      </c>
      <c r="R175" s="326">
        <v>4.3</v>
      </c>
      <c r="S175" s="326">
        <v>-0.4</v>
      </c>
      <c r="T175" s="356"/>
      <c r="U175" s="351">
        <f t="shared" si="47"/>
        <v>2.35</v>
      </c>
    </row>
    <row r="176" spans="1:24" ht="13">
      <c r="A176" s="1232"/>
      <c r="B176" s="665">
        <v>7</v>
      </c>
      <c r="C176" s="362">
        <v>40</v>
      </c>
      <c r="D176" s="325">
        <v>0.6</v>
      </c>
      <c r="E176" s="325">
        <v>9.9999999999999995E-7</v>
      </c>
      <c r="F176" s="356"/>
      <c r="G176" s="351">
        <f t="shared" si="45"/>
        <v>0.29999949999999997</v>
      </c>
      <c r="I176" s="665">
        <v>7</v>
      </c>
      <c r="J176" s="362">
        <v>90</v>
      </c>
      <c r="K176" s="325">
        <v>-3.1</v>
      </c>
      <c r="L176" s="325">
        <v>-3</v>
      </c>
      <c r="M176" s="356"/>
      <c r="N176" s="351">
        <f t="shared" si="46"/>
        <v>5.0000000000000044E-2</v>
      </c>
      <c r="P176" s="665">
        <v>7</v>
      </c>
      <c r="Q176" s="325">
        <v>1020</v>
      </c>
      <c r="R176" s="326">
        <v>0</v>
      </c>
      <c r="S176" s="326">
        <v>9.9999999999999995E-7</v>
      </c>
      <c r="T176" s="356"/>
      <c r="U176" s="351">
        <f t="shared" si="47"/>
        <v>4.9999999999999998E-7</v>
      </c>
    </row>
    <row r="177" spans="1:24" ht="13" thickBot="1">
      <c r="A177" s="662"/>
      <c r="C177" s="363"/>
      <c r="D177" s="343"/>
      <c r="E177" s="364"/>
      <c r="F177" s="363"/>
      <c r="J177" s="363"/>
      <c r="K177" s="343"/>
      <c r="L177" s="364"/>
      <c r="M177" s="363"/>
      <c r="Q177" s="343"/>
      <c r="R177" s="364"/>
      <c r="S177" s="364"/>
      <c r="T177" s="363"/>
    </row>
    <row r="178" spans="1:24">
      <c r="A178" s="1232">
        <v>17</v>
      </c>
      <c r="B178" s="1233" t="s">
        <v>477</v>
      </c>
      <c r="C178" s="1233"/>
      <c r="D178" s="1233"/>
      <c r="E178" s="1233"/>
      <c r="F178" s="1233"/>
      <c r="G178" s="1233"/>
      <c r="I178" s="1233" t="str">
        <f>B178</f>
        <v>KOREKSI EXTECH A.100617</v>
      </c>
      <c r="J178" s="1233"/>
      <c r="K178" s="1233"/>
      <c r="L178" s="1233"/>
      <c r="M178" s="1233"/>
      <c r="N178" s="1233"/>
      <c r="P178" s="1233" t="str">
        <f>I178</f>
        <v>KOREKSI EXTECH A.100617</v>
      </c>
      <c r="Q178" s="1233"/>
      <c r="R178" s="1233"/>
      <c r="S178" s="1233"/>
      <c r="T178" s="1233"/>
      <c r="U178" s="1233"/>
      <c r="W178" s="1227" t="s">
        <v>371</v>
      </c>
      <c r="X178" s="1228"/>
    </row>
    <row r="179" spans="1:24" ht="13">
      <c r="A179" s="1232"/>
      <c r="B179" s="1229" t="s">
        <v>456</v>
      </c>
      <c r="C179" s="1229"/>
      <c r="D179" s="1229" t="s">
        <v>457</v>
      </c>
      <c r="E179" s="1229"/>
      <c r="F179" s="1229"/>
      <c r="G179" s="1229" t="s">
        <v>357</v>
      </c>
      <c r="I179" s="1229" t="s">
        <v>458</v>
      </c>
      <c r="J179" s="1229"/>
      <c r="K179" s="1229" t="s">
        <v>457</v>
      </c>
      <c r="L179" s="1229"/>
      <c r="M179" s="1229"/>
      <c r="N179" s="1229" t="s">
        <v>357</v>
      </c>
      <c r="P179" s="1229" t="s">
        <v>459</v>
      </c>
      <c r="Q179" s="1229"/>
      <c r="R179" s="1229" t="s">
        <v>457</v>
      </c>
      <c r="S179" s="1229"/>
      <c r="T179" s="1229"/>
      <c r="U179" s="1229" t="s">
        <v>357</v>
      </c>
      <c r="W179" s="347" t="s">
        <v>456</v>
      </c>
      <c r="X179" s="348">
        <v>0.8</v>
      </c>
    </row>
    <row r="180" spans="1:24" ht="14.5">
      <c r="A180" s="1232"/>
      <c r="B180" s="1230" t="s">
        <v>460</v>
      </c>
      <c r="C180" s="1230"/>
      <c r="D180" s="349">
        <v>2023</v>
      </c>
      <c r="E180" s="349">
        <v>2020</v>
      </c>
      <c r="F180" s="349">
        <v>2016</v>
      </c>
      <c r="G180" s="1229"/>
      <c r="I180" s="1231" t="s">
        <v>15</v>
      </c>
      <c r="J180" s="1230"/>
      <c r="K180" s="361">
        <f>D180</f>
        <v>2023</v>
      </c>
      <c r="L180" s="361">
        <f>E180</f>
        <v>2020</v>
      </c>
      <c r="M180" s="349">
        <v>2016</v>
      </c>
      <c r="N180" s="1229"/>
      <c r="P180" s="1231" t="s">
        <v>461</v>
      </c>
      <c r="Q180" s="1230"/>
      <c r="R180" s="361">
        <f>K180</f>
        <v>2023</v>
      </c>
      <c r="S180" s="361">
        <f>L180</f>
        <v>2020</v>
      </c>
      <c r="T180" s="349">
        <v>2016</v>
      </c>
      <c r="U180" s="1229"/>
      <c r="W180" s="347" t="s">
        <v>15</v>
      </c>
      <c r="X180" s="348">
        <v>2.2999999999999998</v>
      </c>
    </row>
    <row r="181" spans="1:24" ht="13.5" thickBot="1">
      <c r="A181" s="1232"/>
      <c r="B181" s="665">
        <v>1</v>
      </c>
      <c r="C181" s="322">
        <v>15</v>
      </c>
      <c r="D181" s="322">
        <v>0.2</v>
      </c>
      <c r="E181" s="322">
        <v>0.1</v>
      </c>
      <c r="F181" s="356"/>
      <c r="G181" s="351">
        <f t="shared" ref="G181:G187" si="48">0.5*(MAX(D181:F181)-MIN(D181:F181))</f>
        <v>0.05</v>
      </c>
      <c r="I181" s="665">
        <v>1</v>
      </c>
      <c r="J181" s="322">
        <v>35</v>
      </c>
      <c r="K181" s="322">
        <v>-2.7</v>
      </c>
      <c r="L181" s="322">
        <v>0.1</v>
      </c>
      <c r="M181" s="356"/>
      <c r="N181" s="351">
        <f>0.5*(MAX(K181:M181)-MIN(K181:M181))</f>
        <v>1.4000000000000001</v>
      </c>
      <c r="P181" s="665">
        <v>1</v>
      </c>
      <c r="Q181" s="322">
        <v>960</v>
      </c>
      <c r="R181" s="352">
        <v>4.5999999999999996</v>
      </c>
      <c r="S181" s="352">
        <v>-0.6</v>
      </c>
      <c r="T181" s="356"/>
      <c r="U181" s="351">
        <f>0.5*(MAX(R181:T181)-MIN(R181:T181))</f>
        <v>2.5999999999999996</v>
      </c>
      <c r="W181" s="353" t="s">
        <v>461</v>
      </c>
      <c r="X181" s="320">
        <v>2.1</v>
      </c>
    </row>
    <row r="182" spans="1:24" ht="13">
      <c r="A182" s="1232"/>
      <c r="B182" s="665">
        <v>2</v>
      </c>
      <c r="C182" s="322">
        <v>20</v>
      </c>
      <c r="D182" s="322">
        <v>0.4</v>
      </c>
      <c r="E182" s="322">
        <v>0.1</v>
      </c>
      <c r="F182" s="356"/>
      <c r="G182" s="351">
        <f t="shared" si="48"/>
        <v>0.15000000000000002</v>
      </c>
      <c r="I182" s="665">
        <v>2</v>
      </c>
      <c r="J182" s="322">
        <v>40</v>
      </c>
      <c r="K182" s="322">
        <v>-2.4</v>
      </c>
      <c r="L182" s="322">
        <v>0.2</v>
      </c>
      <c r="M182" s="356"/>
      <c r="N182" s="351">
        <f t="shared" ref="N182:N187" si="49">0.5*(MAX(K182:M182)-MIN(K182:M182))</f>
        <v>1.3</v>
      </c>
      <c r="P182" s="665">
        <v>2</v>
      </c>
      <c r="Q182" s="322">
        <v>970</v>
      </c>
      <c r="R182" s="352">
        <v>4.5</v>
      </c>
      <c r="S182" s="352">
        <v>-0.6</v>
      </c>
      <c r="T182" s="356"/>
      <c r="U182" s="351">
        <f t="shared" ref="U182:U187" si="50">0.5*(MAX(R182:T182)-MIN(R182:T182))</f>
        <v>2.5499999999999998</v>
      </c>
    </row>
    <row r="183" spans="1:24" ht="13">
      <c r="A183" s="1232"/>
      <c r="B183" s="665">
        <v>3</v>
      </c>
      <c r="C183" s="322">
        <v>25</v>
      </c>
      <c r="D183" s="322">
        <v>0.5</v>
      </c>
      <c r="E183" s="322">
        <v>9.9999999999999995E-7</v>
      </c>
      <c r="F183" s="356"/>
      <c r="G183" s="351">
        <f t="shared" si="48"/>
        <v>0.24999950000000001</v>
      </c>
      <c r="I183" s="665">
        <v>3</v>
      </c>
      <c r="J183" s="322">
        <v>50</v>
      </c>
      <c r="K183" s="322">
        <v>-1.9</v>
      </c>
      <c r="L183" s="322">
        <v>0.2</v>
      </c>
      <c r="M183" s="356"/>
      <c r="N183" s="351">
        <f t="shared" si="49"/>
        <v>1.05</v>
      </c>
      <c r="P183" s="665">
        <v>3</v>
      </c>
      <c r="Q183" s="325">
        <v>980</v>
      </c>
      <c r="R183" s="326">
        <v>4.5</v>
      </c>
      <c r="S183" s="326">
        <v>-0.6</v>
      </c>
      <c r="T183" s="356"/>
      <c r="U183" s="351">
        <f t="shared" si="50"/>
        <v>2.5499999999999998</v>
      </c>
    </row>
    <row r="184" spans="1:24" ht="13">
      <c r="A184" s="1232"/>
      <c r="B184" s="665">
        <v>4</v>
      </c>
      <c r="C184" s="325">
        <v>30</v>
      </c>
      <c r="D184" s="325">
        <v>0.6</v>
      </c>
      <c r="E184" s="325">
        <v>-0.2</v>
      </c>
      <c r="F184" s="356"/>
      <c r="G184" s="351">
        <f t="shared" si="48"/>
        <v>0.4</v>
      </c>
      <c r="I184" s="665">
        <v>4</v>
      </c>
      <c r="J184" s="325">
        <v>60</v>
      </c>
      <c r="K184" s="325">
        <v>-1.7</v>
      </c>
      <c r="L184" s="325">
        <v>9.9999999999999995E-7</v>
      </c>
      <c r="M184" s="356"/>
      <c r="N184" s="351">
        <f t="shared" si="49"/>
        <v>0.85000049999999994</v>
      </c>
      <c r="P184" s="665">
        <v>4</v>
      </c>
      <c r="Q184" s="325">
        <v>990</v>
      </c>
      <c r="R184" s="326">
        <v>4.4000000000000004</v>
      </c>
      <c r="S184" s="326">
        <v>-0.6</v>
      </c>
      <c r="T184" s="356"/>
      <c r="U184" s="351">
        <f t="shared" si="50"/>
        <v>2.5</v>
      </c>
    </row>
    <row r="185" spans="1:24" ht="13">
      <c r="A185" s="1232"/>
      <c r="B185" s="665">
        <v>5</v>
      </c>
      <c r="C185" s="325">
        <v>35</v>
      </c>
      <c r="D185" s="325">
        <v>0.7</v>
      </c>
      <c r="E185" s="325">
        <v>-0.5</v>
      </c>
      <c r="F185" s="356"/>
      <c r="G185" s="351">
        <f t="shared" si="48"/>
        <v>0.6</v>
      </c>
      <c r="I185" s="665">
        <v>5</v>
      </c>
      <c r="J185" s="325">
        <v>70</v>
      </c>
      <c r="K185" s="325">
        <v>-1.8</v>
      </c>
      <c r="L185" s="325">
        <v>-0.3</v>
      </c>
      <c r="M185" s="356"/>
      <c r="N185" s="351">
        <f t="shared" si="49"/>
        <v>0.75</v>
      </c>
      <c r="P185" s="665">
        <v>5</v>
      </c>
      <c r="Q185" s="325">
        <v>1000</v>
      </c>
      <c r="R185" s="326">
        <v>4.4000000000000004</v>
      </c>
      <c r="S185" s="326">
        <v>-0.6</v>
      </c>
      <c r="T185" s="356"/>
      <c r="U185" s="351">
        <f t="shared" si="50"/>
        <v>2.5</v>
      </c>
    </row>
    <row r="186" spans="1:24" ht="13">
      <c r="A186" s="1232"/>
      <c r="B186" s="665">
        <v>6</v>
      </c>
      <c r="C186" s="325">
        <v>37</v>
      </c>
      <c r="D186" s="325">
        <v>0.7</v>
      </c>
      <c r="E186" s="325">
        <v>-0.6</v>
      </c>
      <c r="F186" s="356"/>
      <c r="G186" s="351">
        <f t="shared" si="48"/>
        <v>0.64999999999999991</v>
      </c>
      <c r="I186" s="665">
        <v>6</v>
      </c>
      <c r="J186" s="325">
        <v>80</v>
      </c>
      <c r="K186" s="325">
        <v>-2.2000000000000002</v>
      </c>
      <c r="L186" s="325">
        <v>-0.8</v>
      </c>
      <c r="M186" s="356"/>
      <c r="N186" s="351">
        <f t="shared" si="49"/>
        <v>0.70000000000000007</v>
      </c>
      <c r="P186" s="665">
        <v>6</v>
      </c>
      <c r="Q186" s="325">
        <v>1010</v>
      </c>
      <c r="R186" s="326">
        <v>4.4000000000000004</v>
      </c>
      <c r="S186" s="326">
        <v>-0.6</v>
      </c>
      <c r="T186" s="356"/>
      <c r="U186" s="351">
        <f t="shared" si="50"/>
        <v>2.5</v>
      </c>
    </row>
    <row r="187" spans="1:24" ht="13">
      <c r="A187" s="1232"/>
      <c r="B187" s="665">
        <v>7</v>
      </c>
      <c r="C187" s="362">
        <v>40</v>
      </c>
      <c r="D187" s="325">
        <v>0.7</v>
      </c>
      <c r="E187" s="325">
        <v>-0.8</v>
      </c>
      <c r="F187" s="356"/>
      <c r="G187" s="351">
        <f t="shared" si="48"/>
        <v>0.75</v>
      </c>
      <c r="I187" s="665">
        <v>7</v>
      </c>
      <c r="J187" s="362">
        <v>90</v>
      </c>
      <c r="K187" s="325">
        <v>-2.9</v>
      </c>
      <c r="L187" s="325">
        <v>-1.4</v>
      </c>
      <c r="M187" s="356"/>
      <c r="N187" s="351">
        <f t="shared" si="49"/>
        <v>0.75</v>
      </c>
      <c r="P187" s="665">
        <v>7</v>
      </c>
      <c r="Q187" s="325">
        <v>1020</v>
      </c>
      <c r="R187" s="326">
        <v>0</v>
      </c>
      <c r="S187" s="326">
        <v>9.9999999999999995E-7</v>
      </c>
      <c r="T187" s="356"/>
      <c r="U187" s="351">
        <f t="shared" si="50"/>
        <v>4.9999999999999998E-7</v>
      </c>
    </row>
    <row r="188" spans="1:24" ht="13" thickBot="1">
      <c r="A188" s="662"/>
      <c r="C188" s="363"/>
      <c r="D188" s="343"/>
      <c r="E188" s="364"/>
      <c r="F188" s="363"/>
      <c r="J188" s="363"/>
      <c r="K188" s="343"/>
      <c r="L188" s="364"/>
      <c r="M188" s="363"/>
      <c r="Q188" s="343"/>
      <c r="R188" s="364"/>
      <c r="S188" s="364"/>
      <c r="T188" s="363"/>
    </row>
    <row r="189" spans="1:24">
      <c r="A189" s="1232">
        <v>18</v>
      </c>
      <c r="B189" s="1233" t="s">
        <v>478</v>
      </c>
      <c r="C189" s="1233"/>
      <c r="D189" s="1233"/>
      <c r="E189" s="1233"/>
      <c r="F189" s="1233"/>
      <c r="G189" s="1233"/>
      <c r="I189" s="1233" t="str">
        <f>B189</f>
        <v>KOREKSI EXTECH A.100618</v>
      </c>
      <c r="J189" s="1233"/>
      <c r="K189" s="1233"/>
      <c r="L189" s="1233"/>
      <c r="M189" s="1233"/>
      <c r="N189" s="1233"/>
      <c r="P189" s="1233" t="str">
        <f>I189</f>
        <v>KOREKSI EXTECH A.100618</v>
      </c>
      <c r="Q189" s="1233"/>
      <c r="R189" s="1233"/>
      <c r="S189" s="1233"/>
      <c r="T189" s="1233"/>
      <c r="U189" s="1233"/>
      <c r="W189" s="1227" t="s">
        <v>371</v>
      </c>
      <c r="X189" s="1228"/>
    </row>
    <row r="190" spans="1:24" ht="13">
      <c r="A190" s="1232"/>
      <c r="B190" s="1229" t="s">
        <v>456</v>
      </c>
      <c r="C190" s="1229"/>
      <c r="D190" s="1229" t="s">
        <v>457</v>
      </c>
      <c r="E190" s="1229"/>
      <c r="F190" s="1229"/>
      <c r="G190" s="1229" t="s">
        <v>357</v>
      </c>
      <c r="I190" s="1229" t="s">
        <v>458</v>
      </c>
      <c r="J190" s="1229"/>
      <c r="K190" s="1229" t="s">
        <v>457</v>
      </c>
      <c r="L190" s="1229"/>
      <c r="M190" s="1229"/>
      <c r="N190" s="1229" t="s">
        <v>357</v>
      </c>
      <c r="P190" s="1229" t="s">
        <v>459</v>
      </c>
      <c r="Q190" s="1229"/>
      <c r="R190" s="1229" t="s">
        <v>457</v>
      </c>
      <c r="S190" s="1229"/>
      <c r="T190" s="1229"/>
      <c r="U190" s="1229" t="s">
        <v>357</v>
      </c>
      <c r="W190" s="347" t="s">
        <v>456</v>
      </c>
      <c r="X190" s="348">
        <v>0.6</v>
      </c>
    </row>
    <row r="191" spans="1:24" ht="14.5">
      <c r="A191" s="1232"/>
      <c r="B191" s="1230" t="s">
        <v>460</v>
      </c>
      <c r="C191" s="1230"/>
      <c r="D191" s="349">
        <v>2023</v>
      </c>
      <c r="E191" s="349">
        <v>2020</v>
      </c>
      <c r="F191" s="349">
        <v>2016</v>
      </c>
      <c r="G191" s="1229"/>
      <c r="I191" s="1231" t="s">
        <v>15</v>
      </c>
      <c r="J191" s="1230"/>
      <c r="K191" s="361">
        <f>D191</f>
        <v>2023</v>
      </c>
      <c r="L191" s="361">
        <f>E191</f>
        <v>2020</v>
      </c>
      <c r="M191" s="349">
        <v>2016</v>
      </c>
      <c r="N191" s="1229"/>
      <c r="P191" s="1231" t="s">
        <v>461</v>
      </c>
      <c r="Q191" s="1230"/>
      <c r="R191" s="361">
        <f>K191</f>
        <v>2023</v>
      </c>
      <c r="S191" s="361">
        <f>L191</f>
        <v>2020</v>
      </c>
      <c r="T191" s="349">
        <v>2016</v>
      </c>
      <c r="U191" s="1229"/>
      <c r="W191" s="347" t="s">
        <v>15</v>
      </c>
      <c r="X191" s="348">
        <v>2.2999999999999998</v>
      </c>
    </row>
    <row r="192" spans="1:24" ht="13.5" thickBot="1">
      <c r="A192" s="1232"/>
      <c r="B192" s="665">
        <v>1</v>
      </c>
      <c r="C192" s="322">
        <v>15</v>
      </c>
      <c r="D192" s="322">
        <v>0.3</v>
      </c>
      <c r="E192" s="322">
        <v>9.9999999999999995E-7</v>
      </c>
      <c r="F192" s="356"/>
      <c r="G192" s="351">
        <f>0.5*(MAX(D192:F192)-MIN(D192:F192))</f>
        <v>0.14999950000000001</v>
      </c>
      <c r="I192" s="665">
        <v>1</v>
      </c>
      <c r="J192" s="322">
        <v>35</v>
      </c>
      <c r="K192" s="322">
        <v>-3.2</v>
      </c>
      <c r="L192" s="322">
        <v>-0.4</v>
      </c>
      <c r="M192" s="356"/>
      <c r="N192" s="351">
        <f>0.5*(MAX(K192:M192)-MIN(K192:M192))</f>
        <v>1.4000000000000001</v>
      </c>
      <c r="P192" s="665">
        <v>1</v>
      </c>
      <c r="Q192" s="322">
        <v>960</v>
      </c>
      <c r="R192" s="352">
        <v>4.4000000000000004</v>
      </c>
      <c r="S192" s="352">
        <v>-1.5</v>
      </c>
      <c r="T192" s="356"/>
      <c r="U192" s="351">
        <f>0.5*(MAX(R192:T192)-MIN(R192:T192))</f>
        <v>2.95</v>
      </c>
      <c r="W192" s="353" t="s">
        <v>461</v>
      </c>
      <c r="X192" s="320">
        <v>2.1</v>
      </c>
    </row>
    <row r="193" spans="1:24" ht="13">
      <c r="A193" s="1232"/>
      <c r="B193" s="665">
        <v>2</v>
      </c>
      <c r="C193" s="322">
        <v>20</v>
      </c>
      <c r="D193" s="322">
        <v>0.2</v>
      </c>
      <c r="E193" s="322">
        <v>-0.1</v>
      </c>
      <c r="F193" s="356"/>
      <c r="G193" s="351">
        <f t="shared" ref="G193:G198" si="51">0.5*(MAX(D193:F193)-MIN(D193:F193))</f>
        <v>0.15000000000000002</v>
      </c>
      <c r="I193" s="665">
        <v>2</v>
      </c>
      <c r="J193" s="322">
        <v>40</v>
      </c>
      <c r="K193" s="322">
        <v>-2.9</v>
      </c>
      <c r="L193" s="322">
        <v>-0.2</v>
      </c>
      <c r="M193" s="356"/>
      <c r="N193" s="351">
        <f t="shared" ref="N193:N198" si="52">0.5*(MAX(K193:M193)-MIN(K193:M193))</f>
        <v>1.3499999999999999</v>
      </c>
      <c r="P193" s="665">
        <v>2</v>
      </c>
      <c r="Q193" s="322">
        <v>970</v>
      </c>
      <c r="R193" s="352">
        <v>4.4000000000000004</v>
      </c>
      <c r="S193" s="352">
        <v>-1.3</v>
      </c>
      <c r="T193" s="356"/>
      <c r="U193" s="351">
        <f t="shared" ref="U193:U198" si="53">0.5*(MAX(R193:T193)-MIN(R193:T193))</f>
        <v>2.85</v>
      </c>
    </row>
    <row r="194" spans="1:24" ht="13">
      <c r="A194" s="1232"/>
      <c r="B194" s="665">
        <v>3</v>
      </c>
      <c r="C194" s="322">
        <v>25</v>
      </c>
      <c r="D194" s="322">
        <v>0.2</v>
      </c>
      <c r="E194" s="322">
        <v>-0.2</v>
      </c>
      <c r="F194" s="356"/>
      <c r="G194" s="351">
        <f t="shared" si="51"/>
        <v>0.2</v>
      </c>
      <c r="I194" s="665">
        <v>3</v>
      </c>
      <c r="J194" s="322">
        <v>50</v>
      </c>
      <c r="K194" s="322">
        <v>-2.4</v>
      </c>
      <c r="L194" s="322">
        <v>-0.2</v>
      </c>
      <c r="M194" s="356"/>
      <c r="N194" s="351">
        <f t="shared" si="52"/>
        <v>1.0999999999999999</v>
      </c>
      <c r="P194" s="665">
        <v>3</v>
      </c>
      <c r="Q194" s="325">
        <v>980</v>
      </c>
      <c r="R194" s="326">
        <v>4.3</v>
      </c>
      <c r="S194" s="326">
        <v>-1.1000000000000001</v>
      </c>
      <c r="T194" s="356"/>
      <c r="U194" s="351">
        <f t="shared" si="53"/>
        <v>2.7</v>
      </c>
    </row>
    <row r="195" spans="1:24" ht="13">
      <c r="A195" s="1232"/>
      <c r="B195" s="665">
        <v>4</v>
      </c>
      <c r="C195" s="325">
        <v>30</v>
      </c>
      <c r="D195" s="325">
        <v>0.3</v>
      </c>
      <c r="E195" s="325">
        <v>-0.2</v>
      </c>
      <c r="F195" s="356"/>
      <c r="G195" s="351">
        <f t="shared" si="51"/>
        <v>0.25</v>
      </c>
      <c r="I195" s="665">
        <v>4</v>
      </c>
      <c r="J195" s="325">
        <v>60</v>
      </c>
      <c r="K195" s="325">
        <v>-2.1</v>
      </c>
      <c r="L195" s="325">
        <v>-0.2</v>
      </c>
      <c r="M195" s="356"/>
      <c r="N195" s="351">
        <f t="shared" si="52"/>
        <v>0.95000000000000007</v>
      </c>
      <c r="P195" s="665">
        <v>4</v>
      </c>
      <c r="Q195" s="325">
        <v>990</v>
      </c>
      <c r="R195" s="326">
        <v>4.3</v>
      </c>
      <c r="S195" s="326">
        <v>-0.9</v>
      </c>
      <c r="T195" s="356"/>
      <c r="U195" s="351">
        <f t="shared" si="53"/>
        <v>2.6</v>
      </c>
    </row>
    <row r="196" spans="1:24" ht="13">
      <c r="A196" s="1232"/>
      <c r="B196" s="665">
        <v>5</v>
      </c>
      <c r="C196" s="325">
        <v>35</v>
      </c>
      <c r="D196" s="325">
        <v>0.4</v>
      </c>
      <c r="E196" s="325">
        <v>-0.3</v>
      </c>
      <c r="F196" s="356"/>
      <c r="G196" s="351">
        <f t="shared" si="51"/>
        <v>0.35</v>
      </c>
      <c r="I196" s="665">
        <v>5</v>
      </c>
      <c r="J196" s="325">
        <v>70</v>
      </c>
      <c r="K196" s="325">
        <v>-2.2000000000000002</v>
      </c>
      <c r="L196" s="325">
        <v>-0.3</v>
      </c>
      <c r="M196" s="356"/>
      <c r="N196" s="351">
        <f t="shared" si="52"/>
        <v>0.95000000000000007</v>
      </c>
      <c r="P196" s="665">
        <v>5</v>
      </c>
      <c r="Q196" s="325">
        <v>1000</v>
      </c>
      <c r="R196" s="326">
        <v>4.3</v>
      </c>
      <c r="S196" s="326">
        <v>-0.8</v>
      </c>
      <c r="T196" s="356"/>
      <c r="U196" s="351">
        <f t="shared" si="53"/>
        <v>2.5499999999999998</v>
      </c>
    </row>
    <row r="197" spans="1:24" ht="13">
      <c r="A197" s="1232"/>
      <c r="B197" s="665">
        <v>6</v>
      </c>
      <c r="C197" s="325">
        <v>37</v>
      </c>
      <c r="D197" s="325">
        <v>0.4</v>
      </c>
      <c r="E197" s="325">
        <v>-0.3</v>
      </c>
      <c r="F197" s="356"/>
      <c r="G197" s="351">
        <f t="shared" si="51"/>
        <v>0.35</v>
      </c>
      <c r="I197" s="665">
        <v>6</v>
      </c>
      <c r="J197" s="325">
        <v>80</v>
      </c>
      <c r="K197" s="325">
        <v>-2.4</v>
      </c>
      <c r="L197" s="325">
        <v>-0.5</v>
      </c>
      <c r="M197" s="356"/>
      <c r="N197" s="351">
        <f t="shared" si="52"/>
        <v>0.95</v>
      </c>
      <c r="P197" s="665">
        <v>6</v>
      </c>
      <c r="Q197" s="325">
        <v>1010</v>
      </c>
      <c r="R197" s="326">
        <v>4.2</v>
      </c>
      <c r="S197" s="326">
        <v>-0.7</v>
      </c>
      <c r="T197" s="356"/>
      <c r="U197" s="351">
        <f t="shared" si="53"/>
        <v>2.4500000000000002</v>
      </c>
    </row>
    <row r="198" spans="1:24" ht="13">
      <c r="A198" s="1232"/>
      <c r="B198" s="665">
        <v>7</v>
      </c>
      <c r="C198" s="362">
        <v>40</v>
      </c>
      <c r="D198" s="325">
        <v>0.5</v>
      </c>
      <c r="E198" s="325">
        <v>-0.4</v>
      </c>
      <c r="F198" s="356"/>
      <c r="G198" s="351">
        <f t="shared" si="51"/>
        <v>0.45</v>
      </c>
      <c r="I198" s="665">
        <v>7</v>
      </c>
      <c r="J198" s="362">
        <v>90</v>
      </c>
      <c r="K198" s="325">
        <v>-3</v>
      </c>
      <c r="L198" s="325">
        <v>-0.8</v>
      </c>
      <c r="M198" s="356"/>
      <c r="N198" s="351">
        <f t="shared" si="52"/>
        <v>1.1000000000000001</v>
      </c>
      <c r="P198" s="665">
        <v>7</v>
      </c>
      <c r="Q198" s="325">
        <v>1020</v>
      </c>
      <c r="R198" s="326">
        <v>0</v>
      </c>
      <c r="S198" s="326">
        <v>9.9999999999999995E-7</v>
      </c>
      <c r="T198" s="356"/>
      <c r="U198" s="351">
        <f t="shared" si="53"/>
        <v>4.9999999999999998E-7</v>
      </c>
    </row>
    <row r="199" spans="1:24" ht="13" thickBot="1">
      <c r="A199" s="662"/>
      <c r="C199" s="363"/>
      <c r="D199" s="343"/>
      <c r="E199" s="364"/>
      <c r="F199" s="363"/>
      <c r="I199" s="363"/>
      <c r="J199" s="343"/>
      <c r="K199" s="364"/>
      <c r="L199" s="363"/>
      <c r="O199" s="343"/>
      <c r="P199" s="364"/>
      <c r="Q199" s="364"/>
      <c r="R199" s="363"/>
    </row>
    <row r="200" spans="1:24">
      <c r="A200" s="1232">
        <v>19</v>
      </c>
      <c r="B200" s="1233" t="s">
        <v>479</v>
      </c>
      <c r="C200" s="1233"/>
      <c r="D200" s="1233"/>
      <c r="E200" s="1233"/>
      <c r="F200" s="1233"/>
      <c r="G200" s="1233"/>
      <c r="I200" s="1233" t="str">
        <f>B200</f>
        <v>KOREKSI EXTECH A.100615</v>
      </c>
      <c r="J200" s="1233"/>
      <c r="K200" s="1233"/>
      <c r="L200" s="1233"/>
      <c r="M200" s="1233"/>
      <c r="N200" s="1233"/>
      <c r="P200" s="1233" t="str">
        <f>I200</f>
        <v>KOREKSI EXTECH A.100615</v>
      </c>
      <c r="Q200" s="1233"/>
      <c r="R200" s="1233"/>
      <c r="S200" s="1233"/>
      <c r="T200" s="1233"/>
      <c r="U200" s="1233"/>
      <c r="W200" s="1227" t="s">
        <v>371</v>
      </c>
      <c r="X200" s="1228"/>
    </row>
    <row r="201" spans="1:24" ht="13">
      <c r="A201" s="1232"/>
      <c r="B201" s="1229" t="s">
        <v>456</v>
      </c>
      <c r="C201" s="1229"/>
      <c r="D201" s="1229" t="s">
        <v>457</v>
      </c>
      <c r="E201" s="1229"/>
      <c r="F201" s="1229"/>
      <c r="G201" s="1229" t="s">
        <v>357</v>
      </c>
      <c r="I201" s="1229" t="s">
        <v>458</v>
      </c>
      <c r="J201" s="1229"/>
      <c r="K201" s="1229" t="s">
        <v>457</v>
      </c>
      <c r="L201" s="1229"/>
      <c r="M201" s="1229"/>
      <c r="N201" s="1229" t="s">
        <v>357</v>
      </c>
      <c r="P201" s="1229" t="s">
        <v>459</v>
      </c>
      <c r="Q201" s="1229"/>
      <c r="R201" s="1229" t="s">
        <v>457</v>
      </c>
      <c r="S201" s="1229"/>
      <c r="T201" s="1229"/>
      <c r="U201" s="1229" t="s">
        <v>357</v>
      </c>
      <c r="W201" s="347" t="s">
        <v>456</v>
      </c>
      <c r="X201" s="348">
        <v>0.5</v>
      </c>
    </row>
    <row r="202" spans="1:24" ht="14.5">
      <c r="A202" s="1232"/>
      <c r="B202" s="1230" t="s">
        <v>460</v>
      </c>
      <c r="C202" s="1230"/>
      <c r="D202" s="349">
        <v>2023</v>
      </c>
      <c r="E202" s="349">
        <v>2021</v>
      </c>
      <c r="F202" s="349">
        <v>2016</v>
      </c>
      <c r="G202" s="1229"/>
      <c r="I202" s="1231" t="s">
        <v>15</v>
      </c>
      <c r="J202" s="1230"/>
      <c r="K202" s="361">
        <f>D202</f>
        <v>2023</v>
      </c>
      <c r="L202" s="361">
        <f>E202</f>
        <v>2021</v>
      </c>
      <c r="M202" s="349">
        <v>2016</v>
      </c>
      <c r="N202" s="1229"/>
      <c r="P202" s="1231" t="s">
        <v>461</v>
      </c>
      <c r="Q202" s="1230"/>
      <c r="R202" s="361">
        <f>K202</f>
        <v>2023</v>
      </c>
      <c r="S202" s="361">
        <f>L202</f>
        <v>2021</v>
      </c>
      <c r="T202" s="349">
        <v>2016</v>
      </c>
      <c r="U202" s="1229"/>
      <c r="W202" s="347" t="s">
        <v>15</v>
      </c>
      <c r="X202" s="348">
        <v>2.2999999999999998</v>
      </c>
    </row>
    <row r="203" spans="1:24" ht="13.5" thickBot="1">
      <c r="A203" s="1232"/>
      <c r="B203" s="665">
        <v>1</v>
      </c>
      <c r="C203" s="322">
        <v>15</v>
      </c>
      <c r="D203" s="322">
        <v>0.2</v>
      </c>
      <c r="E203" s="322">
        <v>9.9999999999999995E-7</v>
      </c>
      <c r="F203" s="356"/>
      <c r="G203" s="351">
        <f>0.5*(MAX(D203:F203)-MIN(D203:F203))</f>
        <v>9.9999500000000005E-2</v>
      </c>
      <c r="I203" s="665">
        <v>1</v>
      </c>
      <c r="J203" s="322">
        <v>35</v>
      </c>
      <c r="K203" s="322">
        <v>-2.2000000000000002</v>
      </c>
      <c r="L203" s="322">
        <v>-1.5</v>
      </c>
      <c r="M203" s="356"/>
      <c r="N203" s="351">
        <f>0.5*(MAX(K203:M203)-MIN(K203:M203))</f>
        <v>0.35000000000000009</v>
      </c>
      <c r="P203" s="665">
        <v>1</v>
      </c>
      <c r="Q203" s="322">
        <v>750</v>
      </c>
      <c r="R203" s="352">
        <v>4.5</v>
      </c>
      <c r="S203" s="352">
        <v>2.5</v>
      </c>
      <c r="T203" s="356"/>
      <c r="U203" s="351">
        <f>0.5*(MAX(R203:T203)-MIN(R203:T203))</f>
        <v>1</v>
      </c>
      <c r="W203" s="353" t="s">
        <v>461</v>
      </c>
      <c r="X203" s="320">
        <v>2.1</v>
      </c>
    </row>
    <row r="204" spans="1:24" ht="13">
      <c r="A204" s="1232"/>
      <c r="B204" s="665">
        <v>2</v>
      </c>
      <c r="C204" s="322">
        <v>20</v>
      </c>
      <c r="D204" s="322">
        <v>0.3</v>
      </c>
      <c r="E204" s="322">
        <v>0.1</v>
      </c>
      <c r="F204" s="356"/>
      <c r="G204" s="351">
        <f t="shared" ref="G204:G209" si="54">0.5*(MAX(D204:F204)-MIN(D204:F204))</f>
        <v>9.9999999999999992E-2</v>
      </c>
      <c r="I204" s="665">
        <v>2</v>
      </c>
      <c r="J204" s="322">
        <v>40</v>
      </c>
      <c r="K204" s="322">
        <v>-2.4</v>
      </c>
      <c r="L204" s="322">
        <v>-0.8</v>
      </c>
      <c r="M204" s="356"/>
      <c r="N204" s="351">
        <f t="shared" ref="N204:N209" si="55">0.5*(MAX(K204:M204)-MIN(K204:M204))</f>
        <v>0.79999999999999993</v>
      </c>
      <c r="P204" s="665">
        <v>2</v>
      </c>
      <c r="Q204" s="322">
        <v>800</v>
      </c>
      <c r="R204" s="352">
        <v>4.5</v>
      </c>
      <c r="S204" s="352">
        <v>2.5</v>
      </c>
      <c r="T204" s="356"/>
      <c r="U204" s="351">
        <f t="shared" ref="U204:U209" si="56">0.5*(MAX(R204:T204)-MIN(R204:T204))</f>
        <v>1</v>
      </c>
    </row>
    <row r="205" spans="1:24" ht="13">
      <c r="A205" s="1232"/>
      <c r="B205" s="665">
        <v>3</v>
      </c>
      <c r="C205" s="322">
        <v>25</v>
      </c>
      <c r="D205" s="322">
        <v>0.4</v>
      </c>
      <c r="E205" s="322">
        <v>9.9999999999999995E-7</v>
      </c>
      <c r="F205" s="356"/>
      <c r="G205" s="351">
        <f t="shared" si="54"/>
        <v>0.19999950000000002</v>
      </c>
      <c r="I205" s="665">
        <v>3</v>
      </c>
      <c r="J205" s="322">
        <v>50</v>
      </c>
      <c r="K205" s="322">
        <v>-2.7</v>
      </c>
      <c r="L205" s="322">
        <v>-0.2</v>
      </c>
      <c r="M205" s="356"/>
      <c r="N205" s="351">
        <f t="shared" si="55"/>
        <v>1.25</v>
      </c>
      <c r="P205" s="665">
        <v>3</v>
      </c>
      <c r="Q205" s="322">
        <v>850</v>
      </c>
      <c r="R205" s="352">
        <v>4.4000000000000004</v>
      </c>
      <c r="S205" s="352">
        <v>2.4</v>
      </c>
      <c r="T205" s="356"/>
      <c r="U205" s="351">
        <f t="shared" si="56"/>
        <v>1.0000000000000002</v>
      </c>
    </row>
    <row r="206" spans="1:24" ht="13">
      <c r="A206" s="1232"/>
      <c r="B206" s="665">
        <v>4</v>
      </c>
      <c r="C206" s="325">
        <v>30</v>
      </c>
      <c r="D206" s="325">
        <v>0.5</v>
      </c>
      <c r="E206" s="325">
        <v>-0.1</v>
      </c>
      <c r="F206" s="356"/>
      <c r="G206" s="351">
        <f t="shared" si="54"/>
        <v>0.3</v>
      </c>
      <c r="I206" s="665">
        <v>4</v>
      </c>
      <c r="J206" s="325">
        <v>60</v>
      </c>
      <c r="K206" s="325">
        <v>-2.7</v>
      </c>
      <c r="L206" s="325">
        <v>0.4</v>
      </c>
      <c r="M206" s="356"/>
      <c r="N206" s="351">
        <f t="shared" si="55"/>
        <v>1.55</v>
      </c>
      <c r="P206" s="665">
        <v>4</v>
      </c>
      <c r="Q206" s="325">
        <v>900</v>
      </c>
      <c r="R206" s="326">
        <v>4.4000000000000004</v>
      </c>
      <c r="S206" s="326">
        <v>2.2999999999999998</v>
      </c>
      <c r="T206" s="356"/>
      <c r="U206" s="351">
        <f t="shared" si="56"/>
        <v>1.0500000000000003</v>
      </c>
    </row>
    <row r="207" spans="1:24" ht="13">
      <c r="A207" s="1232"/>
      <c r="B207" s="665">
        <v>5</v>
      </c>
      <c r="C207" s="325">
        <v>35</v>
      </c>
      <c r="D207" s="325">
        <v>0.5</v>
      </c>
      <c r="E207" s="325">
        <v>-0.1</v>
      </c>
      <c r="F207" s="356"/>
      <c r="G207" s="351">
        <f t="shared" si="54"/>
        <v>0.3</v>
      </c>
      <c r="I207" s="665">
        <v>5</v>
      </c>
      <c r="J207" s="325">
        <v>70</v>
      </c>
      <c r="K207" s="325">
        <v>-2.6</v>
      </c>
      <c r="L207" s="325">
        <v>-0.7</v>
      </c>
      <c r="M207" s="356"/>
      <c r="N207" s="351">
        <f t="shared" si="55"/>
        <v>0.95000000000000007</v>
      </c>
      <c r="P207" s="665">
        <v>5</v>
      </c>
      <c r="Q207" s="325">
        <v>950</v>
      </c>
      <c r="R207" s="326">
        <v>4.4000000000000004</v>
      </c>
      <c r="S207" s="326">
        <v>2.4</v>
      </c>
      <c r="T207" s="356"/>
      <c r="U207" s="351">
        <f t="shared" si="56"/>
        <v>1.0000000000000002</v>
      </c>
    </row>
    <row r="208" spans="1:24" ht="13">
      <c r="A208" s="1232"/>
      <c r="B208" s="665">
        <v>6</v>
      </c>
      <c r="C208" s="325">
        <v>37</v>
      </c>
      <c r="D208" s="325">
        <v>0.5</v>
      </c>
      <c r="E208" s="325">
        <v>9.9999999999999995E-7</v>
      </c>
      <c r="F208" s="356"/>
      <c r="G208" s="351">
        <f t="shared" si="54"/>
        <v>0.24999950000000001</v>
      </c>
      <c r="I208" s="665">
        <v>6</v>
      </c>
      <c r="J208" s="325">
        <v>80</v>
      </c>
      <c r="K208" s="325">
        <v>-2.2000000000000002</v>
      </c>
      <c r="L208" s="325">
        <v>-0.9</v>
      </c>
      <c r="M208" s="356"/>
      <c r="N208" s="351">
        <f t="shared" si="55"/>
        <v>0.65000000000000013</v>
      </c>
      <c r="P208" s="665">
        <v>6</v>
      </c>
      <c r="Q208" s="325">
        <v>1000</v>
      </c>
      <c r="R208" s="326">
        <v>4.3</v>
      </c>
      <c r="S208" s="326">
        <v>2.2000000000000002</v>
      </c>
      <c r="T208" s="356"/>
      <c r="U208" s="351">
        <f t="shared" si="56"/>
        <v>1.0499999999999998</v>
      </c>
    </row>
    <row r="209" spans="1:31" ht="13">
      <c r="A209" s="1232"/>
      <c r="B209" s="665">
        <v>7</v>
      </c>
      <c r="C209" s="362">
        <v>40</v>
      </c>
      <c r="D209" s="325">
        <v>0.6</v>
      </c>
      <c r="E209" s="325">
        <v>0.2</v>
      </c>
      <c r="F209" s="356"/>
      <c r="G209" s="351">
        <f t="shared" si="54"/>
        <v>0.19999999999999998</v>
      </c>
      <c r="I209" s="665">
        <v>7</v>
      </c>
      <c r="J209" s="362">
        <v>90</v>
      </c>
      <c r="K209" s="325">
        <v>-1.7</v>
      </c>
      <c r="L209" s="325">
        <v>-0.6</v>
      </c>
      <c r="M209" s="356"/>
      <c r="N209" s="351">
        <f t="shared" si="55"/>
        <v>0.55000000000000004</v>
      </c>
      <c r="P209" s="665">
        <v>7</v>
      </c>
      <c r="Q209" s="325">
        <v>1050</v>
      </c>
      <c r="R209" s="326">
        <v>0</v>
      </c>
      <c r="S209" s="326">
        <v>2.2999999999999998</v>
      </c>
      <c r="T209" s="356"/>
      <c r="U209" s="351">
        <f t="shared" si="56"/>
        <v>1.1499999999999999</v>
      </c>
    </row>
    <row r="210" spans="1:31" ht="13" thickBot="1">
      <c r="A210" s="662"/>
      <c r="C210" s="363"/>
      <c r="D210" s="343"/>
      <c r="E210" s="364"/>
      <c r="F210" s="363"/>
      <c r="J210" s="363"/>
      <c r="K210" s="343"/>
      <c r="L210" s="364"/>
      <c r="M210" s="363"/>
      <c r="Q210" s="343"/>
      <c r="R210" s="364"/>
      <c r="S210" s="364"/>
      <c r="T210" s="363"/>
    </row>
    <row r="211" spans="1:31">
      <c r="A211" s="1242">
        <v>20</v>
      </c>
      <c r="B211" s="1246">
        <v>20</v>
      </c>
      <c r="C211" s="1246"/>
      <c r="D211" s="1246"/>
      <c r="E211" s="1246"/>
      <c r="F211" s="1246"/>
      <c r="G211" s="1246"/>
      <c r="H211" s="365"/>
      <c r="I211" s="1246">
        <f>B211</f>
        <v>20</v>
      </c>
      <c r="J211" s="1246"/>
      <c r="K211" s="1246"/>
      <c r="L211" s="1246"/>
      <c r="M211" s="1246"/>
      <c r="N211" s="1246"/>
      <c r="O211" s="365"/>
      <c r="P211" s="1246">
        <f>I211</f>
        <v>20</v>
      </c>
      <c r="Q211" s="1246"/>
      <c r="R211" s="1246"/>
      <c r="S211" s="1246"/>
      <c r="T211" s="1246"/>
      <c r="U211" s="1246"/>
      <c r="W211" s="1227" t="s">
        <v>371</v>
      </c>
      <c r="X211" s="1228"/>
    </row>
    <row r="212" spans="1:31" ht="13">
      <c r="A212" s="1242"/>
      <c r="B212" s="1229" t="s">
        <v>456</v>
      </c>
      <c r="C212" s="1229"/>
      <c r="D212" s="1229" t="s">
        <v>457</v>
      </c>
      <c r="E212" s="1229"/>
      <c r="F212" s="1229"/>
      <c r="G212" s="1229" t="s">
        <v>357</v>
      </c>
      <c r="I212" s="1229" t="s">
        <v>458</v>
      </c>
      <c r="J212" s="1229"/>
      <c r="K212" s="1229" t="s">
        <v>457</v>
      </c>
      <c r="L212" s="1229"/>
      <c r="M212" s="1229"/>
      <c r="N212" s="1229" t="s">
        <v>357</v>
      </c>
      <c r="P212" s="1229" t="s">
        <v>459</v>
      </c>
      <c r="Q212" s="1229"/>
      <c r="R212" s="1229" t="s">
        <v>457</v>
      </c>
      <c r="S212" s="1229"/>
      <c r="T212" s="1229"/>
      <c r="U212" s="1229" t="s">
        <v>357</v>
      </c>
      <c r="W212" s="347" t="s">
        <v>456</v>
      </c>
      <c r="X212" s="348">
        <v>0</v>
      </c>
    </row>
    <row r="213" spans="1:31" ht="14.5">
      <c r="A213" s="1242"/>
      <c r="B213" s="1230" t="s">
        <v>460</v>
      </c>
      <c r="C213" s="1230"/>
      <c r="D213" s="349">
        <v>2017</v>
      </c>
      <c r="E213" s="360" t="s">
        <v>101</v>
      </c>
      <c r="F213" s="349">
        <v>2016</v>
      </c>
      <c r="G213" s="1229"/>
      <c r="I213" s="1231" t="s">
        <v>15</v>
      </c>
      <c r="J213" s="1230"/>
      <c r="K213" s="361">
        <f>D213</f>
        <v>2017</v>
      </c>
      <c r="L213" s="361" t="str">
        <f>E213</f>
        <v>-</v>
      </c>
      <c r="M213" s="349">
        <v>2016</v>
      </c>
      <c r="N213" s="1229"/>
      <c r="P213" s="1231" t="s">
        <v>461</v>
      </c>
      <c r="Q213" s="1230"/>
      <c r="R213" s="361">
        <f>K213</f>
        <v>2017</v>
      </c>
      <c r="S213" s="361" t="str">
        <f>L213</f>
        <v>-</v>
      </c>
      <c r="T213" s="349">
        <v>2016</v>
      </c>
      <c r="U213" s="1229"/>
      <c r="W213" s="347" t="s">
        <v>15</v>
      </c>
      <c r="X213" s="348">
        <v>0</v>
      </c>
    </row>
    <row r="214" spans="1:31" ht="13.5" thickBot="1">
      <c r="A214" s="1242"/>
      <c r="B214" s="665">
        <v>1</v>
      </c>
      <c r="C214" s="322">
        <v>14.8</v>
      </c>
      <c r="D214" s="322">
        <v>9.9999999999999995E-7</v>
      </c>
      <c r="E214" s="350" t="s">
        <v>101</v>
      </c>
      <c r="F214" s="322">
        <v>9.9999999999999995E-7</v>
      </c>
      <c r="G214" s="351">
        <f>0.5*(MAX(D214:F214)-MIN(D214:F214))</f>
        <v>0</v>
      </c>
      <c r="I214" s="665">
        <v>1</v>
      </c>
      <c r="J214" s="322">
        <v>45.7</v>
      </c>
      <c r="K214" s="322">
        <v>9.9999999999999995E-7</v>
      </c>
      <c r="L214" s="350" t="s">
        <v>101</v>
      </c>
      <c r="M214" s="356"/>
      <c r="N214" s="351">
        <f>0.5*(MAX(K214:M214)-MIN(K214:M214))</f>
        <v>0</v>
      </c>
      <c r="P214" s="665">
        <v>1</v>
      </c>
      <c r="Q214" s="322">
        <v>750</v>
      </c>
      <c r="R214" s="352">
        <v>9.9999999999999995E-7</v>
      </c>
      <c r="S214" s="350" t="s">
        <v>101</v>
      </c>
      <c r="T214" s="322">
        <v>9.9999999999999995E-7</v>
      </c>
      <c r="U214" s="351">
        <f>0.5*(MAX(R214:T214)-MIN(R214:T214))</f>
        <v>0</v>
      </c>
      <c r="W214" s="353" t="s">
        <v>461</v>
      </c>
      <c r="X214" s="320">
        <v>0</v>
      </c>
    </row>
    <row r="215" spans="1:31" ht="13">
      <c r="A215" s="1242"/>
      <c r="B215" s="665">
        <v>2</v>
      </c>
      <c r="C215" s="322">
        <v>19.7</v>
      </c>
      <c r="D215" s="322">
        <v>9.9999999999999995E-7</v>
      </c>
      <c r="E215" s="350" t="s">
        <v>101</v>
      </c>
      <c r="F215" s="322">
        <v>9.9999999999999995E-7</v>
      </c>
      <c r="G215" s="351">
        <f t="shared" ref="G215:G220" si="57">0.5*(MAX(D215:F215)-MIN(D215:F215))</f>
        <v>0</v>
      </c>
      <c r="I215" s="665">
        <v>2</v>
      </c>
      <c r="J215" s="322">
        <v>54.3</v>
      </c>
      <c r="K215" s="322">
        <v>9.9999999999999995E-7</v>
      </c>
      <c r="L215" s="350" t="s">
        <v>101</v>
      </c>
      <c r="M215" s="356"/>
      <c r="N215" s="351">
        <f t="shared" ref="N215:N220" si="58">0.5*(MAX(K215:M215)-MIN(K215:M215))</f>
        <v>0</v>
      </c>
      <c r="P215" s="665">
        <v>2</v>
      </c>
      <c r="Q215" s="322">
        <v>800</v>
      </c>
      <c r="R215" s="352">
        <v>9.9999999999999995E-7</v>
      </c>
      <c r="S215" s="350" t="s">
        <v>101</v>
      </c>
      <c r="T215" s="322">
        <v>9.9999999999999995E-7</v>
      </c>
      <c r="U215" s="351">
        <f t="shared" ref="U215:U220" si="59">0.5*(MAX(R215:T215)-MIN(R215:T215))</f>
        <v>0</v>
      </c>
    </row>
    <row r="216" spans="1:31" ht="13">
      <c r="A216" s="1242"/>
      <c r="B216" s="665">
        <v>3</v>
      </c>
      <c r="C216" s="322">
        <v>24.6</v>
      </c>
      <c r="D216" s="322">
        <v>9.9999999999999995E-7</v>
      </c>
      <c r="E216" s="350" t="s">
        <v>101</v>
      </c>
      <c r="F216" s="322">
        <v>9.9999999999999995E-7</v>
      </c>
      <c r="G216" s="351">
        <f t="shared" si="57"/>
        <v>0</v>
      </c>
      <c r="I216" s="665">
        <v>3</v>
      </c>
      <c r="J216" s="322">
        <v>62.5</v>
      </c>
      <c r="K216" s="322">
        <v>9.9999999999999995E-7</v>
      </c>
      <c r="L216" s="350" t="s">
        <v>101</v>
      </c>
      <c r="M216" s="356"/>
      <c r="N216" s="351">
        <f t="shared" si="58"/>
        <v>0</v>
      </c>
      <c r="P216" s="665">
        <v>3</v>
      </c>
      <c r="Q216" s="322">
        <v>850</v>
      </c>
      <c r="R216" s="352">
        <v>9.9999999999999995E-7</v>
      </c>
      <c r="S216" s="350" t="s">
        <v>101</v>
      </c>
      <c r="T216" s="322">
        <v>9.9999999999999995E-7</v>
      </c>
      <c r="U216" s="351">
        <f t="shared" si="59"/>
        <v>0</v>
      </c>
    </row>
    <row r="217" spans="1:31" ht="13">
      <c r="A217" s="1242"/>
      <c r="B217" s="665">
        <v>4</v>
      </c>
      <c r="C217" s="325">
        <v>29.5</v>
      </c>
      <c r="D217" s="322">
        <v>9.9999999999999995E-7</v>
      </c>
      <c r="E217" s="326" t="s">
        <v>101</v>
      </c>
      <c r="F217" s="322">
        <v>9.9999999999999995E-7</v>
      </c>
      <c r="G217" s="351">
        <f t="shared" si="57"/>
        <v>0</v>
      </c>
      <c r="I217" s="665">
        <v>4</v>
      </c>
      <c r="J217" s="325">
        <v>71.5</v>
      </c>
      <c r="K217" s="322">
        <v>9.9999999999999995E-7</v>
      </c>
      <c r="L217" s="326" t="s">
        <v>101</v>
      </c>
      <c r="M217" s="356"/>
      <c r="N217" s="351">
        <f t="shared" si="58"/>
        <v>0</v>
      </c>
      <c r="P217" s="665">
        <v>4</v>
      </c>
      <c r="Q217" s="325">
        <v>900</v>
      </c>
      <c r="R217" s="352">
        <v>9.9999999999999995E-7</v>
      </c>
      <c r="S217" s="326" t="s">
        <v>101</v>
      </c>
      <c r="T217" s="322">
        <v>9.9999999999999995E-7</v>
      </c>
      <c r="U217" s="351">
        <f t="shared" si="59"/>
        <v>0</v>
      </c>
    </row>
    <row r="218" spans="1:31" ht="13">
      <c r="A218" s="1242"/>
      <c r="B218" s="665">
        <v>5</v>
      </c>
      <c r="C218" s="325">
        <v>34.5</v>
      </c>
      <c r="D218" s="322">
        <v>9.9999999999999995E-7</v>
      </c>
      <c r="E218" s="326" t="s">
        <v>101</v>
      </c>
      <c r="F218" s="322">
        <v>9.9999999999999995E-7</v>
      </c>
      <c r="G218" s="351">
        <f t="shared" si="57"/>
        <v>0</v>
      </c>
      <c r="I218" s="665">
        <v>5</v>
      </c>
      <c r="J218" s="325">
        <v>80.8</v>
      </c>
      <c r="K218" s="322">
        <v>9.9999999999999995E-7</v>
      </c>
      <c r="L218" s="326" t="s">
        <v>101</v>
      </c>
      <c r="M218" s="356"/>
      <c r="N218" s="351">
        <f t="shared" si="58"/>
        <v>0</v>
      </c>
      <c r="P218" s="665">
        <v>5</v>
      </c>
      <c r="Q218" s="325">
        <v>1000</v>
      </c>
      <c r="R218" s="352">
        <v>9.9999999999999995E-7</v>
      </c>
      <c r="S218" s="326" t="s">
        <v>101</v>
      </c>
      <c r="T218" s="322">
        <v>9.9999999999999995E-7</v>
      </c>
      <c r="U218" s="351">
        <f t="shared" si="59"/>
        <v>0</v>
      </c>
    </row>
    <row r="219" spans="1:31" ht="13">
      <c r="A219" s="1242"/>
      <c r="B219" s="665">
        <v>6</v>
      </c>
      <c r="C219" s="325">
        <v>39.5</v>
      </c>
      <c r="D219" s="322">
        <v>9.9999999999999995E-7</v>
      </c>
      <c r="E219" s="326" t="s">
        <v>101</v>
      </c>
      <c r="F219" s="322">
        <v>9.9999999999999995E-7</v>
      </c>
      <c r="G219" s="351">
        <f t="shared" si="57"/>
        <v>0</v>
      </c>
      <c r="I219" s="665">
        <v>6</v>
      </c>
      <c r="J219" s="325">
        <v>88.7</v>
      </c>
      <c r="K219" s="322">
        <v>9.9999999999999995E-7</v>
      </c>
      <c r="L219" s="326" t="s">
        <v>101</v>
      </c>
      <c r="M219" s="356"/>
      <c r="N219" s="351">
        <f t="shared" si="58"/>
        <v>0</v>
      </c>
      <c r="P219" s="665">
        <v>6</v>
      </c>
      <c r="Q219" s="325">
        <v>1005</v>
      </c>
      <c r="R219" s="352">
        <v>9.9999999999999995E-7</v>
      </c>
      <c r="S219" s="326" t="s">
        <v>101</v>
      </c>
      <c r="T219" s="322">
        <v>9.9999999999999995E-7</v>
      </c>
      <c r="U219" s="351">
        <f t="shared" si="59"/>
        <v>0</v>
      </c>
    </row>
    <row r="220" spans="1:31" ht="13">
      <c r="A220" s="1242"/>
      <c r="B220" s="665">
        <v>7</v>
      </c>
      <c r="C220" s="362">
        <v>40</v>
      </c>
      <c r="D220" s="322">
        <v>9.9999999999999995E-7</v>
      </c>
      <c r="E220" s="326" t="s">
        <v>101</v>
      </c>
      <c r="F220" s="322">
        <v>9.9999999999999995E-7</v>
      </c>
      <c r="G220" s="351">
        <f t="shared" si="57"/>
        <v>0</v>
      </c>
      <c r="I220" s="665">
        <v>7</v>
      </c>
      <c r="J220" s="362">
        <v>90</v>
      </c>
      <c r="K220" s="322">
        <v>9.9999999999999995E-7</v>
      </c>
      <c r="L220" s="326" t="s">
        <v>101</v>
      </c>
      <c r="M220" s="356"/>
      <c r="N220" s="351">
        <f t="shared" si="58"/>
        <v>0</v>
      </c>
      <c r="P220" s="665">
        <v>7</v>
      </c>
      <c r="Q220" s="325">
        <v>1020</v>
      </c>
      <c r="R220" s="352">
        <v>9.9999999999999995E-7</v>
      </c>
      <c r="S220" s="326" t="s">
        <v>101</v>
      </c>
      <c r="T220" s="322">
        <v>9.9999999999999995E-7</v>
      </c>
      <c r="U220" s="351">
        <f t="shared" si="59"/>
        <v>0</v>
      </c>
    </row>
    <row r="221" spans="1:31" ht="13.5" thickBot="1">
      <c r="A221" s="329"/>
      <c r="B221" s="1262"/>
      <c r="C221" s="1262"/>
      <c r="D221" s="1262"/>
      <c r="E221" s="1262"/>
      <c r="F221" s="1262"/>
      <c r="G221" s="1262"/>
      <c r="H221" s="1262"/>
      <c r="I221" s="1262"/>
      <c r="J221" s="1262"/>
      <c r="K221" s="1262"/>
      <c r="L221" s="1262"/>
      <c r="M221" s="1262"/>
      <c r="N221" s="1262"/>
      <c r="O221" s="1262"/>
      <c r="P221" s="1262"/>
      <c r="Q221" s="1262"/>
      <c r="R221" s="1262"/>
      <c r="S221" s="1262"/>
      <c r="T221" s="1262"/>
      <c r="U221" s="1262"/>
    </row>
    <row r="222" spans="1:31" ht="13" hidden="1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27"/>
      <c r="P222" s="327"/>
    </row>
    <row r="223" spans="1:31" ht="12.75" hidden="1" customHeight="1">
      <c r="A223" s="1247" t="s">
        <v>23</v>
      </c>
      <c r="B223" s="1248" t="s">
        <v>480</v>
      </c>
      <c r="C223" s="1233" t="s">
        <v>481</v>
      </c>
      <c r="D223" s="1233"/>
      <c r="E223" s="1233"/>
      <c r="F223" s="1233"/>
      <c r="G223" s="518"/>
      <c r="I223" s="1247" t="s">
        <v>23</v>
      </c>
      <c r="J223" s="1248" t="s">
        <v>480</v>
      </c>
      <c r="K223" s="1233" t="s">
        <v>481</v>
      </c>
      <c r="L223" s="1233"/>
      <c r="M223" s="1233"/>
      <c r="N223" s="1233"/>
      <c r="O223" s="321"/>
      <c r="Q223" s="1249" t="s">
        <v>23</v>
      </c>
      <c r="R223" s="1250" t="s">
        <v>480</v>
      </c>
      <c r="S223" s="1251" t="s">
        <v>481</v>
      </c>
      <c r="T223" s="1251"/>
      <c r="U223" s="1251"/>
      <c r="V223" s="1252"/>
      <c r="Y223" s="1253" t="s">
        <v>371</v>
      </c>
      <c r="Z223" s="1254"/>
      <c r="AE223" s="519"/>
    </row>
    <row r="224" spans="1:31" ht="13.5" hidden="1">
      <c r="A224" s="1247"/>
      <c r="B224" s="1248"/>
      <c r="C224" s="505" t="s">
        <v>456</v>
      </c>
      <c r="D224" s="1255" t="s">
        <v>457</v>
      </c>
      <c r="E224" s="1255"/>
      <c r="F224" s="1255"/>
      <c r="G224" s="1255" t="s">
        <v>357</v>
      </c>
      <c r="I224" s="1247"/>
      <c r="J224" s="1248"/>
      <c r="K224" s="505" t="s">
        <v>458</v>
      </c>
      <c r="L224" s="1255" t="s">
        <v>457</v>
      </c>
      <c r="M224" s="1255"/>
      <c r="N224" s="1255"/>
      <c r="O224" s="1255" t="s">
        <v>357</v>
      </c>
      <c r="Q224" s="1247"/>
      <c r="R224" s="1248"/>
      <c r="S224" s="505" t="s">
        <v>459</v>
      </c>
      <c r="T224" s="1256" t="s">
        <v>457</v>
      </c>
      <c r="U224" s="1257"/>
      <c r="V224" s="1258"/>
      <c r="W224" s="1259" t="s">
        <v>357</v>
      </c>
      <c r="Y224" s="1260" t="s">
        <v>456</v>
      </c>
      <c r="Z224" s="1261"/>
      <c r="AE224" s="327"/>
    </row>
    <row r="225" spans="1:38" ht="14" hidden="1">
      <c r="A225" s="1247"/>
      <c r="B225" s="1248"/>
      <c r="C225" s="520" t="s">
        <v>482</v>
      </c>
      <c r="D225" s="505"/>
      <c r="E225" s="505"/>
      <c r="F225" s="321"/>
      <c r="G225" s="1255"/>
      <c r="I225" s="1247"/>
      <c r="J225" s="1248"/>
      <c r="K225" s="520" t="s">
        <v>15</v>
      </c>
      <c r="L225" s="505"/>
      <c r="M225" s="505"/>
      <c r="N225" s="321"/>
      <c r="O225" s="1255"/>
      <c r="Q225" s="1247"/>
      <c r="R225" s="1248"/>
      <c r="S225" s="520" t="s">
        <v>461</v>
      </c>
      <c r="T225" s="505"/>
      <c r="U225" s="505"/>
      <c r="W225" s="1259"/>
      <c r="Y225" s="506">
        <v>1</v>
      </c>
      <c r="Z225" s="507">
        <f>X3</f>
        <v>0.5</v>
      </c>
      <c r="AE225" s="327"/>
    </row>
    <row r="226" spans="1:38" ht="13" hidden="1">
      <c r="A226" s="1263">
        <v>1</v>
      </c>
      <c r="B226" s="508">
        <v>1</v>
      </c>
      <c r="C226" s="508">
        <f>C5</f>
        <v>15</v>
      </c>
      <c r="D226" s="508">
        <f t="shared" ref="D226:F226" si="60">D5</f>
        <v>0.3</v>
      </c>
      <c r="E226" s="508">
        <f t="shared" si="60"/>
        <v>0.1</v>
      </c>
      <c r="F226" s="508">
        <f t="shared" si="60"/>
        <v>-0.5</v>
      </c>
      <c r="G226" s="508">
        <f>G5</f>
        <v>0.4</v>
      </c>
      <c r="I226" s="1263">
        <v>1</v>
      </c>
      <c r="J226" s="508">
        <v>1</v>
      </c>
      <c r="K226" s="508">
        <f>J5</f>
        <v>30</v>
      </c>
      <c r="L226" s="508">
        <f>K5</f>
        <v>0</v>
      </c>
      <c r="M226" s="508">
        <f>L5</f>
        <v>-14.4</v>
      </c>
      <c r="N226" s="508">
        <f>M5</f>
        <v>-6</v>
      </c>
      <c r="O226" s="508">
        <f>N5</f>
        <v>4.2</v>
      </c>
      <c r="Q226" s="1266">
        <v>1</v>
      </c>
      <c r="R226" s="508">
        <v>1</v>
      </c>
      <c r="S226" s="508">
        <f>Q5</f>
        <v>750</v>
      </c>
      <c r="T226" s="508" t="str">
        <f>R5</f>
        <v>-</v>
      </c>
      <c r="U226" s="508" t="str">
        <f>S5</f>
        <v>-</v>
      </c>
      <c r="V226" s="508">
        <f>T5</f>
        <v>9.9999999999999995E-7</v>
      </c>
      <c r="W226" s="366">
        <f>U5</f>
        <v>0</v>
      </c>
      <c r="Y226" s="367">
        <v>2</v>
      </c>
      <c r="Z226" s="507">
        <f>X14</f>
        <v>0.5</v>
      </c>
      <c r="AE226" s="327"/>
    </row>
    <row r="227" spans="1:38" ht="13" hidden="1">
      <c r="A227" s="1263"/>
      <c r="B227" s="508">
        <v>2</v>
      </c>
      <c r="C227" s="508">
        <f>C16</f>
        <v>15</v>
      </c>
      <c r="D227" s="508">
        <f t="shared" ref="D227:F227" si="61">D16</f>
        <v>0.2</v>
      </c>
      <c r="E227" s="508">
        <f t="shared" si="61"/>
        <v>0.4</v>
      </c>
      <c r="F227" s="508">
        <f t="shared" si="61"/>
        <v>9.9999999999999995E-7</v>
      </c>
      <c r="G227" s="508">
        <f>G16</f>
        <v>0.19999950000000002</v>
      </c>
      <c r="I227" s="1263"/>
      <c r="J227" s="508">
        <v>2</v>
      </c>
      <c r="K227" s="508">
        <f>J16</f>
        <v>35</v>
      </c>
      <c r="L227" s="508">
        <f>K16</f>
        <v>-12.6</v>
      </c>
      <c r="M227" s="508">
        <f>L16</f>
        <v>-6.9</v>
      </c>
      <c r="N227" s="508">
        <f>M16</f>
        <v>-1.6</v>
      </c>
      <c r="O227" s="508">
        <f>N16</f>
        <v>5.5</v>
      </c>
      <c r="Q227" s="1267"/>
      <c r="R227" s="508">
        <v>2</v>
      </c>
      <c r="S227" s="508">
        <f>Q16</f>
        <v>750</v>
      </c>
      <c r="T227" s="508" t="str">
        <f>R16</f>
        <v>-</v>
      </c>
      <c r="U227" s="508" t="str">
        <f>S16</f>
        <v>-</v>
      </c>
      <c r="V227" s="508" t="str">
        <f>T16</f>
        <v>-</v>
      </c>
      <c r="W227" s="366">
        <f>U16</f>
        <v>0</v>
      </c>
      <c r="Y227" s="367">
        <v>3</v>
      </c>
      <c r="Z227" s="368">
        <f>X25</f>
        <v>0.5</v>
      </c>
      <c r="AE227" s="327"/>
    </row>
    <row r="228" spans="1:38" ht="13" hidden="1">
      <c r="A228" s="1263"/>
      <c r="B228" s="508">
        <v>3</v>
      </c>
      <c r="C228" s="508">
        <f>C27</f>
        <v>15</v>
      </c>
      <c r="D228" s="508">
        <f t="shared" ref="D228:F228" si="62">D27</f>
        <v>0.2</v>
      </c>
      <c r="E228" s="508">
        <f t="shared" si="62"/>
        <v>0.4</v>
      </c>
      <c r="F228" s="508">
        <f t="shared" si="62"/>
        <v>9.9999999999999995E-7</v>
      </c>
      <c r="G228" s="508">
        <f>G27</f>
        <v>0.19999950000000002</v>
      </c>
      <c r="I228" s="1263"/>
      <c r="J228" s="508">
        <v>3</v>
      </c>
      <c r="K228" s="508">
        <f>J27</f>
        <v>35</v>
      </c>
      <c r="L228" s="508">
        <f>K27</f>
        <v>-11.5</v>
      </c>
      <c r="M228" s="508">
        <f>L27</f>
        <v>-7.3</v>
      </c>
      <c r="N228" s="508">
        <f>M27</f>
        <v>-5.7</v>
      </c>
      <c r="O228" s="508">
        <f>N27</f>
        <v>2.9</v>
      </c>
      <c r="Q228" s="1267"/>
      <c r="R228" s="508">
        <v>3</v>
      </c>
      <c r="S228" s="508">
        <f>Q27</f>
        <v>750</v>
      </c>
      <c r="T228" s="508" t="str">
        <f>R27</f>
        <v>-</v>
      </c>
      <c r="U228" s="508" t="str">
        <f>S27</f>
        <v>-</v>
      </c>
      <c r="V228" s="508" t="str">
        <f>T27</f>
        <v>-</v>
      </c>
      <c r="W228" s="366">
        <f>U27</f>
        <v>0</v>
      </c>
      <c r="Y228" s="367">
        <v>4</v>
      </c>
      <c r="Z228" s="368">
        <f>X36</f>
        <v>0.3</v>
      </c>
      <c r="AE228" s="327"/>
    </row>
    <row r="229" spans="1:38" ht="13" hidden="1">
      <c r="A229" s="1263"/>
      <c r="B229" s="508">
        <v>4</v>
      </c>
      <c r="C229" s="369">
        <f>C38</f>
        <v>15</v>
      </c>
      <c r="D229" s="369">
        <f t="shared" ref="D229:F229" si="63">D38</f>
        <v>-0.2</v>
      </c>
      <c r="E229" s="369">
        <f t="shared" si="63"/>
        <v>-0.1</v>
      </c>
      <c r="F229" s="369">
        <f t="shared" si="63"/>
        <v>0</v>
      </c>
      <c r="G229" s="369">
        <f>G38</f>
        <v>0.05</v>
      </c>
      <c r="I229" s="1263"/>
      <c r="J229" s="508">
        <v>4</v>
      </c>
      <c r="K229" s="369">
        <f>J38</f>
        <v>35</v>
      </c>
      <c r="L229" s="369">
        <f>K38</f>
        <v>-4.5</v>
      </c>
      <c r="M229" s="369">
        <f>L38</f>
        <v>-1.7</v>
      </c>
      <c r="N229" s="369">
        <f>M38</f>
        <v>0</v>
      </c>
      <c r="O229" s="369">
        <f>N38</f>
        <v>1.4</v>
      </c>
      <c r="Q229" s="1267"/>
      <c r="R229" s="508">
        <v>4</v>
      </c>
      <c r="S229" s="369">
        <f>Q38</f>
        <v>750</v>
      </c>
      <c r="T229" s="369" t="str">
        <f>R38</f>
        <v>-</v>
      </c>
      <c r="U229" s="369" t="str">
        <f>S38</f>
        <v>-</v>
      </c>
      <c r="V229" s="369">
        <f>T38</f>
        <v>9.9999999999999995E-7</v>
      </c>
      <c r="W229" s="370">
        <f>U38</f>
        <v>0</v>
      </c>
      <c r="Y229" s="367">
        <v>5</v>
      </c>
      <c r="Z229" s="368">
        <f>X47</f>
        <v>0.3</v>
      </c>
      <c r="AE229" s="327"/>
    </row>
    <row r="230" spans="1:38" ht="13" hidden="1">
      <c r="A230" s="1263"/>
      <c r="B230" s="508">
        <v>5</v>
      </c>
      <c r="C230" s="369">
        <f>C49</f>
        <v>15</v>
      </c>
      <c r="D230" s="369">
        <f t="shared" ref="D230:F230" si="64">D49</f>
        <v>0.3</v>
      </c>
      <c r="E230" s="369">
        <f t="shared" si="64"/>
        <v>-0.1</v>
      </c>
      <c r="F230" s="369">
        <f t="shared" si="64"/>
        <v>-0.3</v>
      </c>
      <c r="G230" s="369">
        <f>G49</f>
        <v>0.3</v>
      </c>
      <c r="I230" s="1263"/>
      <c r="J230" s="508">
        <v>5</v>
      </c>
      <c r="K230" s="369">
        <f>J49</f>
        <v>35</v>
      </c>
      <c r="L230" s="369">
        <f>K49</f>
        <v>-10.5</v>
      </c>
      <c r="M230" s="369">
        <f>L49</f>
        <v>-9.6999999999999993</v>
      </c>
      <c r="N230" s="369">
        <f>M49</f>
        <v>-7.7</v>
      </c>
      <c r="O230" s="369">
        <f>N49</f>
        <v>1.4</v>
      </c>
      <c r="Q230" s="1267"/>
      <c r="R230" s="508">
        <v>5</v>
      </c>
      <c r="S230" s="369">
        <f>Q49</f>
        <v>750</v>
      </c>
      <c r="T230" s="369" t="str">
        <f>R49</f>
        <v>-</v>
      </c>
      <c r="U230" s="369" t="str">
        <f>S49</f>
        <v>-</v>
      </c>
      <c r="V230" s="369" t="str">
        <f>T49</f>
        <v>-</v>
      </c>
      <c r="W230" s="370">
        <f>U49</f>
        <v>0</v>
      </c>
      <c r="Y230" s="506">
        <v>6</v>
      </c>
      <c r="Z230" s="507">
        <f>X58</f>
        <v>0.8</v>
      </c>
      <c r="AE230" s="327"/>
    </row>
    <row r="231" spans="1:38" ht="13" hidden="1">
      <c r="A231" s="1263"/>
      <c r="B231" s="508">
        <v>6</v>
      </c>
      <c r="C231" s="369">
        <f>C60</f>
        <v>15</v>
      </c>
      <c r="D231" s="369">
        <f t="shared" ref="D231:F231" si="65">D60</f>
        <v>0.4</v>
      </c>
      <c r="E231" s="369">
        <f t="shared" si="65"/>
        <v>0.4</v>
      </c>
      <c r="F231" s="369">
        <f t="shared" si="65"/>
        <v>0</v>
      </c>
      <c r="G231" s="369">
        <f>G60</f>
        <v>0</v>
      </c>
      <c r="I231" s="1263"/>
      <c r="J231" s="508">
        <v>6</v>
      </c>
      <c r="K231" s="369">
        <f>J60</f>
        <v>30</v>
      </c>
      <c r="L231" s="369">
        <f>K60</f>
        <v>-1.5</v>
      </c>
      <c r="M231" s="369">
        <f>L60</f>
        <v>1.7</v>
      </c>
      <c r="N231" s="369">
        <f>M60</f>
        <v>0</v>
      </c>
      <c r="O231" s="369">
        <f>N60</f>
        <v>1.6</v>
      </c>
      <c r="Q231" s="1267"/>
      <c r="R231" s="508">
        <v>6</v>
      </c>
      <c r="S231" s="369">
        <f>Q60</f>
        <v>750</v>
      </c>
      <c r="T231" s="369">
        <f>R60</f>
        <v>0.9</v>
      </c>
      <c r="U231" s="369">
        <f>S60</f>
        <v>2.1</v>
      </c>
      <c r="V231" s="369">
        <f>T60</f>
        <v>9.9999999999999995E-7</v>
      </c>
      <c r="W231" s="370">
        <f>U60</f>
        <v>1.0499995</v>
      </c>
      <c r="Y231" s="506">
        <v>7</v>
      </c>
      <c r="Z231" s="507">
        <f>X69</f>
        <v>0.2</v>
      </c>
      <c r="AE231" s="327"/>
    </row>
    <row r="232" spans="1:38" ht="13" hidden="1">
      <c r="A232" s="1263"/>
      <c r="B232" s="508">
        <v>7</v>
      </c>
      <c r="C232" s="369">
        <f>C71</f>
        <v>15</v>
      </c>
      <c r="D232" s="369">
        <f t="shared" ref="D232:F232" si="66">D71</f>
        <v>0.1</v>
      </c>
      <c r="E232" s="369">
        <f t="shared" si="66"/>
        <v>0.3</v>
      </c>
      <c r="F232" s="369">
        <f t="shared" si="66"/>
        <v>0</v>
      </c>
      <c r="G232" s="369">
        <f>G71</f>
        <v>9.9999999999999992E-2</v>
      </c>
      <c r="I232" s="1263"/>
      <c r="J232" s="508">
        <v>7</v>
      </c>
      <c r="K232" s="369">
        <f>J71</f>
        <v>30</v>
      </c>
      <c r="L232" s="369">
        <f>K71</f>
        <v>-1.9</v>
      </c>
      <c r="M232" s="369">
        <f>L71</f>
        <v>1.8</v>
      </c>
      <c r="N232" s="369">
        <f>M71</f>
        <v>0</v>
      </c>
      <c r="O232" s="369">
        <f>N71</f>
        <v>1.85</v>
      </c>
      <c r="Q232" s="1267"/>
      <c r="R232" s="508">
        <v>7</v>
      </c>
      <c r="S232" s="369">
        <f>Q71</f>
        <v>750</v>
      </c>
      <c r="T232" s="369">
        <f>R71</f>
        <v>9.9999999999999995E-7</v>
      </c>
      <c r="U232" s="369">
        <f>S71</f>
        <v>3.2</v>
      </c>
      <c r="V232" s="369">
        <f>T71</f>
        <v>9.9999999999999995E-7</v>
      </c>
      <c r="W232" s="370">
        <f>U71</f>
        <v>1.5999995</v>
      </c>
      <c r="Y232" s="506">
        <v>8</v>
      </c>
      <c r="Z232" s="507">
        <f>X80</f>
        <v>0.8</v>
      </c>
      <c r="AE232" s="327"/>
    </row>
    <row r="233" spans="1:38" ht="13" hidden="1">
      <c r="A233" s="1263"/>
      <c r="B233" s="508">
        <v>8</v>
      </c>
      <c r="C233" s="369">
        <f>C82</f>
        <v>15</v>
      </c>
      <c r="D233" s="369">
        <f t="shared" ref="D233:F233" si="67">D82</f>
        <v>0.4</v>
      </c>
      <c r="E233" s="369">
        <f t="shared" si="67"/>
        <v>0.1</v>
      </c>
      <c r="F233" s="369">
        <f t="shared" si="67"/>
        <v>9.9999999999999995E-7</v>
      </c>
      <c r="G233" s="369">
        <f>G82</f>
        <v>0.19999950000000002</v>
      </c>
      <c r="I233" s="1263"/>
      <c r="J233" s="508">
        <v>8</v>
      </c>
      <c r="K233" s="369">
        <f>J82</f>
        <v>30</v>
      </c>
      <c r="L233" s="369">
        <f>K82</f>
        <v>0</v>
      </c>
      <c r="M233" s="369">
        <f>L82</f>
        <v>-4</v>
      </c>
      <c r="N233" s="369">
        <f>M82</f>
        <v>-1.4</v>
      </c>
      <c r="O233" s="369">
        <f>N82</f>
        <v>1.3</v>
      </c>
      <c r="Q233" s="1267"/>
      <c r="R233" s="508">
        <v>8</v>
      </c>
      <c r="S233" s="369">
        <f>Q82</f>
        <v>960</v>
      </c>
      <c r="T233" s="369">
        <f>R82</f>
        <v>-1.5</v>
      </c>
      <c r="U233" s="369">
        <f>S82</f>
        <v>-4</v>
      </c>
      <c r="V233" s="369">
        <f>T82</f>
        <v>9.9999999999999995E-7</v>
      </c>
      <c r="W233" s="370">
        <f>U82</f>
        <v>2.0000005000000001</v>
      </c>
      <c r="Y233" s="506">
        <v>9</v>
      </c>
      <c r="Z233" s="507">
        <f>X91</f>
        <v>0.3</v>
      </c>
      <c r="AE233" s="327"/>
    </row>
    <row r="234" spans="1:38" ht="13" hidden="1">
      <c r="A234" s="1263"/>
      <c r="B234" s="508">
        <v>9</v>
      </c>
      <c r="C234" s="369">
        <f>C93</f>
        <v>15</v>
      </c>
      <c r="D234" s="369">
        <f t="shared" ref="D234:F234" si="68">D93</f>
        <v>9.9999999999999995E-7</v>
      </c>
      <c r="E234" s="369" t="str">
        <f t="shared" si="68"/>
        <v>-</v>
      </c>
      <c r="F234" s="369">
        <f t="shared" si="68"/>
        <v>0</v>
      </c>
      <c r="G234" s="369">
        <f>G93</f>
        <v>0</v>
      </c>
      <c r="I234" s="1263"/>
      <c r="J234" s="508">
        <v>9</v>
      </c>
      <c r="K234" s="369">
        <f>J93</f>
        <v>30</v>
      </c>
      <c r="L234" s="369">
        <f>K93</f>
        <v>-1.2</v>
      </c>
      <c r="M234" s="369" t="str">
        <f>L93</f>
        <v>-</v>
      </c>
      <c r="N234" s="369">
        <f>M93</f>
        <v>0</v>
      </c>
      <c r="O234" s="369">
        <f>N93</f>
        <v>0</v>
      </c>
      <c r="Q234" s="1267"/>
      <c r="R234" s="508">
        <v>9</v>
      </c>
      <c r="S234" s="369">
        <f>Q93</f>
        <v>750</v>
      </c>
      <c r="T234" s="369">
        <f>R93</f>
        <v>9.9999999999999995E-7</v>
      </c>
      <c r="U234" s="369" t="str">
        <f>S93</f>
        <v>-</v>
      </c>
      <c r="V234" s="369">
        <f>T93</f>
        <v>9.9999999999999995E-7</v>
      </c>
      <c r="W234" s="370">
        <f>U93</f>
        <v>0</v>
      </c>
      <c r="Y234" s="506">
        <v>10</v>
      </c>
      <c r="Z234" s="507">
        <f>X102</f>
        <v>0.3</v>
      </c>
      <c r="AE234" s="327"/>
    </row>
    <row r="235" spans="1:38" ht="13" hidden="1">
      <c r="A235" s="1263"/>
      <c r="B235" s="508">
        <v>10</v>
      </c>
      <c r="C235" s="369">
        <f>C104</f>
        <v>15</v>
      </c>
      <c r="D235" s="369">
        <f t="shared" ref="D235:F235" si="69">D104</f>
        <v>0.2</v>
      </c>
      <c r="E235" s="369">
        <f t="shared" si="69"/>
        <v>0.2</v>
      </c>
      <c r="F235" s="369">
        <f t="shared" si="69"/>
        <v>0</v>
      </c>
      <c r="G235" s="369">
        <f>G104</f>
        <v>0</v>
      </c>
      <c r="I235" s="1263"/>
      <c r="J235" s="508">
        <v>10</v>
      </c>
      <c r="K235" s="369">
        <f>J104</f>
        <v>30</v>
      </c>
      <c r="L235" s="369">
        <f>K104</f>
        <v>-2.9</v>
      </c>
      <c r="M235" s="369">
        <f>L104</f>
        <v>-5.8</v>
      </c>
      <c r="N235" s="369">
        <f>M104</f>
        <v>0</v>
      </c>
      <c r="O235" s="369">
        <f>N104</f>
        <v>1.45</v>
      </c>
      <c r="Q235" s="1267"/>
      <c r="R235" s="508">
        <v>10</v>
      </c>
      <c r="S235" s="369">
        <f>Q104</f>
        <v>750</v>
      </c>
      <c r="T235" s="369" t="str">
        <f>R104</f>
        <v>-</v>
      </c>
      <c r="U235" s="369" t="str">
        <f>S104</f>
        <v>-</v>
      </c>
      <c r="V235" s="369">
        <f>T104</f>
        <v>9.9999999999999995E-7</v>
      </c>
      <c r="W235" s="370">
        <f>U104</f>
        <v>0</v>
      </c>
      <c r="Y235" s="506">
        <v>11</v>
      </c>
      <c r="Z235" s="507">
        <f>X113</f>
        <v>0.3</v>
      </c>
      <c r="AE235" s="327"/>
    </row>
    <row r="236" spans="1:38" ht="13" hidden="1">
      <c r="A236" s="1263"/>
      <c r="B236" s="508">
        <v>11</v>
      </c>
      <c r="C236" s="369">
        <f>C115</f>
        <v>15</v>
      </c>
      <c r="D236" s="369">
        <f t="shared" ref="D236:F236" si="70">D115</f>
        <v>0.3</v>
      </c>
      <c r="E236" s="369">
        <f t="shared" si="70"/>
        <v>0.3</v>
      </c>
      <c r="F236" s="369">
        <f t="shared" si="70"/>
        <v>0</v>
      </c>
      <c r="G236" s="369">
        <f>G115</f>
        <v>0</v>
      </c>
      <c r="I236" s="1263"/>
      <c r="J236" s="508">
        <v>11</v>
      </c>
      <c r="K236" s="369">
        <f>J115</f>
        <v>30</v>
      </c>
      <c r="L236" s="369">
        <f>K115</f>
        <v>-5.2</v>
      </c>
      <c r="M236" s="369">
        <f>L115</f>
        <v>-6.4</v>
      </c>
      <c r="N236" s="369">
        <f>M115</f>
        <v>0</v>
      </c>
      <c r="O236" s="369">
        <f>N115</f>
        <v>0.60000000000000009</v>
      </c>
      <c r="Q236" s="1267"/>
      <c r="R236" s="508">
        <v>11</v>
      </c>
      <c r="S236" s="369">
        <f>Q115</f>
        <v>750</v>
      </c>
      <c r="T236" s="369" t="str">
        <f>R115</f>
        <v>-</v>
      </c>
      <c r="U236" s="369" t="str">
        <f>S115</f>
        <v>-</v>
      </c>
      <c r="V236" s="369">
        <f>T115</f>
        <v>9.9999999999999995E-7</v>
      </c>
      <c r="W236" s="370">
        <f>U115</f>
        <v>0</v>
      </c>
      <c r="Y236" s="506">
        <v>12</v>
      </c>
      <c r="Z236" s="507">
        <f>X124</f>
        <v>0.5</v>
      </c>
      <c r="AE236" s="327"/>
    </row>
    <row r="237" spans="1:38" ht="13" hidden="1">
      <c r="A237" s="1263"/>
      <c r="B237" s="508">
        <v>12</v>
      </c>
      <c r="C237" s="369">
        <f>C126</f>
        <v>15</v>
      </c>
      <c r="D237" s="369">
        <f t="shared" ref="D237:F237" si="71">D126</f>
        <v>0.2</v>
      </c>
      <c r="E237" s="369">
        <f t="shared" si="71"/>
        <v>9.9999999999999995E-7</v>
      </c>
      <c r="F237" s="369">
        <f t="shared" si="71"/>
        <v>0</v>
      </c>
      <c r="G237" s="369">
        <f>G126</f>
        <v>9.9999500000000005E-2</v>
      </c>
      <c r="I237" s="1263"/>
      <c r="J237" s="508">
        <v>12</v>
      </c>
      <c r="K237" s="369">
        <f>J126</f>
        <v>35</v>
      </c>
      <c r="L237" s="369">
        <f>K126</f>
        <v>-3.1</v>
      </c>
      <c r="M237" s="369">
        <f>L126</f>
        <v>-0.4</v>
      </c>
      <c r="N237" s="369">
        <f>M126</f>
        <v>0</v>
      </c>
      <c r="O237" s="369">
        <f>N126</f>
        <v>1.35</v>
      </c>
      <c r="Q237" s="1267"/>
      <c r="R237" s="508">
        <v>12</v>
      </c>
      <c r="S237" s="369">
        <f>Q126</f>
        <v>960</v>
      </c>
      <c r="T237" s="369">
        <f>R126</f>
        <v>4.0999999999999996</v>
      </c>
      <c r="U237" s="369">
        <f>S126</f>
        <v>-0.4</v>
      </c>
      <c r="V237" s="369">
        <f>T126</f>
        <v>0</v>
      </c>
      <c r="W237" s="370">
        <f>U126</f>
        <v>2.25</v>
      </c>
      <c r="Y237" s="506">
        <v>13</v>
      </c>
      <c r="Z237" s="371">
        <f>X135</f>
        <v>0.5</v>
      </c>
      <c r="AE237" s="327"/>
      <c r="AL237" s="327"/>
    </row>
    <row r="238" spans="1:38" ht="13" hidden="1">
      <c r="A238" s="1263"/>
      <c r="B238" s="508">
        <v>13</v>
      </c>
      <c r="C238" s="369">
        <f>C137</f>
        <v>15</v>
      </c>
      <c r="D238" s="369">
        <f t="shared" ref="D238:F238" si="72">D137</f>
        <v>0.1</v>
      </c>
      <c r="E238" s="369">
        <f t="shared" si="72"/>
        <v>0.5</v>
      </c>
      <c r="F238" s="369">
        <f t="shared" si="72"/>
        <v>-0.7</v>
      </c>
      <c r="G238" s="369">
        <f>G137</f>
        <v>0.6</v>
      </c>
      <c r="I238" s="1263"/>
      <c r="J238" s="508">
        <v>13</v>
      </c>
      <c r="K238" s="369">
        <f>J137</f>
        <v>30</v>
      </c>
      <c r="L238" s="369">
        <f>K137</f>
        <v>0</v>
      </c>
      <c r="M238" s="369">
        <f>L137</f>
        <v>-2.2000000000000002</v>
      </c>
      <c r="N238" s="369">
        <f>M137</f>
        <v>-1.4</v>
      </c>
      <c r="O238" s="369">
        <f>N137</f>
        <v>0.40000000000000013</v>
      </c>
      <c r="Q238" s="1267"/>
      <c r="R238" s="508">
        <v>13</v>
      </c>
      <c r="S238" s="369">
        <f>Q137</f>
        <v>985</v>
      </c>
      <c r="T238" s="369">
        <f>R137</f>
        <v>0</v>
      </c>
      <c r="U238" s="369">
        <f>S137</f>
        <v>3.8</v>
      </c>
      <c r="V238" s="369">
        <f>T137</f>
        <v>0.9</v>
      </c>
      <c r="W238" s="370">
        <f>U137</f>
        <v>1.45</v>
      </c>
      <c r="Y238" s="506">
        <v>14</v>
      </c>
      <c r="Z238" s="371">
        <f>X146</f>
        <v>0.6</v>
      </c>
      <c r="AE238" s="327"/>
      <c r="AL238" s="327"/>
    </row>
    <row r="239" spans="1:38" ht="13" hidden="1">
      <c r="A239" s="1263"/>
      <c r="B239" s="508">
        <v>14</v>
      </c>
      <c r="C239" s="369">
        <f>C148</f>
        <v>15</v>
      </c>
      <c r="D239" s="369">
        <f t="shared" ref="D239:F239" si="73">D148</f>
        <v>0.1</v>
      </c>
      <c r="E239" s="369">
        <f t="shared" si="73"/>
        <v>0.5</v>
      </c>
      <c r="F239" s="369">
        <f t="shared" si="73"/>
        <v>-0.2</v>
      </c>
      <c r="G239" s="369">
        <f>G148</f>
        <v>0.35</v>
      </c>
      <c r="I239" s="1263"/>
      <c r="J239" s="508">
        <v>14</v>
      </c>
      <c r="K239" s="369">
        <f>J148</f>
        <v>30</v>
      </c>
      <c r="L239" s="369">
        <f>K148</f>
        <v>0</v>
      </c>
      <c r="M239" s="369">
        <f>L148</f>
        <v>-0.8</v>
      </c>
      <c r="N239" s="369">
        <f>M148</f>
        <v>0.6</v>
      </c>
      <c r="O239" s="369">
        <f>N148</f>
        <v>0.7</v>
      </c>
      <c r="Q239" s="1267"/>
      <c r="R239" s="508">
        <v>14</v>
      </c>
      <c r="S239" s="369">
        <f>Q148</f>
        <v>985</v>
      </c>
      <c r="T239" s="369">
        <f>R148</f>
        <v>0</v>
      </c>
      <c r="U239" s="369">
        <f>S148</f>
        <v>3.9</v>
      </c>
      <c r="V239" s="369">
        <f>T148</f>
        <v>0.9</v>
      </c>
      <c r="W239" s="370">
        <f>U148</f>
        <v>1.5</v>
      </c>
      <c r="Y239" s="506">
        <v>15</v>
      </c>
      <c r="Z239" s="371">
        <f>X157</f>
        <v>0.5</v>
      </c>
      <c r="AE239" s="327"/>
      <c r="AL239" s="327"/>
    </row>
    <row r="240" spans="1:38" ht="13" hidden="1">
      <c r="A240" s="1263"/>
      <c r="B240" s="508">
        <v>15</v>
      </c>
      <c r="C240" s="369">
        <f>C159</f>
        <v>15</v>
      </c>
      <c r="D240" s="369">
        <f t="shared" ref="D240:F240" si="74">D159</f>
        <v>0.1</v>
      </c>
      <c r="E240" s="369">
        <f t="shared" si="74"/>
        <v>0.6</v>
      </c>
      <c r="F240" s="369">
        <f t="shared" si="74"/>
        <v>-0.6</v>
      </c>
      <c r="G240" s="369">
        <f>G159</f>
        <v>0.6</v>
      </c>
      <c r="I240" s="1263"/>
      <c r="J240" s="508">
        <v>15</v>
      </c>
      <c r="K240" s="369">
        <f>J159</f>
        <v>30</v>
      </c>
      <c r="L240" s="369">
        <f>K159</f>
        <v>-4.0999999999999996</v>
      </c>
      <c r="M240" s="369">
        <f>L159</f>
        <v>-2</v>
      </c>
      <c r="N240" s="369">
        <f>M159</f>
        <v>-0.4</v>
      </c>
      <c r="O240" s="369">
        <f>N159</f>
        <v>1.8499999999999999</v>
      </c>
      <c r="Q240" s="1267"/>
      <c r="R240" s="508">
        <v>15</v>
      </c>
      <c r="S240" s="369">
        <f>Q159</f>
        <v>980</v>
      </c>
      <c r="T240" s="369">
        <f>R159</f>
        <v>4.0999999999999996</v>
      </c>
      <c r="U240" s="369">
        <f>S159</f>
        <v>4.3</v>
      </c>
      <c r="V240" s="369">
        <f>T159</f>
        <v>0.9</v>
      </c>
      <c r="W240" s="370">
        <f>U159</f>
        <v>1.7</v>
      </c>
      <c r="Y240" s="506">
        <v>16</v>
      </c>
      <c r="Z240" s="371">
        <f>X168</f>
        <v>0.5</v>
      </c>
      <c r="AE240" s="327"/>
      <c r="AL240" s="327"/>
    </row>
    <row r="241" spans="1:38" ht="13" hidden="1">
      <c r="A241" s="1263"/>
      <c r="B241" s="508">
        <v>16</v>
      </c>
      <c r="C241" s="369">
        <f>C170</f>
        <v>15</v>
      </c>
      <c r="D241" s="369">
        <f t="shared" ref="D241:F241" si="75">D170</f>
        <v>0.1</v>
      </c>
      <c r="E241" s="369">
        <f t="shared" si="75"/>
        <v>0.1</v>
      </c>
      <c r="F241" s="369">
        <f t="shared" si="75"/>
        <v>0</v>
      </c>
      <c r="G241" s="369">
        <f>G170</f>
        <v>0</v>
      </c>
      <c r="I241" s="1263"/>
      <c r="J241" s="508">
        <v>16</v>
      </c>
      <c r="K241" s="369">
        <f>J170</f>
        <v>35</v>
      </c>
      <c r="L241" s="369">
        <f>K170</f>
        <v>-2.5</v>
      </c>
      <c r="M241" s="369">
        <f>L170</f>
        <v>-1.6</v>
      </c>
      <c r="N241" s="369">
        <f>M170</f>
        <v>0</v>
      </c>
      <c r="O241" s="369">
        <f>N170</f>
        <v>0.44999999999999996</v>
      </c>
      <c r="Q241" s="1267"/>
      <c r="R241" s="508">
        <v>16</v>
      </c>
      <c r="S241" s="369">
        <f>Q170</f>
        <v>960</v>
      </c>
      <c r="T241" s="369">
        <f>R170</f>
        <v>4.5999999999999996</v>
      </c>
      <c r="U241" s="369">
        <f>S170</f>
        <v>-2.9</v>
      </c>
      <c r="V241" s="369">
        <f>T170</f>
        <v>0</v>
      </c>
      <c r="W241" s="370">
        <f>U170</f>
        <v>3.75</v>
      </c>
      <c r="Y241" s="506">
        <v>17</v>
      </c>
      <c r="Z241" s="371">
        <f>X179</f>
        <v>0.8</v>
      </c>
      <c r="AE241" s="327"/>
      <c r="AL241" s="327"/>
    </row>
    <row r="242" spans="1:38" ht="13" hidden="1">
      <c r="A242" s="1263"/>
      <c r="B242" s="508">
        <v>17</v>
      </c>
      <c r="C242" s="369">
        <f>C181</f>
        <v>15</v>
      </c>
      <c r="D242" s="369">
        <f>D181</f>
        <v>0.2</v>
      </c>
      <c r="E242" s="369">
        <f>E181</f>
        <v>0.1</v>
      </c>
      <c r="F242" s="369">
        <f t="shared" ref="F242" si="76">F181</f>
        <v>0</v>
      </c>
      <c r="G242" s="369">
        <f>G181</f>
        <v>0.05</v>
      </c>
      <c r="I242" s="1263"/>
      <c r="J242" s="508">
        <v>17</v>
      </c>
      <c r="K242" s="369">
        <f>J181</f>
        <v>35</v>
      </c>
      <c r="L242" s="369">
        <f>K181</f>
        <v>-2.7</v>
      </c>
      <c r="M242" s="369">
        <f>L181</f>
        <v>0.1</v>
      </c>
      <c r="N242" s="369">
        <f>M181</f>
        <v>0</v>
      </c>
      <c r="O242" s="369">
        <f>N181</f>
        <v>1.4000000000000001</v>
      </c>
      <c r="Q242" s="1267"/>
      <c r="R242" s="508">
        <v>17</v>
      </c>
      <c r="S242" s="369">
        <f>Q181</f>
        <v>960</v>
      </c>
      <c r="T242" s="369">
        <f>R181</f>
        <v>4.5999999999999996</v>
      </c>
      <c r="U242" s="369">
        <f>S181</f>
        <v>-0.6</v>
      </c>
      <c r="V242" s="369">
        <f>T181</f>
        <v>0</v>
      </c>
      <c r="W242" s="370">
        <f>U181</f>
        <v>2.5999999999999996</v>
      </c>
      <c r="Y242" s="506">
        <v>18</v>
      </c>
      <c r="Z242" s="371">
        <f>X190</f>
        <v>0.6</v>
      </c>
      <c r="AE242" s="327"/>
      <c r="AL242" s="327"/>
    </row>
    <row r="243" spans="1:38" ht="13" hidden="1">
      <c r="A243" s="1263"/>
      <c r="B243" s="508">
        <v>18</v>
      </c>
      <c r="C243" s="369">
        <f>C192</f>
        <v>15</v>
      </c>
      <c r="D243" s="369">
        <f t="shared" ref="D243:F243" si="77">D192</f>
        <v>0.3</v>
      </c>
      <c r="E243" s="369">
        <f t="shared" si="77"/>
        <v>9.9999999999999995E-7</v>
      </c>
      <c r="F243" s="369">
        <f t="shared" si="77"/>
        <v>0</v>
      </c>
      <c r="G243" s="369">
        <f>G192</f>
        <v>0.14999950000000001</v>
      </c>
      <c r="I243" s="1263"/>
      <c r="J243" s="508">
        <v>18</v>
      </c>
      <c r="K243" s="369">
        <f>J192</f>
        <v>35</v>
      </c>
      <c r="L243" s="369">
        <f>K192</f>
        <v>-3.2</v>
      </c>
      <c r="M243" s="369">
        <f>L192</f>
        <v>-0.4</v>
      </c>
      <c r="N243" s="369">
        <f>M192</f>
        <v>0</v>
      </c>
      <c r="O243" s="369">
        <f>N192</f>
        <v>1.4000000000000001</v>
      </c>
      <c r="Q243" s="1267"/>
      <c r="R243" s="508">
        <v>18</v>
      </c>
      <c r="S243" s="369">
        <f>Q192</f>
        <v>960</v>
      </c>
      <c r="T243" s="369">
        <f>R192</f>
        <v>4.4000000000000004</v>
      </c>
      <c r="U243" s="369">
        <f>S192</f>
        <v>-1.5</v>
      </c>
      <c r="V243" s="369">
        <f>T192</f>
        <v>0</v>
      </c>
      <c r="W243" s="370">
        <f>U192</f>
        <v>2.95</v>
      </c>
      <c r="Y243" s="506">
        <v>19</v>
      </c>
      <c r="Z243" s="371">
        <f>X201</f>
        <v>0.5</v>
      </c>
      <c r="AE243" s="327"/>
      <c r="AL243" s="327"/>
    </row>
    <row r="244" spans="1:38" ht="13.5" hidden="1" thickBot="1">
      <c r="A244" s="1263"/>
      <c r="B244" s="508">
        <v>19</v>
      </c>
      <c r="C244" s="369">
        <f>C203</f>
        <v>15</v>
      </c>
      <c r="D244" s="369">
        <f t="shared" ref="D244:F244" si="78">D203</f>
        <v>0.2</v>
      </c>
      <c r="E244" s="369">
        <f t="shared" si="78"/>
        <v>9.9999999999999995E-7</v>
      </c>
      <c r="F244" s="369">
        <f t="shared" si="78"/>
        <v>0</v>
      </c>
      <c r="G244" s="369">
        <f>G203</f>
        <v>9.9999500000000005E-2</v>
      </c>
      <c r="I244" s="1263"/>
      <c r="J244" s="508">
        <v>19</v>
      </c>
      <c r="K244" s="369">
        <f>J203</f>
        <v>35</v>
      </c>
      <c r="L244" s="369">
        <f>K203</f>
        <v>-2.2000000000000002</v>
      </c>
      <c r="M244" s="369">
        <f>L203</f>
        <v>-1.5</v>
      </c>
      <c r="N244" s="369">
        <f>M203</f>
        <v>0</v>
      </c>
      <c r="O244" s="369">
        <f>N203</f>
        <v>0.35000000000000009</v>
      </c>
      <c r="Q244" s="1267"/>
      <c r="R244" s="508">
        <v>19</v>
      </c>
      <c r="S244" s="369">
        <f>Q203</f>
        <v>750</v>
      </c>
      <c r="T244" s="369">
        <f>R203</f>
        <v>4.5</v>
      </c>
      <c r="U244" s="369">
        <f>S203</f>
        <v>2.5</v>
      </c>
      <c r="V244" s="369">
        <f>T203</f>
        <v>0</v>
      </c>
      <c r="W244" s="370">
        <f>U203</f>
        <v>1</v>
      </c>
      <c r="Y244" s="372">
        <v>20</v>
      </c>
      <c r="Z244" s="373">
        <f>X212</f>
        <v>0</v>
      </c>
      <c r="AE244" s="327"/>
      <c r="AL244" s="327"/>
    </row>
    <row r="245" spans="1:38" ht="13.5" hidden="1" thickBot="1">
      <c r="A245" s="1263"/>
      <c r="B245" s="508">
        <v>20</v>
      </c>
      <c r="C245" s="369">
        <f>C214</f>
        <v>14.8</v>
      </c>
      <c r="D245" s="369">
        <f t="shared" ref="D245:F245" si="79">D214</f>
        <v>9.9999999999999995E-7</v>
      </c>
      <c r="E245" s="369" t="str">
        <f t="shared" si="79"/>
        <v>-</v>
      </c>
      <c r="F245" s="369">
        <f t="shared" si="79"/>
        <v>9.9999999999999995E-7</v>
      </c>
      <c r="G245" s="369">
        <f>G214</f>
        <v>0</v>
      </c>
      <c r="I245" s="1263"/>
      <c r="J245" s="508">
        <v>20</v>
      </c>
      <c r="K245" s="369">
        <f>J214</f>
        <v>45.7</v>
      </c>
      <c r="L245" s="369">
        <f>K214</f>
        <v>9.9999999999999995E-7</v>
      </c>
      <c r="M245" s="369" t="str">
        <f>L214</f>
        <v>-</v>
      </c>
      <c r="N245" s="369">
        <f>M214</f>
        <v>0</v>
      </c>
      <c r="O245" s="369">
        <f>N214</f>
        <v>0</v>
      </c>
      <c r="Q245" s="1268"/>
      <c r="R245" s="510">
        <v>20</v>
      </c>
      <c r="S245" s="374">
        <f>Q214</f>
        <v>750</v>
      </c>
      <c r="T245" s="374">
        <f>R214</f>
        <v>9.9999999999999995E-7</v>
      </c>
      <c r="U245" s="374" t="str">
        <f>S214</f>
        <v>-</v>
      </c>
      <c r="V245" s="374">
        <f>T214</f>
        <v>9.9999999999999995E-7</v>
      </c>
      <c r="W245" s="375">
        <f>U214</f>
        <v>0</v>
      </c>
      <c r="Y245" s="338"/>
      <c r="AE245" s="376"/>
      <c r="AL245" s="327"/>
    </row>
    <row r="246" spans="1:38" ht="13" hidden="1">
      <c r="A246" s="333"/>
      <c r="B246" s="333"/>
      <c r="C246" s="282"/>
      <c r="D246" s="282"/>
      <c r="E246" s="282"/>
      <c r="F246" s="321"/>
      <c r="G246" s="282"/>
      <c r="I246" s="333"/>
      <c r="J246" s="333"/>
      <c r="K246" s="282"/>
      <c r="L246" s="282"/>
      <c r="M246" s="282"/>
      <c r="N246" s="321"/>
      <c r="O246" s="282"/>
      <c r="Q246" s="331"/>
      <c r="R246" s="331"/>
      <c r="S246" s="377"/>
      <c r="T246" s="377"/>
      <c r="U246" s="377"/>
      <c r="W246" s="378"/>
      <c r="Y246" s="332"/>
      <c r="AE246" s="332"/>
      <c r="AL246" s="332"/>
    </row>
    <row r="247" spans="1:38" ht="13" hidden="1">
      <c r="A247" s="1263">
        <v>2</v>
      </c>
      <c r="B247" s="508">
        <v>1</v>
      </c>
      <c r="C247" s="369">
        <f>C6</f>
        <v>20</v>
      </c>
      <c r="D247" s="369">
        <f t="shared" ref="D247:F247" si="80">D6</f>
        <v>0</v>
      </c>
      <c r="E247" s="369">
        <f t="shared" si="80"/>
        <v>0.1</v>
      </c>
      <c r="F247" s="369">
        <f t="shared" si="80"/>
        <v>-0.2</v>
      </c>
      <c r="G247" s="369">
        <f>G6</f>
        <v>0.15000000000000002</v>
      </c>
      <c r="I247" s="1263">
        <v>2</v>
      </c>
      <c r="J247" s="508">
        <v>1</v>
      </c>
      <c r="K247" s="369">
        <f>J6</f>
        <v>40</v>
      </c>
      <c r="L247" s="369">
        <f>K6</f>
        <v>-5.9</v>
      </c>
      <c r="M247" s="369">
        <f>L6</f>
        <v>-11.5</v>
      </c>
      <c r="N247" s="369">
        <f>M6</f>
        <v>-5.8</v>
      </c>
      <c r="O247" s="369">
        <f>N6</f>
        <v>2.85</v>
      </c>
      <c r="Q247" s="1264">
        <v>2</v>
      </c>
      <c r="R247" s="509">
        <v>1</v>
      </c>
      <c r="S247" s="379">
        <f>Q6</f>
        <v>800</v>
      </c>
      <c r="T247" s="379" t="str">
        <f>R6</f>
        <v>-</v>
      </c>
      <c r="U247" s="379" t="str">
        <f>S6</f>
        <v>-</v>
      </c>
      <c r="V247" s="379">
        <f>T6</f>
        <v>9.9999999999999995E-7</v>
      </c>
      <c r="W247" s="380">
        <f>U6</f>
        <v>0</v>
      </c>
      <c r="Y247" s="1253" t="s">
        <v>371</v>
      </c>
      <c r="Z247" s="1254"/>
      <c r="AE247" s="381"/>
    </row>
    <row r="248" spans="1:38" ht="13" hidden="1">
      <c r="A248" s="1263"/>
      <c r="B248" s="508">
        <v>2</v>
      </c>
      <c r="C248" s="369">
        <f>C17</f>
        <v>20</v>
      </c>
      <c r="D248" s="369">
        <f t="shared" ref="D248:F248" si="81">D17</f>
        <v>0.2</v>
      </c>
      <c r="E248" s="369">
        <f t="shared" si="81"/>
        <v>0.7</v>
      </c>
      <c r="F248" s="369">
        <f t="shared" si="81"/>
        <v>-0.1</v>
      </c>
      <c r="G248" s="369">
        <f>G17</f>
        <v>0.39999999999999997</v>
      </c>
      <c r="I248" s="1263"/>
      <c r="J248" s="508">
        <v>2</v>
      </c>
      <c r="K248" s="369">
        <f>J17</f>
        <v>40</v>
      </c>
      <c r="L248" s="369">
        <f>K17</f>
        <v>-10.3</v>
      </c>
      <c r="M248" s="369">
        <f>L17</f>
        <v>-6.2</v>
      </c>
      <c r="N248" s="369">
        <f>M17</f>
        <v>-1.6</v>
      </c>
      <c r="O248" s="369">
        <f>N17</f>
        <v>4.3500000000000005</v>
      </c>
      <c r="Q248" s="1263"/>
      <c r="R248" s="508">
        <v>2</v>
      </c>
      <c r="S248" s="369">
        <f>Q17</f>
        <v>800</v>
      </c>
      <c r="T248" s="369" t="str">
        <f>R17</f>
        <v>-</v>
      </c>
      <c r="U248" s="369" t="str">
        <f>S17</f>
        <v>-</v>
      </c>
      <c r="V248" s="369" t="str">
        <f>T17</f>
        <v>-</v>
      </c>
      <c r="W248" s="370">
        <f>U17</f>
        <v>0</v>
      </c>
      <c r="Y248" s="1260" t="s">
        <v>458</v>
      </c>
      <c r="Z248" s="1261"/>
      <c r="AE248" s="327"/>
    </row>
    <row r="249" spans="1:38" ht="13" hidden="1">
      <c r="A249" s="1263"/>
      <c r="B249" s="508">
        <v>3</v>
      </c>
      <c r="C249" s="508">
        <f>C28</f>
        <v>20</v>
      </c>
      <c r="D249" s="508">
        <f t="shared" ref="D249:F249" si="82">D28</f>
        <v>0.2</v>
      </c>
      <c r="E249" s="508">
        <f t="shared" si="82"/>
        <v>1</v>
      </c>
      <c r="F249" s="508">
        <f t="shared" si="82"/>
        <v>9.9999999999999995E-7</v>
      </c>
      <c r="G249" s="508">
        <f>G28</f>
        <v>0.49999949999999999</v>
      </c>
      <c r="I249" s="1263"/>
      <c r="J249" s="508">
        <v>3</v>
      </c>
      <c r="K249" s="508">
        <f>J28</f>
        <v>40</v>
      </c>
      <c r="L249" s="508">
        <f>K28</f>
        <v>-9.6999999999999993</v>
      </c>
      <c r="M249" s="508">
        <f>L28</f>
        <v>-5.9</v>
      </c>
      <c r="N249" s="508">
        <f>M28</f>
        <v>-5.3</v>
      </c>
      <c r="O249" s="508">
        <f>N28</f>
        <v>2.1999999999999997</v>
      </c>
      <c r="Q249" s="1263"/>
      <c r="R249" s="508">
        <v>3</v>
      </c>
      <c r="S249" s="508">
        <f>Q28</f>
        <v>800</v>
      </c>
      <c r="T249" s="508" t="str">
        <f>R28</f>
        <v>-</v>
      </c>
      <c r="U249" s="508" t="str">
        <f>S28</f>
        <v>-</v>
      </c>
      <c r="V249" s="508" t="str">
        <f>T28</f>
        <v>-</v>
      </c>
      <c r="W249" s="366">
        <f>U28</f>
        <v>0</v>
      </c>
      <c r="Y249" s="506">
        <v>1</v>
      </c>
      <c r="Z249" s="507">
        <f>X4</f>
        <v>2.6</v>
      </c>
      <c r="AE249" s="327"/>
    </row>
    <row r="250" spans="1:38" ht="13" hidden="1">
      <c r="A250" s="1263"/>
      <c r="B250" s="508">
        <v>4</v>
      </c>
      <c r="C250" s="508">
        <f>C39</f>
        <v>20</v>
      </c>
      <c r="D250" s="508">
        <f t="shared" ref="D250:F250" si="83">D39</f>
        <v>-0.1</v>
      </c>
      <c r="E250" s="508">
        <f t="shared" si="83"/>
        <v>-0.3</v>
      </c>
      <c r="F250" s="508">
        <f t="shared" si="83"/>
        <v>0</v>
      </c>
      <c r="G250" s="508">
        <f>G39</f>
        <v>9.9999999999999992E-2</v>
      </c>
      <c r="I250" s="1263"/>
      <c r="J250" s="508">
        <v>4</v>
      </c>
      <c r="K250" s="508">
        <f>J39</f>
        <v>40</v>
      </c>
      <c r="L250" s="508">
        <f>K39</f>
        <v>-4.4000000000000004</v>
      </c>
      <c r="M250" s="508">
        <f>L39</f>
        <v>-1.5</v>
      </c>
      <c r="N250" s="508">
        <f>M39</f>
        <v>0</v>
      </c>
      <c r="O250" s="508">
        <f>N39</f>
        <v>1.4500000000000002</v>
      </c>
      <c r="Q250" s="1263"/>
      <c r="R250" s="508">
        <v>4</v>
      </c>
      <c r="S250" s="508">
        <f>Q39</f>
        <v>800</v>
      </c>
      <c r="T250" s="508" t="str">
        <f>R39</f>
        <v>-</v>
      </c>
      <c r="U250" s="508" t="str">
        <f>S39</f>
        <v>-</v>
      </c>
      <c r="V250" s="508">
        <f>T39</f>
        <v>9.9999999999999995E-7</v>
      </c>
      <c r="W250" s="366">
        <f>U39</f>
        <v>0</v>
      </c>
      <c r="Y250" s="367">
        <v>2</v>
      </c>
      <c r="Z250" s="507">
        <f>X15</f>
        <v>3.3</v>
      </c>
      <c r="AE250" s="327"/>
    </row>
    <row r="251" spans="1:38" ht="13" hidden="1">
      <c r="A251" s="1263"/>
      <c r="B251" s="508">
        <v>5</v>
      </c>
      <c r="C251" s="508">
        <f>C50</f>
        <v>20</v>
      </c>
      <c r="D251" s="508">
        <f t="shared" ref="D251:F251" si="84">D50</f>
        <v>0.4</v>
      </c>
      <c r="E251" s="508">
        <f t="shared" si="84"/>
        <v>0.1</v>
      </c>
      <c r="F251" s="508">
        <f t="shared" si="84"/>
        <v>0.1</v>
      </c>
      <c r="G251" s="508">
        <f>G50</f>
        <v>0.15000000000000002</v>
      </c>
      <c r="I251" s="1263"/>
      <c r="J251" s="508">
        <v>5</v>
      </c>
      <c r="K251" s="508">
        <f>J50</f>
        <v>40</v>
      </c>
      <c r="L251" s="508">
        <f>K50</f>
        <v>-9.6</v>
      </c>
      <c r="M251" s="508">
        <f>L50</f>
        <v>-9.6999999999999993</v>
      </c>
      <c r="N251" s="508">
        <f>M50</f>
        <v>-7.2</v>
      </c>
      <c r="O251" s="508">
        <f>N50</f>
        <v>1.2499999999999996</v>
      </c>
      <c r="Q251" s="1263"/>
      <c r="R251" s="508">
        <v>5</v>
      </c>
      <c r="S251" s="508">
        <f>Q50</f>
        <v>800</v>
      </c>
      <c r="T251" s="508" t="str">
        <f>R50</f>
        <v>-</v>
      </c>
      <c r="U251" s="508" t="str">
        <f>S50</f>
        <v>-</v>
      </c>
      <c r="V251" s="508" t="str">
        <f>T50</f>
        <v>-</v>
      </c>
      <c r="W251" s="366">
        <f>U50</f>
        <v>0</v>
      </c>
      <c r="Y251" s="367">
        <v>3</v>
      </c>
      <c r="Z251" s="368">
        <f>X26</f>
        <v>2.4</v>
      </c>
      <c r="AE251" s="327"/>
    </row>
    <row r="252" spans="1:38" ht="13" hidden="1">
      <c r="A252" s="1263"/>
      <c r="B252" s="508">
        <v>6</v>
      </c>
      <c r="C252" s="508">
        <f>C61</f>
        <v>20</v>
      </c>
      <c r="D252" s="508">
        <f t="shared" ref="D252:F252" si="85">D61</f>
        <v>0.3</v>
      </c>
      <c r="E252" s="508">
        <f t="shared" si="85"/>
        <v>0.2</v>
      </c>
      <c r="F252" s="508">
        <f t="shared" si="85"/>
        <v>0</v>
      </c>
      <c r="G252" s="508">
        <f>G61</f>
        <v>4.9999999999999989E-2</v>
      </c>
      <c r="I252" s="1263"/>
      <c r="J252" s="508">
        <v>6</v>
      </c>
      <c r="K252" s="508">
        <f>J61</f>
        <v>40</v>
      </c>
      <c r="L252" s="508">
        <f>K61</f>
        <v>-3.8</v>
      </c>
      <c r="M252" s="508">
        <f>L61</f>
        <v>1.5</v>
      </c>
      <c r="N252" s="508">
        <f>M61</f>
        <v>0</v>
      </c>
      <c r="O252" s="508">
        <f>N61</f>
        <v>2.65</v>
      </c>
      <c r="Q252" s="1263"/>
      <c r="R252" s="508">
        <v>6</v>
      </c>
      <c r="S252" s="508">
        <f>Q61</f>
        <v>800</v>
      </c>
      <c r="T252" s="508">
        <f>R61</f>
        <v>0.9</v>
      </c>
      <c r="U252" s="508">
        <f>S61</f>
        <v>1.6</v>
      </c>
      <c r="V252" s="508">
        <f>T61</f>
        <v>9.9999999999999995E-7</v>
      </c>
      <c r="W252" s="366">
        <f>U61</f>
        <v>0.79999950000000009</v>
      </c>
      <c r="Y252" s="367">
        <v>4</v>
      </c>
      <c r="Z252" s="368">
        <f>X37</f>
        <v>1.3</v>
      </c>
      <c r="AE252" s="327"/>
    </row>
    <row r="253" spans="1:38" ht="13" hidden="1">
      <c r="A253" s="1263"/>
      <c r="B253" s="508">
        <v>7</v>
      </c>
      <c r="C253" s="508">
        <f>C72</f>
        <v>20</v>
      </c>
      <c r="D253" s="508">
        <f t="shared" ref="D253:F253" si="86">D72</f>
        <v>9.9999999999999995E-7</v>
      </c>
      <c r="E253" s="508">
        <f t="shared" si="86"/>
        <v>0.1</v>
      </c>
      <c r="F253" s="508">
        <f t="shared" si="86"/>
        <v>0</v>
      </c>
      <c r="G253" s="508">
        <f>G72</f>
        <v>4.9999500000000002E-2</v>
      </c>
      <c r="I253" s="1263"/>
      <c r="J253" s="508">
        <v>7</v>
      </c>
      <c r="K253" s="508">
        <f>J72</f>
        <v>40</v>
      </c>
      <c r="L253" s="508">
        <f>K72</f>
        <v>-1.9</v>
      </c>
      <c r="M253" s="508">
        <f>L72</f>
        <v>1.2</v>
      </c>
      <c r="N253" s="508">
        <f>M72</f>
        <v>0</v>
      </c>
      <c r="O253" s="508">
        <f>N72</f>
        <v>1.5499999999999998</v>
      </c>
      <c r="Q253" s="1263"/>
      <c r="R253" s="508">
        <v>7</v>
      </c>
      <c r="S253" s="508">
        <f>Q72</f>
        <v>800</v>
      </c>
      <c r="T253" s="508">
        <f>R72</f>
        <v>9.9999999999999995E-7</v>
      </c>
      <c r="U253" s="508">
        <f>S72</f>
        <v>2.5</v>
      </c>
      <c r="V253" s="508">
        <f>T72</f>
        <v>9.9999999999999995E-7</v>
      </c>
      <c r="W253" s="366">
        <f>U72</f>
        <v>1.2499994999999999</v>
      </c>
      <c r="Y253" s="367">
        <v>5</v>
      </c>
      <c r="Z253" s="368">
        <f>X48</f>
        <v>2.2999999999999998</v>
      </c>
      <c r="AE253" s="327"/>
    </row>
    <row r="254" spans="1:38" ht="13" hidden="1">
      <c r="A254" s="1263"/>
      <c r="B254" s="508">
        <v>8</v>
      </c>
      <c r="C254" s="508">
        <f>C83</f>
        <v>20</v>
      </c>
      <c r="D254" s="508">
        <f t="shared" ref="D254:F254" si="87">D83</f>
        <v>0.2</v>
      </c>
      <c r="E254" s="508">
        <f t="shared" si="87"/>
        <v>9.9999999999999995E-7</v>
      </c>
      <c r="F254" s="508">
        <f t="shared" si="87"/>
        <v>-0.2</v>
      </c>
      <c r="G254" s="508">
        <f>G83</f>
        <v>0.2</v>
      </c>
      <c r="I254" s="1263"/>
      <c r="J254" s="508">
        <v>8</v>
      </c>
      <c r="K254" s="508">
        <f>J83</f>
        <v>40</v>
      </c>
      <c r="L254" s="508">
        <f>K83</f>
        <v>-4.5999999999999996</v>
      </c>
      <c r="M254" s="508">
        <f>L83</f>
        <v>-3.8</v>
      </c>
      <c r="N254" s="508">
        <f>M83</f>
        <v>-1.2</v>
      </c>
      <c r="O254" s="508">
        <f>N83</f>
        <v>1.6999999999999997</v>
      </c>
      <c r="Q254" s="1263"/>
      <c r="R254" s="508">
        <v>8</v>
      </c>
      <c r="S254" s="508">
        <f>Q83</f>
        <v>970</v>
      </c>
      <c r="T254" s="508">
        <f>R83</f>
        <v>-1</v>
      </c>
      <c r="U254" s="508">
        <f>S83</f>
        <v>-3.9</v>
      </c>
      <c r="V254" s="508">
        <f>T83</f>
        <v>9.9999999999999995E-7</v>
      </c>
      <c r="W254" s="366">
        <f>U83</f>
        <v>1.9500005</v>
      </c>
      <c r="Y254" s="506">
        <v>6</v>
      </c>
      <c r="Z254" s="507">
        <f>X59</f>
        <v>2.6</v>
      </c>
      <c r="AE254" s="327"/>
    </row>
    <row r="255" spans="1:38" ht="13" hidden="1">
      <c r="A255" s="1263"/>
      <c r="B255" s="508">
        <v>9</v>
      </c>
      <c r="C255" s="508">
        <f>C94</f>
        <v>20</v>
      </c>
      <c r="D255" s="508">
        <f t="shared" ref="D255:F255" si="88">D94</f>
        <v>-0.2</v>
      </c>
      <c r="E255" s="508" t="str">
        <f t="shared" si="88"/>
        <v>-</v>
      </c>
      <c r="F255" s="508">
        <f t="shared" si="88"/>
        <v>0</v>
      </c>
      <c r="G255" s="508">
        <f>G94</f>
        <v>0</v>
      </c>
      <c r="I255" s="1263"/>
      <c r="J255" s="508">
        <v>9</v>
      </c>
      <c r="K255" s="508">
        <f>J94</f>
        <v>40</v>
      </c>
      <c r="L255" s="508">
        <f>K94</f>
        <v>-1</v>
      </c>
      <c r="M255" s="508" t="str">
        <f>L94</f>
        <v>-</v>
      </c>
      <c r="N255" s="508">
        <f>M94</f>
        <v>0</v>
      </c>
      <c r="O255" s="508">
        <f>N94</f>
        <v>0</v>
      </c>
      <c r="Q255" s="1263"/>
      <c r="R255" s="508">
        <v>9</v>
      </c>
      <c r="S255" s="508">
        <f>Q94</f>
        <v>800</v>
      </c>
      <c r="T255" s="508">
        <f>R94</f>
        <v>9.9999999999999995E-7</v>
      </c>
      <c r="U255" s="508" t="str">
        <f>S94</f>
        <v>-</v>
      </c>
      <c r="V255" s="508">
        <f>T94</f>
        <v>9.9999999999999995E-7</v>
      </c>
      <c r="W255" s="366">
        <f>U94</f>
        <v>0</v>
      </c>
      <c r="Y255" s="506">
        <v>7</v>
      </c>
      <c r="Z255" s="507">
        <f>X70</f>
        <v>2.4</v>
      </c>
      <c r="AE255" s="327"/>
    </row>
    <row r="256" spans="1:38" ht="13" hidden="1">
      <c r="A256" s="1263"/>
      <c r="B256" s="508">
        <v>10</v>
      </c>
      <c r="C256" s="508">
        <f>C105</f>
        <v>20</v>
      </c>
      <c r="D256" s="508">
        <f t="shared" ref="D256:F256" si="89">D105</f>
        <v>0.2</v>
      </c>
      <c r="E256" s="508">
        <f t="shared" si="89"/>
        <v>-0.7</v>
      </c>
      <c r="F256" s="508">
        <f t="shared" si="89"/>
        <v>0</v>
      </c>
      <c r="G256" s="508">
        <f>G105</f>
        <v>0.44999999999999996</v>
      </c>
      <c r="I256" s="1263"/>
      <c r="J256" s="508">
        <v>10</v>
      </c>
      <c r="K256" s="508">
        <f>J105</f>
        <v>40</v>
      </c>
      <c r="L256" s="508">
        <f>K105</f>
        <v>-3.3</v>
      </c>
      <c r="M256" s="508">
        <f>L105</f>
        <v>-6.4</v>
      </c>
      <c r="N256" s="508">
        <f>M105</f>
        <v>0</v>
      </c>
      <c r="O256" s="508">
        <f>N105</f>
        <v>1.5500000000000003</v>
      </c>
      <c r="Q256" s="1263"/>
      <c r="R256" s="508">
        <v>10</v>
      </c>
      <c r="S256" s="508">
        <f>Q105</f>
        <v>800</v>
      </c>
      <c r="T256" s="508" t="str">
        <f>R105</f>
        <v>-</v>
      </c>
      <c r="U256" s="508" t="str">
        <f>S105</f>
        <v>-</v>
      </c>
      <c r="V256" s="508">
        <f>T105</f>
        <v>9.9999999999999995E-7</v>
      </c>
      <c r="W256" s="366">
        <f>U105</f>
        <v>0</v>
      </c>
      <c r="Y256" s="506">
        <v>8</v>
      </c>
      <c r="Z256" s="507">
        <f>X81</f>
        <v>2.2999999999999998</v>
      </c>
      <c r="AE256" s="327"/>
    </row>
    <row r="257" spans="1:31" ht="13" hidden="1">
      <c r="A257" s="1263"/>
      <c r="B257" s="508">
        <v>11</v>
      </c>
      <c r="C257" s="508">
        <f>C116</f>
        <v>20</v>
      </c>
      <c r="D257" s="508">
        <f t="shared" ref="D257:F257" si="90">D116</f>
        <v>0.4</v>
      </c>
      <c r="E257" s="508">
        <f t="shared" si="90"/>
        <v>0.5</v>
      </c>
      <c r="F257" s="508">
        <f t="shared" si="90"/>
        <v>0</v>
      </c>
      <c r="G257" s="508">
        <f>G116</f>
        <v>4.9999999999999989E-2</v>
      </c>
      <c r="I257" s="1263"/>
      <c r="J257" s="508">
        <v>11</v>
      </c>
      <c r="K257" s="508">
        <f>J116</f>
        <v>40</v>
      </c>
      <c r="L257" s="508">
        <f>K116</f>
        <v>-5.5</v>
      </c>
      <c r="M257" s="508">
        <f>L116</f>
        <v>-5.9</v>
      </c>
      <c r="N257" s="508">
        <f>M116</f>
        <v>0</v>
      </c>
      <c r="O257" s="508">
        <f>N116</f>
        <v>0.20000000000000018</v>
      </c>
      <c r="Q257" s="1263"/>
      <c r="R257" s="508">
        <v>11</v>
      </c>
      <c r="S257" s="508">
        <f>Q116</f>
        <v>800</v>
      </c>
      <c r="T257" s="508" t="str">
        <f>R116</f>
        <v>-</v>
      </c>
      <c r="U257" s="508" t="str">
        <f>S116</f>
        <v>-</v>
      </c>
      <c r="V257" s="508">
        <f>T116</f>
        <v>9.9999999999999995E-7</v>
      </c>
      <c r="W257" s="366">
        <f>U116</f>
        <v>0</v>
      </c>
      <c r="Y257" s="506">
        <v>9</v>
      </c>
      <c r="Z257" s="507">
        <f>X92</f>
        <v>2.4</v>
      </c>
      <c r="AE257" s="327"/>
    </row>
    <row r="258" spans="1:31" ht="13" hidden="1">
      <c r="A258" s="1263"/>
      <c r="B258" s="508">
        <v>12</v>
      </c>
      <c r="C258" s="508">
        <f>C127</f>
        <v>20</v>
      </c>
      <c r="D258" s="508">
        <f t="shared" ref="D258:F258" si="91">D127</f>
        <v>0.3</v>
      </c>
      <c r="E258" s="508">
        <f t="shared" si="91"/>
        <v>9.9999999999999995E-7</v>
      </c>
      <c r="F258" s="508">
        <f t="shared" si="91"/>
        <v>0</v>
      </c>
      <c r="G258" s="508">
        <f>G127</f>
        <v>0.14999950000000001</v>
      </c>
      <c r="I258" s="1263"/>
      <c r="J258" s="508">
        <v>12</v>
      </c>
      <c r="K258" s="508">
        <f>J127</f>
        <v>40</v>
      </c>
      <c r="L258" s="508">
        <f>K127</f>
        <v>-3.1</v>
      </c>
      <c r="M258" s="508">
        <f>L127</f>
        <v>-0.1</v>
      </c>
      <c r="N258" s="508">
        <f>M127</f>
        <v>0</v>
      </c>
      <c r="O258" s="508">
        <f>N127</f>
        <v>1.5</v>
      </c>
      <c r="Q258" s="1263"/>
      <c r="R258" s="508">
        <v>12</v>
      </c>
      <c r="S258" s="508">
        <f>Q127</f>
        <v>970</v>
      </c>
      <c r="T258" s="508">
        <f>R127</f>
        <v>4.0999999999999996</v>
      </c>
      <c r="U258" s="508">
        <f>S127</f>
        <v>-0.5</v>
      </c>
      <c r="V258" s="508">
        <f>T127</f>
        <v>0</v>
      </c>
      <c r="W258" s="366">
        <f>U127</f>
        <v>2.2999999999999998</v>
      </c>
      <c r="Y258" s="506">
        <v>10</v>
      </c>
      <c r="Z258" s="507">
        <f>X103</f>
        <v>1.5</v>
      </c>
      <c r="AE258" s="327"/>
    </row>
    <row r="259" spans="1:31" ht="13" hidden="1">
      <c r="A259" s="1263"/>
      <c r="B259" s="508">
        <v>13</v>
      </c>
      <c r="C259" s="508">
        <f>C138</f>
        <v>20</v>
      </c>
      <c r="D259" s="508">
        <f t="shared" ref="D259:F259" si="92">D138</f>
        <v>0.2</v>
      </c>
      <c r="E259" s="508">
        <f t="shared" si="92"/>
        <v>0.2</v>
      </c>
      <c r="F259" s="508">
        <f t="shared" si="92"/>
        <v>-0.4</v>
      </c>
      <c r="G259" s="508">
        <f>G138</f>
        <v>0.30000000000000004</v>
      </c>
      <c r="I259" s="1263"/>
      <c r="J259" s="508">
        <v>13</v>
      </c>
      <c r="K259" s="508">
        <f>J138</f>
        <v>40</v>
      </c>
      <c r="L259" s="508">
        <f>K138</f>
        <v>-4</v>
      </c>
      <c r="M259" s="508">
        <f>L138</f>
        <v>-2</v>
      </c>
      <c r="N259" s="508">
        <f>M138</f>
        <v>-1.3</v>
      </c>
      <c r="O259" s="508">
        <f>N138</f>
        <v>1.35</v>
      </c>
      <c r="Q259" s="1263"/>
      <c r="R259" s="508">
        <v>13</v>
      </c>
      <c r="S259" s="508">
        <f>Q138</f>
        <v>990</v>
      </c>
      <c r="T259" s="508">
        <f>R138</f>
        <v>3.9</v>
      </c>
      <c r="U259" s="508">
        <f>S138</f>
        <v>3.8</v>
      </c>
      <c r="V259" s="508">
        <f>T138</f>
        <v>1</v>
      </c>
      <c r="W259" s="366">
        <f>U138</f>
        <v>1.45</v>
      </c>
      <c r="Y259" s="506">
        <v>11</v>
      </c>
      <c r="Z259" s="507">
        <f>X114</f>
        <v>1.8</v>
      </c>
      <c r="AE259" s="327"/>
    </row>
    <row r="260" spans="1:31" ht="13" hidden="1">
      <c r="A260" s="1263"/>
      <c r="B260" s="508">
        <v>14</v>
      </c>
      <c r="C260" s="508">
        <f>C149</f>
        <v>20</v>
      </c>
      <c r="D260" s="508">
        <f t="shared" ref="D260:F260" si="93">D149</f>
        <v>0.2</v>
      </c>
      <c r="E260" s="508">
        <f t="shared" si="93"/>
        <v>0.2</v>
      </c>
      <c r="F260" s="508">
        <f t="shared" si="93"/>
        <v>-0.1</v>
      </c>
      <c r="G260" s="508">
        <f>G149</f>
        <v>0.15000000000000002</v>
      </c>
      <c r="I260" s="1263"/>
      <c r="J260" s="508">
        <v>14</v>
      </c>
      <c r="K260" s="508">
        <f>J149</f>
        <v>40</v>
      </c>
      <c r="L260" s="508">
        <f>K149</f>
        <v>-3.8</v>
      </c>
      <c r="M260" s="508">
        <f>L149</f>
        <v>-0.4</v>
      </c>
      <c r="N260" s="508">
        <f>M149</f>
        <v>0.3</v>
      </c>
      <c r="O260" s="508">
        <f>N149</f>
        <v>2.0499999999999998</v>
      </c>
      <c r="Q260" s="1263"/>
      <c r="R260" s="508">
        <v>14</v>
      </c>
      <c r="S260" s="508">
        <f>Q149</f>
        <v>990</v>
      </c>
      <c r="T260" s="508">
        <f>R149</f>
        <v>4</v>
      </c>
      <c r="U260" s="508">
        <f>S149</f>
        <v>3.9</v>
      </c>
      <c r="V260" s="508">
        <f>T149</f>
        <v>1</v>
      </c>
      <c r="W260" s="366">
        <f>U149</f>
        <v>1.5</v>
      </c>
      <c r="Y260" s="506">
        <v>12</v>
      </c>
      <c r="Z260" s="382">
        <f>X125</f>
        <v>2.2999999999999998</v>
      </c>
      <c r="AE260" s="327"/>
    </row>
    <row r="261" spans="1:31" ht="13" hidden="1">
      <c r="A261" s="1263"/>
      <c r="B261" s="508">
        <v>15</v>
      </c>
      <c r="C261" s="508">
        <f>C160</f>
        <v>20</v>
      </c>
      <c r="D261" s="508">
        <f t="shared" ref="D261:F261" si="94">D160</f>
        <v>0.2</v>
      </c>
      <c r="E261" s="508">
        <f t="shared" si="94"/>
        <v>0.3</v>
      </c>
      <c r="F261" s="508">
        <f t="shared" si="94"/>
        <v>-0.5</v>
      </c>
      <c r="G261" s="508">
        <f>G160</f>
        <v>0.4</v>
      </c>
      <c r="I261" s="1263"/>
      <c r="J261" s="508">
        <v>15</v>
      </c>
      <c r="K261" s="508">
        <f>J160</f>
        <v>40</v>
      </c>
      <c r="L261" s="508">
        <f>K160</f>
        <v>-3.8</v>
      </c>
      <c r="M261" s="508">
        <f>L160</f>
        <v>-1.7</v>
      </c>
      <c r="N261" s="508">
        <f>M160</f>
        <v>-0.3</v>
      </c>
      <c r="O261" s="508">
        <f>N160</f>
        <v>1.75</v>
      </c>
      <c r="Q261" s="1263"/>
      <c r="R261" s="508">
        <v>15</v>
      </c>
      <c r="S261" s="508">
        <f>Q160</f>
        <v>990</v>
      </c>
      <c r="T261" s="508">
        <f>R160</f>
        <v>4.3</v>
      </c>
      <c r="U261" s="508">
        <f>S160</f>
        <v>4.2</v>
      </c>
      <c r="V261" s="508">
        <f>T160</f>
        <v>1</v>
      </c>
      <c r="W261" s="366">
        <f>U160</f>
        <v>1.65</v>
      </c>
      <c r="Y261" s="506">
        <v>13</v>
      </c>
      <c r="Z261" s="507">
        <f>X136</f>
        <v>2.2999999999999998</v>
      </c>
      <c r="AE261" s="327"/>
    </row>
    <row r="262" spans="1:31" ht="13" hidden="1">
      <c r="A262" s="1263"/>
      <c r="B262" s="508">
        <v>16</v>
      </c>
      <c r="C262" s="508">
        <f>C171</f>
        <v>20</v>
      </c>
      <c r="D262" s="508">
        <f t="shared" ref="D262:F262" si="95">D171</f>
        <v>0.3</v>
      </c>
      <c r="E262" s="508">
        <f t="shared" si="95"/>
        <v>0.2</v>
      </c>
      <c r="F262" s="508">
        <f t="shared" si="95"/>
        <v>0</v>
      </c>
      <c r="G262" s="508">
        <f>G171</f>
        <v>4.9999999999999989E-2</v>
      </c>
      <c r="I262" s="1263"/>
      <c r="J262" s="508">
        <v>16</v>
      </c>
      <c r="K262" s="508">
        <f>J171</f>
        <v>40</v>
      </c>
      <c r="L262" s="508">
        <f>K171</f>
        <v>-2.2999999999999998</v>
      </c>
      <c r="M262" s="508">
        <f>L171</f>
        <v>-1.4</v>
      </c>
      <c r="N262" s="508">
        <f>M171</f>
        <v>0</v>
      </c>
      <c r="O262" s="508">
        <f>N171</f>
        <v>0.44999999999999996</v>
      </c>
      <c r="Q262" s="1263"/>
      <c r="R262" s="508">
        <v>16</v>
      </c>
      <c r="S262" s="508">
        <f>Q171</f>
        <v>970</v>
      </c>
      <c r="T262" s="508">
        <f>R171</f>
        <v>4.5</v>
      </c>
      <c r="U262" s="508">
        <f>S171</f>
        <v>-2.2999999999999998</v>
      </c>
      <c r="V262" s="508">
        <f>T171</f>
        <v>0</v>
      </c>
      <c r="W262" s="366">
        <f>U171</f>
        <v>3.4</v>
      </c>
      <c r="Y262" s="506">
        <v>14</v>
      </c>
      <c r="Z262" s="507">
        <f>X147</f>
        <v>2.2999999999999998</v>
      </c>
      <c r="AE262" s="327"/>
    </row>
    <row r="263" spans="1:31" ht="13" hidden="1">
      <c r="A263" s="1263"/>
      <c r="B263" s="508">
        <v>17</v>
      </c>
      <c r="C263" s="508">
        <f>C182</f>
        <v>20</v>
      </c>
      <c r="D263" s="508">
        <f>D182</f>
        <v>0.4</v>
      </c>
      <c r="E263" s="508">
        <f>E182</f>
        <v>0.1</v>
      </c>
      <c r="F263" s="508">
        <f t="shared" ref="F263" si="96">F182</f>
        <v>0</v>
      </c>
      <c r="G263" s="508">
        <f>G182</f>
        <v>0.15000000000000002</v>
      </c>
      <c r="I263" s="1263"/>
      <c r="J263" s="508">
        <v>17</v>
      </c>
      <c r="K263" s="508">
        <f>J182</f>
        <v>40</v>
      </c>
      <c r="L263" s="508">
        <f>K182</f>
        <v>-2.4</v>
      </c>
      <c r="M263" s="508">
        <f>L182</f>
        <v>0.2</v>
      </c>
      <c r="N263" s="508">
        <f>M182</f>
        <v>0</v>
      </c>
      <c r="O263" s="508">
        <f>N182</f>
        <v>1.3</v>
      </c>
      <c r="Q263" s="1263"/>
      <c r="R263" s="508">
        <v>17</v>
      </c>
      <c r="S263" s="508">
        <f>Q182</f>
        <v>970</v>
      </c>
      <c r="T263" s="508">
        <f>R182</f>
        <v>4.5</v>
      </c>
      <c r="U263" s="508">
        <f>S182</f>
        <v>-0.6</v>
      </c>
      <c r="V263" s="508">
        <f>T182</f>
        <v>0</v>
      </c>
      <c r="W263" s="366">
        <f>U182</f>
        <v>2.5499999999999998</v>
      </c>
      <c r="Y263" s="506">
        <v>15</v>
      </c>
      <c r="Z263" s="507">
        <f>X158</f>
        <v>2.2999999999999998</v>
      </c>
      <c r="AE263" s="327"/>
    </row>
    <row r="264" spans="1:31" ht="13" hidden="1">
      <c r="A264" s="1263"/>
      <c r="B264" s="508">
        <v>18</v>
      </c>
      <c r="C264" s="508">
        <f>C193</f>
        <v>20</v>
      </c>
      <c r="D264" s="508">
        <f t="shared" ref="D264:F264" si="97">D193</f>
        <v>0.2</v>
      </c>
      <c r="E264" s="508">
        <f t="shared" si="97"/>
        <v>-0.1</v>
      </c>
      <c r="F264" s="508">
        <f t="shared" si="97"/>
        <v>0</v>
      </c>
      <c r="G264" s="508">
        <f>G193</f>
        <v>0.15000000000000002</v>
      </c>
      <c r="I264" s="1263"/>
      <c r="J264" s="508">
        <v>18</v>
      </c>
      <c r="K264" s="508">
        <f>J193</f>
        <v>40</v>
      </c>
      <c r="L264" s="508">
        <f>K193</f>
        <v>-2.9</v>
      </c>
      <c r="M264" s="508">
        <f>L193</f>
        <v>-0.2</v>
      </c>
      <c r="N264" s="508">
        <f>M193</f>
        <v>0</v>
      </c>
      <c r="O264" s="508">
        <f>N193</f>
        <v>1.3499999999999999</v>
      </c>
      <c r="Q264" s="1263"/>
      <c r="R264" s="508">
        <v>18</v>
      </c>
      <c r="S264" s="508">
        <f>Q193</f>
        <v>970</v>
      </c>
      <c r="T264" s="508">
        <f>R193</f>
        <v>4.4000000000000004</v>
      </c>
      <c r="U264" s="508">
        <f>S193</f>
        <v>-1.3</v>
      </c>
      <c r="V264" s="508">
        <f>T193</f>
        <v>0</v>
      </c>
      <c r="W264" s="366">
        <f>U193</f>
        <v>2.85</v>
      </c>
      <c r="Y264" s="506">
        <v>16</v>
      </c>
      <c r="Z264" s="507">
        <f>X169</f>
        <v>2.2999999999999998</v>
      </c>
      <c r="AE264" s="327"/>
    </row>
    <row r="265" spans="1:31" ht="13" hidden="1">
      <c r="A265" s="1263"/>
      <c r="B265" s="508">
        <v>19</v>
      </c>
      <c r="C265" s="508">
        <f>C204</f>
        <v>20</v>
      </c>
      <c r="D265" s="508">
        <f t="shared" ref="D265:F265" si="98">D204</f>
        <v>0.3</v>
      </c>
      <c r="E265" s="508">
        <f t="shared" si="98"/>
        <v>0.1</v>
      </c>
      <c r="F265" s="508">
        <f t="shared" si="98"/>
        <v>0</v>
      </c>
      <c r="G265" s="508">
        <f>G204</f>
        <v>9.9999999999999992E-2</v>
      </c>
      <c r="I265" s="1263"/>
      <c r="J265" s="508">
        <v>19</v>
      </c>
      <c r="K265" s="508">
        <f>J204</f>
        <v>40</v>
      </c>
      <c r="L265" s="508">
        <f>K204</f>
        <v>-2.4</v>
      </c>
      <c r="M265" s="508">
        <f>L204</f>
        <v>-0.8</v>
      </c>
      <c r="N265" s="508">
        <f>M204</f>
        <v>0</v>
      </c>
      <c r="O265" s="508">
        <f>N204</f>
        <v>0.79999999999999993</v>
      </c>
      <c r="Q265" s="1263"/>
      <c r="R265" s="508">
        <v>19</v>
      </c>
      <c r="S265" s="508">
        <f>Q204</f>
        <v>800</v>
      </c>
      <c r="T265" s="508">
        <f>R204</f>
        <v>4.5</v>
      </c>
      <c r="U265" s="508">
        <f>S204</f>
        <v>2.5</v>
      </c>
      <c r="V265" s="508">
        <f>T204</f>
        <v>0</v>
      </c>
      <c r="W265" s="366">
        <f>U204</f>
        <v>1</v>
      </c>
      <c r="Y265" s="506">
        <v>17</v>
      </c>
      <c r="Z265" s="507">
        <f>X180</f>
        <v>2.2999999999999998</v>
      </c>
      <c r="AE265" s="327"/>
    </row>
    <row r="266" spans="1:31" ht="13.5" hidden="1" thickBot="1">
      <c r="A266" s="1263"/>
      <c r="B266" s="508">
        <v>20</v>
      </c>
      <c r="C266" s="508">
        <f>C215</f>
        <v>19.7</v>
      </c>
      <c r="D266" s="508">
        <f t="shared" ref="D266:F266" si="99">D215</f>
        <v>9.9999999999999995E-7</v>
      </c>
      <c r="E266" s="508" t="str">
        <f t="shared" si="99"/>
        <v>-</v>
      </c>
      <c r="F266" s="508">
        <f t="shared" si="99"/>
        <v>9.9999999999999995E-7</v>
      </c>
      <c r="G266" s="508">
        <f>G215</f>
        <v>0</v>
      </c>
      <c r="I266" s="1263"/>
      <c r="J266" s="508">
        <v>20</v>
      </c>
      <c r="K266" s="508">
        <f>J215</f>
        <v>54.3</v>
      </c>
      <c r="L266" s="508">
        <f>K215</f>
        <v>9.9999999999999995E-7</v>
      </c>
      <c r="M266" s="508" t="str">
        <f>L215</f>
        <v>-</v>
      </c>
      <c r="N266" s="508">
        <f>M215</f>
        <v>0</v>
      </c>
      <c r="O266" s="508">
        <f>N215</f>
        <v>0</v>
      </c>
      <c r="Q266" s="1265"/>
      <c r="R266" s="510">
        <v>20</v>
      </c>
      <c r="S266" s="510">
        <f>Q215</f>
        <v>800</v>
      </c>
      <c r="T266" s="510">
        <f>R215</f>
        <v>9.9999999999999995E-7</v>
      </c>
      <c r="U266" s="510" t="str">
        <f>S215</f>
        <v>-</v>
      </c>
      <c r="V266" s="510">
        <f>T215</f>
        <v>9.9999999999999995E-7</v>
      </c>
      <c r="W266" s="383">
        <f>U215</f>
        <v>0</v>
      </c>
      <c r="Y266" s="506">
        <v>18</v>
      </c>
      <c r="Z266" s="507">
        <f>X191</f>
        <v>2.2999999999999998</v>
      </c>
      <c r="AE266" s="376"/>
    </row>
    <row r="267" spans="1:31" ht="13" hidden="1">
      <c r="A267" s="333"/>
      <c r="B267" s="333"/>
      <c r="C267" s="333"/>
      <c r="D267" s="333"/>
      <c r="E267" s="333"/>
      <c r="F267" s="321"/>
      <c r="G267" s="333"/>
      <c r="I267" s="333"/>
      <c r="J267" s="333"/>
      <c r="K267" s="333"/>
      <c r="L267" s="333"/>
      <c r="M267" s="333"/>
      <c r="N267" s="321"/>
      <c r="O267" s="333"/>
      <c r="Q267" s="330"/>
      <c r="R267" s="331"/>
      <c r="S267" s="283"/>
      <c r="T267" s="283"/>
      <c r="U267" s="283"/>
      <c r="W267" s="284"/>
      <c r="Y267" s="506">
        <v>19</v>
      </c>
      <c r="Z267" s="371">
        <f>X202</f>
        <v>2.2999999999999998</v>
      </c>
      <c r="AE267" s="327"/>
    </row>
    <row r="268" spans="1:31" ht="13.5" hidden="1" thickBot="1">
      <c r="A268" s="1263">
        <v>3</v>
      </c>
      <c r="B268" s="508">
        <v>1</v>
      </c>
      <c r="C268" s="508">
        <f>C7</f>
        <v>25</v>
      </c>
      <c r="D268" s="508">
        <f t="shared" ref="D268:F268" si="100">D7</f>
        <v>-0.1</v>
      </c>
      <c r="E268" s="508">
        <f t="shared" si="100"/>
        <v>0.1</v>
      </c>
      <c r="F268" s="508">
        <f t="shared" si="100"/>
        <v>9.9999999999999995E-7</v>
      </c>
      <c r="G268" s="508">
        <f>G7</f>
        <v>0.1</v>
      </c>
      <c r="I268" s="1263">
        <v>3</v>
      </c>
      <c r="J268" s="508">
        <v>1</v>
      </c>
      <c r="K268" s="508">
        <f>J7</f>
        <v>50</v>
      </c>
      <c r="L268" s="508">
        <f>K7</f>
        <v>-6.6</v>
      </c>
      <c r="M268" s="508">
        <f>L7</f>
        <v>-9.1</v>
      </c>
      <c r="N268" s="508">
        <f>M7</f>
        <v>-5.3</v>
      </c>
      <c r="O268" s="508">
        <f>N7</f>
        <v>1.9</v>
      </c>
      <c r="Q268" s="1264">
        <v>3</v>
      </c>
      <c r="R268" s="509">
        <v>1</v>
      </c>
      <c r="S268" s="509">
        <f>Q7</f>
        <v>850</v>
      </c>
      <c r="T268" s="509" t="str">
        <f>R7</f>
        <v>-</v>
      </c>
      <c r="U268" s="509" t="str">
        <f>S7</f>
        <v>-</v>
      </c>
      <c r="V268" s="509">
        <f>T7</f>
        <v>9.9999999999999995E-7</v>
      </c>
      <c r="W268" s="384">
        <f>U7</f>
        <v>0</v>
      </c>
      <c r="Y268" s="372">
        <v>20</v>
      </c>
      <c r="Z268" s="373">
        <f>X213</f>
        <v>0</v>
      </c>
      <c r="AE268" s="381"/>
    </row>
    <row r="269" spans="1:31" ht="13" hidden="1">
      <c r="A269" s="1263"/>
      <c r="B269" s="508">
        <v>2</v>
      </c>
      <c r="C269" s="508">
        <f>C18</f>
        <v>25</v>
      </c>
      <c r="D269" s="508">
        <f t="shared" ref="D269:F269" si="101">D18</f>
        <v>0.3</v>
      </c>
      <c r="E269" s="508">
        <f t="shared" si="101"/>
        <v>0.5</v>
      </c>
      <c r="F269" s="508">
        <f t="shared" si="101"/>
        <v>-0.2</v>
      </c>
      <c r="G269" s="508">
        <f>G18</f>
        <v>0.35</v>
      </c>
      <c r="I269" s="1263"/>
      <c r="J269" s="508">
        <v>2</v>
      </c>
      <c r="K269" s="508">
        <f>J18</f>
        <v>50</v>
      </c>
      <c r="L269" s="508">
        <f>K18</f>
        <v>-8</v>
      </c>
      <c r="M269" s="508">
        <f>L18</f>
        <v>-5.3</v>
      </c>
      <c r="N269" s="508">
        <f>M18</f>
        <v>-1.5</v>
      </c>
      <c r="O269" s="508">
        <f>N18</f>
        <v>3.25</v>
      </c>
      <c r="Q269" s="1263"/>
      <c r="R269" s="508">
        <v>2</v>
      </c>
      <c r="S269" s="508">
        <f>Q18</f>
        <v>850</v>
      </c>
      <c r="T269" s="508" t="str">
        <f>R18</f>
        <v>-</v>
      </c>
      <c r="U269" s="508" t="str">
        <f>S18</f>
        <v>-</v>
      </c>
      <c r="V269" s="508" t="str">
        <f>T18</f>
        <v>-</v>
      </c>
      <c r="W269" s="366">
        <f>U18</f>
        <v>0</v>
      </c>
      <c r="AE269" s="327"/>
    </row>
    <row r="270" spans="1:31" ht="13" hidden="1">
      <c r="A270" s="1263"/>
      <c r="B270" s="508">
        <v>3</v>
      </c>
      <c r="C270" s="508">
        <f>C29</f>
        <v>25</v>
      </c>
      <c r="D270" s="508">
        <f t="shared" ref="D270:F270" si="102">D29</f>
        <v>0.3</v>
      </c>
      <c r="E270" s="508">
        <f t="shared" si="102"/>
        <v>0.7</v>
      </c>
      <c r="F270" s="508">
        <f t="shared" si="102"/>
        <v>-0.1</v>
      </c>
      <c r="G270" s="508">
        <f>G29</f>
        <v>0.39999999999999997</v>
      </c>
      <c r="I270" s="1263"/>
      <c r="J270" s="508">
        <v>3</v>
      </c>
      <c r="K270" s="508">
        <f>J29</f>
        <v>50</v>
      </c>
      <c r="L270" s="508">
        <f>K29</f>
        <v>-7.9</v>
      </c>
      <c r="M270" s="508">
        <f>L29</f>
        <v>-4.5</v>
      </c>
      <c r="N270" s="508">
        <f>M29</f>
        <v>-4.9000000000000004</v>
      </c>
      <c r="O270" s="508">
        <f>N29</f>
        <v>1.7000000000000002</v>
      </c>
      <c r="Q270" s="1263"/>
      <c r="R270" s="508">
        <v>3</v>
      </c>
      <c r="S270" s="508">
        <f>Q29</f>
        <v>850</v>
      </c>
      <c r="T270" s="508" t="str">
        <f>R29</f>
        <v>-</v>
      </c>
      <c r="U270" s="508" t="str">
        <f>S29</f>
        <v>-</v>
      </c>
      <c r="V270" s="508" t="str">
        <f>T29</f>
        <v>-</v>
      </c>
      <c r="W270" s="366">
        <f>U29</f>
        <v>0</v>
      </c>
      <c r="AE270" s="327"/>
    </row>
    <row r="271" spans="1:31" ht="13" hidden="1">
      <c r="A271" s="1263"/>
      <c r="B271" s="508">
        <v>4</v>
      </c>
      <c r="C271" s="508">
        <f>C40</f>
        <v>25</v>
      </c>
      <c r="D271" s="508">
        <f t="shared" ref="D271:F271" si="103">D40</f>
        <v>-0.1</v>
      </c>
      <c r="E271" s="508">
        <f t="shared" si="103"/>
        <v>-0.5</v>
      </c>
      <c r="F271" s="508">
        <f t="shared" si="103"/>
        <v>0</v>
      </c>
      <c r="G271" s="508">
        <f>G40</f>
        <v>0.2</v>
      </c>
      <c r="I271" s="1263"/>
      <c r="J271" s="508">
        <v>4</v>
      </c>
      <c r="K271" s="508">
        <f>J40</f>
        <v>50</v>
      </c>
      <c r="L271" s="508">
        <f>K40</f>
        <v>-4.3</v>
      </c>
      <c r="M271" s="508">
        <f>L40</f>
        <v>-1</v>
      </c>
      <c r="N271" s="508">
        <f>M40</f>
        <v>0</v>
      </c>
      <c r="O271" s="508">
        <f>N40</f>
        <v>1.65</v>
      </c>
      <c r="Q271" s="1263"/>
      <c r="R271" s="508">
        <v>4</v>
      </c>
      <c r="S271" s="508">
        <f>Q40</f>
        <v>850</v>
      </c>
      <c r="T271" s="508" t="str">
        <f>R40</f>
        <v>-</v>
      </c>
      <c r="U271" s="508" t="str">
        <f>S40</f>
        <v>-</v>
      </c>
      <c r="V271" s="508">
        <f>T40</f>
        <v>9.9999999999999995E-7</v>
      </c>
      <c r="W271" s="366">
        <f>U40</f>
        <v>0</v>
      </c>
      <c r="Y271" s="1253" t="s">
        <v>371</v>
      </c>
      <c r="Z271" s="1254"/>
      <c r="AE271" s="327"/>
    </row>
    <row r="272" spans="1:31" ht="13" hidden="1">
      <c r="A272" s="1263"/>
      <c r="B272" s="508">
        <v>5</v>
      </c>
      <c r="C272" s="508">
        <f>C51</f>
        <v>25</v>
      </c>
      <c r="D272" s="508">
        <f t="shared" ref="D272:F272" si="104">D51</f>
        <v>0.4</v>
      </c>
      <c r="E272" s="508">
        <f t="shared" si="104"/>
        <v>0.2</v>
      </c>
      <c r="F272" s="508">
        <f t="shared" si="104"/>
        <v>0.4</v>
      </c>
      <c r="G272" s="508">
        <f>G51</f>
        <v>0.1</v>
      </c>
      <c r="I272" s="1263"/>
      <c r="J272" s="508">
        <v>5</v>
      </c>
      <c r="K272" s="508">
        <f>J51</f>
        <v>50</v>
      </c>
      <c r="L272" s="508">
        <f>K51</f>
        <v>-8.8000000000000007</v>
      </c>
      <c r="M272" s="508">
        <f>L51</f>
        <v>-9.1</v>
      </c>
      <c r="N272" s="508">
        <f>M51</f>
        <v>-6.2</v>
      </c>
      <c r="O272" s="508">
        <f>N51</f>
        <v>1.4499999999999997</v>
      </c>
      <c r="Q272" s="1263"/>
      <c r="R272" s="508">
        <v>5</v>
      </c>
      <c r="S272" s="508">
        <f>Q51</f>
        <v>850</v>
      </c>
      <c r="T272" s="508" t="str">
        <f>R51</f>
        <v>-</v>
      </c>
      <c r="U272" s="508" t="str">
        <f>S51</f>
        <v>-</v>
      </c>
      <c r="V272" s="508" t="str">
        <f>T51</f>
        <v>-</v>
      </c>
      <c r="W272" s="366">
        <f>U51</f>
        <v>0</v>
      </c>
      <c r="Y272" s="1260" t="s">
        <v>459</v>
      </c>
      <c r="Z272" s="1261"/>
      <c r="AE272" s="327"/>
    </row>
    <row r="273" spans="1:31" ht="13" hidden="1">
      <c r="A273" s="1263"/>
      <c r="B273" s="508">
        <v>6</v>
      </c>
      <c r="C273" s="508">
        <f>C62</f>
        <v>25</v>
      </c>
      <c r="D273" s="508">
        <f t="shared" ref="D273:F273" si="105">D62</f>
        <v>0.2</v>
      </c>
      <c r="E273" s="508">
        <f t="shared" si="105"/>
        <v>-0.1</v>
      </c>
      <c r="F273" s="508">
        <f t="shared" si="105"/>
        <v>0</v>
      </c>
      <c r="G273" s="508">
        <f>G62</f>
        <v>0.15000000000000002</v>
      </c>
      <c r="I273" s="1263"/>
      <c r="J273" s="508">
        <v>6</v>
      </c>
      <c r="K273" s="508">
        <f>J62</f>
        <v>50</v>
      </c>
      <c r="L273" s="508">
        <f>K62</f>
        <v>-5.4</v>
      </c>
      <c r="M273" s="508">
        <f>L62</f>
        <v>1.2</v>
      </c>
      <c r="N273" s="508">
        <f>M62</f>
        <v>0</v>
      </c>
      <c r="O273" s="508">
        <f>N62</f>
        <v>3.3000000000000003</v>
      </c>
      <c r="Q273" s="1263"/>
      <c r="R273" s="508">
        <v>6</v>
      </c>
      <c r="S273" s="508">
        <f>Q62</f>
        <v>850</v>
      </c>
      <c r="T273" s="508">
        <f>R62</f>
        <v>0.9</v>
      </c>
      <c r="U273" s="508">
        <f>S62</f>
        <v>1.1000000000000001</v>
      </c>
      <c r="V273" s="508">
        <f>T62</f>
        <v>9.9999999999999995E-7</v>
      </c>
      <c r="W273" s="366">
        <f>U62</f>
        <v>0.54999950000000009</v>
      </c>
      <c r="Y273" s="506">
        <v>1</v>
      </c>
      <c r="Z273" s="507">
        <f>X5</f>
        <v>0</v>
      </c>
      <c r="AE273" s="327"/>
    </row>
    <row r="274" spans="1:31" ht="13" hidden="1">
      <c r="A274" s="1263"/>
      <c r="B274" s="508">
        <v>7</v>
      </c>
      <c r="C274" s="508">
        <f>C73</f>
        <v>25</v>
      </c>
      <c r="D274" s="508">
        <f t="shared" ref="D274:F274" si="106">D73</f>
        <v>9.9999999999999995E-7</v>
      </c>
      <c r="E274" s="508">
        <f t="shared" si="106"/>
        <v>-0.2</v>
      </c>
      <c r="F274" s="508">
        <f t="shared" si="106"/>
        <v>0</v>
      </c>
      <c r="G274" s="508">
        <f>G73</f>
        <v>0.10000050000000001</v>
      </c>
      <c r="I274" s="1263"/>
      <c r="J274" s="508">
        <v>7</v>
      </c>
      <c r="K274" s="508">
        <f>J73</f>
        <v>50</v>
      </c>
      <c r="L274" s="508">
        <f>K73</f>
        <v>-1.9</v>
      </c>
      <c r="M274" s="508">
        <f>L73</f>
        <v>0.8</v>
      </c>
      <c r="N274" s="508">
        <f>M73</f>
        <v>0</v>
      </c>
      <c r="O274" s="508">
        <f>N73</f>
        <v>1.35</v>
      </c>
      <c r="Q274" s="1263"/>
      <c r="R274" s="508">
        <v>7</v>
      </c>
      <c r="S274" s="508">
        <f>Q73</f>
        <v>850</v>
      </c>
      <c r="T274" s="508">
        <f>R73</f>
        <v>9.9999999999999995E-7</v>
      </c>
      <c r="U274" s="508">
        <f>S73</f>
        <v>1.7</v>
      </c>
      <c r="V274" s="508">
        <f>T73</f>
        <v>9.9999999999999995E-7</v>
      </c>
      <c r="W274" s="366">
        <f>U73</f>
        <v>0.84999950000000002</v>
      </c>
      <c r="Y274" s="367">
        <v>2</v>
      </c>
      <c r="Z274" s="507">
        <f>X16</f>
        <v>0</v>
      </c>
      <c r="AE274" s="327"/>
    </row>
    <row r="275" spans="1:31" ht="13" hidden="1">
      <c r="A275" s="1263"/>
      <c r="B275" s="508">
        <v>8</v>
      </c>
      <c r="C275" s="508">
        <f>C84</f>
        <v>25</v>
      </c>
      <c r="D275" s="508">
        <f t="shared" ref="D275:F275" si="107">D84</f>
        <v>0</v>
      </c>
      <c r="E275" s="508">
        <f t="shared" si="107"/>
        <v>-0.1</v>
      </c>
      <c r="F275" s="508">
        <f t="shared" si="107"/>
        <v>-0.4</v>
      </c>
      <c r="G275" s="508">
        <f>G84</f>
        <v>0.2</v>
      </c>
      <c r="I275" s="1263"/>
      <c r="J275" s="508">
        <v>8</v>
      </c>
      <c r="K275" s="508">
        <f>J84</f>
        <v>50</v>
      </c>
      <c r="L275" s="508">
        <f>K84</f>
        <v>-5</v>
      </c>
      <c r="M275" s="508">
        <f>L84</f>
        <v>-3.8</v>
      </c>
      <c r="N275" s="508">
        <f>M84</f>
        <v>-1.2</v>
      </c>
      <c r="O275" s="508">
        <f>N84</f>
        <v>1.9</v>
      </c>
      <c r="Q275" s="1263"/>
      <c r="R275" s="508">
        <v>8</v>
      </c>
      <c r="S275" s="508">
        <f>Q84</f>
        <v>980</v>
      </c>
      <c r="T275" s="508">
        <f>R84</f>
        <v>-0.6</v>
      </c>
      <c r="U275" s="508">
        <f>S84</f>
        <v>-3.8</v>
      </c>
      <c r="V275" s="508">
        <f>T84</f>
        <v>9.9999999999999995E-7</v>
      </c>
      <c r="W275" s="366">
        <f>U84</f>
        <v>1.9000005</v>
      </c>
      <c r="Y275" s="367">
        <v>3</v>
      </c>
      <c r="Z275" s="368">
        <f>X27</f>
        <v>0</v>
      </c>
      <c r="AE275" s="327"/>
    </row>
    <row r="276" spans="1:31" ht="13" hidden="1">
      <c r="A276" s="1263"/>
      <c r="B276" s="508">
        <v>9</v>
      </c>
      <c r="C276" s="508">
        <f>C95</f>
        <v>25</v>
      </c>
      <c r="D276" s="508">
        <f t="shared" ref="D276:F276" si="108">D95</f>
        <v>-0.4</v>
      </c>
      <c r="E276" s="508" t="str">
        <f t="shared" si="108"/>
        <v>-</v>
      </c>
      <c r="F276" s="508">
        <f t="shared" si="108"/>
        <v>0</v>
      </c>
      <c r="G276" s="508">
        <f>G95</f>
        <v>0</v>
      </c>
      <c r="I276" s="1263"/>
      <c r="J276" s="508">
        <v>9</v>
      </c>
      <c r="K276" s="508">
        <f>J95</f>
        <v>50</v>
      </c>
      <c r="L276" s="508">
        <f>K95</f>
        <v>-0.9</v>
      </c>
      <c r="M276" s="508" t="str">
        <f>L95</f>
        <v>-</v>
      </c>
      <c r="N276" s="508">
        <f>M95</f>
        <v>0</v>
      </c>
      <c r="O276" s="508">
        <f>N95</f>
        <v>0</v>
      </c>
      <c r="Q276" s="1263"/>
      <c r="R276" s="508">
        <v>9</v>
      </c>
      <c r="S276" s="508">
        <f>Q95</f>
        <v>850</v>
      </c>
      <c r="T276" s="508">
        <f>R95</f>
        <v>9.9999999999999995E-7</v>
      </c>
      <c r="U276" s="508" t="str">
        <f>S95</f>
        <v>-</v>
      </c>
      <c r="V276" s="508">
        <f>T95</f>
        <v>9.9999999999999995E-7</v>
      </c>
      <c r="W276" s="366">
        <f>U95</f>
        <v>0</v>
      </c>
      <c r="Y276" s="367">
        <v>4</v>
      </c>
      <c r="Z276" s="368">
        <f>X38</f>
        <v>0</v>
      </c>
      <c r="AE276" s="327"/>
    </row>
    <row r="277" spans="1:31" ht="13" hidden="1">
      <c r="A277" s="1263"/>
      <c r="B277" s="508">
        <v>10</v>
      </c>
      <c r="C277" s="508">
        <f>C106</f>
        <v>25</v>
      </c>
      <c r="D277" s="508">
        <f t="shared" ref="D277:F277" si="109">D106</f>
        <v>0.1</v>
      </c>
      <c r="E277" s="508">
        <f t="shared" si="109"/>
        <v>-0.5</v>
      </c>
      <c r="F277" s="508">
        <f t="shared" si="109"/>
        <v>0</v>
      </c>
      <c r="G277" s="508">
        <f>G106</f>
        <v>0.3</v>
      </c>
      <c r="I277" s="1263"/>
      <c r="J277" s="508">
        <v>10</v>
      </c>
      <c r="K277" s="508">
        <f>J106</f>
        <v>50</v>
      </c>
      <c r="L277" s="508">
        <f>K106</f>
        <v>-3.1</v>
      </c>
      <c r="M277" s="508">
        <f>L106</f>
        <v>-6.1</v>
      </c>
      <c r="N277" s="508">
        <f>M106</f>
        <v>0</v>
      </c>
      <c r="O277" s="508">
        <f>N106</f>
        <v>1.4999999999999998</v>
      </c>
      <c r="Q277" s="1263"/>
      <c r="R277" s="508">
        <v>10</v>
      </c>
      <c r="S277" s="508">
        <f>Q106</f>
        <v>850</v>
      </c>
      <c r="T277" s="508" t="str">
        <f>R106</f>
        <v>-</v>
      </c>
      <c r="U277" s="508" t="str">
        <f>S106</f>
        <v>-</v>
      </c>
      <c r="V277" s="508">
        <f>T106</f>
        <v>9.9999999999999995E-7</v>
      </c>
      <c r="W277" s="366">
        <f>U106</f>
        <v>0</v>
      </c>
      <c r="Y277" s="367">
        <v>5</v>
      </c>
      <c r="Z277" s="368">
        <f>X49</f>
        <v>0</v>
      </c>
      <c r="AE277" s="327"/>
    </row>
    <row r="278" spans="1:31" ht="13" hidden="1">
      <c r="A278" s="1263"/>
      <c r="B278" s="508">
        <v>11</v>
      </c>
      <c r="C278" s="508">
        <f>C117</f>
        <v>25</v>
      </c>
      <c r="D278" s="508">
        <f t="shared" ref="D278:F278" si="110">D117</f>
        <v>0.4</v>
      </c>
      <c r="E278" s="508">
        <f t="shared" si="110"/>
        <v>0.5</v>
      </c>
      <c r="F278" s="508">
        <f t="shared" si="110"/>
        <v>0</v>
      </c>
      <c r="G278" s="508">
        <f>G117</f>
        <v>4.9999999999999989E-2</v>
      </c>
      <c r="I278" s="1263"/>
      <c r="J278" s="508">
        <v>11</v>
      </c>
      <c r="K278" s="508">
        <f>J117</f>
        <v>50</v>
      </c>
      <c r="L278" s="508">
        <f>K117</f>
        <v>-5.5</v>
      </c>
      <c r="M278" s="508">
        <f>L117</f>
        <v>-5.6</v>
      </c>
      <c r="N278" s="508">
        <f>M117</f>
        <v>0</v>
      </c>
      <c r="O278" s="508">
        <f>N117</f>
        <v>4.9999999999999822E-2</v>
      </c>
      <c r="Q278" s="1263"/>
      <c r="R278" s="508">
        <v>11</v>
      </c>
      <c r="S278" s="508">
        <f>Q117</f>
        <v>850</v>
      </c>
      <c r="T278" s="508" t="str">
        <f>R117</f>
        <v>-</v>
      </c>
      <c r="U278" s="508" t="str">
        <f>S117</f>
        <v>-</v>
      </c>
      <c r="V278" s="508">
        <f>T117</f>
        <v>9.9999999999999995E-7</v>
      </c>
      <c r="W278" s="366">
        <f>U117</f>
        <v>0</v>
      </c>
      <c r="Y278" s="506">
        <v>6</v>
      </c>
      <c r="Z278" s="507">
        <f>X60</f>
        <v>1.6</v>
      </c>
      <c r="AE278" s="327"/>
    </row>
    <row r="279" spans="1:31" ht="13" hidden="1">
      <c r="A279" s="1263"/>
      <c r="B279" s="508">
        <v>12</v>
      </c>
      <c r="C279" s="508">
        <f>C128</f>
        <v>25</v>
      </c>
      <c r="D279" s="508">
        <f t="shared" ref="D279:F279" si="111">D128</f>
        <v>0.4</v>
      </c>
      <c r="E279" s="508">
        <f t="shared" si="111"/>
        <v>9.9999999999999995E-7</v>
      </c>
      <c r="F279" s="508">
        <f t="shared" si="111"/>
        <v>0</v>
      </c>
      <c r="G279" s="508">
        <f>G128</f>
        <v>0.19999950000000002</v>
      </c>
      <c r="I279" s="1263"/>
      <c r="J279" s="508">
        <v>12</v>
      </c>
      <c r="K279" s="508">
        <f>J128</f>
        <v>50</v>
      </c>
      <c r="L279" s="508">
        <f>K128</f>
        <v>-3.2</v>
      </c>
      <c r="M279" s="508">
        <f>L128</f>
        <v>9.9999999999999995E-7</v>
      </c>
      <c r="N279" s="508">
        <f>M128</f>
        <v>0</v>
      </c>
      <c r="O279" s="508">
        <f>N128</f>
        <v>1.6000005000000002</v>
      </c>
      <c r="Q279" s="1263"/>
      <c r="R279" s="508">
        <v>12</v>
      </c>
      <c r="S279" s="508">
        <f>Q128</f>
        <v>980</v>
      </c>
      <c r="T279" s="508">
        <f>R128</f>
        <v>4.0999999999999996</v>
      </c>
      <c r="U279" s="508">
        <f>S128</f>
        <v>-0.6</v>
      </c>
      <c r="V279" s="508">
        <f>T128</f>
        <v>0</v>
      </c>
      <c r="W279" s="366">
        <f>U128</f>
        <v>2.3499999999999996</v>
      </c>
      <c r="Y279" s="506">
        <v>7</v>
      </c>
      <c r="Z279" s="507">
        <f>X71</f>
        <v>2.4</v>
      </c>
      <c r="AE279" s="327"/>
    </row>
    <row r="280" spans="1:31" ht="13" hidden="1">
      <c r="A280" s="1263"/>
      <c r="B280" s="508">
        <v>13</v>
      </c>
      <c r="C280" s="508">
        <f>C139</f>
        <v>25</v>
      </c>
      <c r="D280" s="508">
        <f t="shared" ref="D280:F280" si="112">D139</f>
        <v>0.3</v>
      </c>
      <c r="E280" s="508">
        <f t="shared" si="112"/>
        <v>0.1</v>
      </c>
      <c r="F280" s="508">
        <f t="shared" si="112"/>
        <v>-0.2</v>
      </c>
      <c r="G280" s="508">
        <f>G139</f>
        <v>0.25</v>
      </c>
      <c r="I280" s="1263"/>
      <c r="J280" s="508">
        <v>13</v>
      </c>
      <c r="K280" s="508">
        <f>J139</f>
        <v>50</v>
      </c>
      <c r="L280" s="508">
        <f>K139</f>
        <v>-3.6</v>
      </c>
      <c r="M280" s="508">
        <f>L139</f>
        <v>-1.8</v>
      </c>
      <c r="N280" s="508">
        <f>M139</f>
        <v>-1.3</v>
      </c>
      <c r="O280" s="508">
        <f>N139</f>
        <v>1.1499999999999999</v>
      </c>
      <c r="Q280" s="1263"/>
      <c r="R280" s="508">
        <v>13</v>
      </c>
      <c r="S280" s="508">
        <f>Q139</f>
        <v>995</v>
      </c>
      <c r="T280" s="508">
        <f>R139</f>
        <v>0</v>
      </c>
      <c r="U280" s="508">
        <f>S139</f>
        <v>3.7</v>
      </c>
      <c r="V280" s="508">
        <f>T139</f>
        <v>1</v>
      </c>
      <c r="W280" s="366">
        <f>U139</f>
        <v>1.35</v>
      </c>
      <c r="Y280" s="506">
        <v>8</v>
      </c>
      <c r="Z280" s="507">
        <f>X82</f>
        <v>2.5</v>
      </c>
      <c r="AE280" s="327"/>
    </row>
    <row r="281" spans="1:31" ht="13" hidden="1">
      <c r="A281" s="1263"/>
      <c r="B281" s="508">
        <v>14</v>
      </c>
      <c r="C281" s="508">
        <f>C150</f>
        <v>25</v>
      </c>
      <c r="D281" s="508">
        <f t="shared" ref="D281:F281" si="113">D150</f>
        <v>0.2</v>
      </c>
      <c r="E281" s="508">
        <f t="shared" si="113"/>
        <v>-0.1</v>
      </c>
      <c r="F281" s="508">
        <f t="shared" si="113"/>
        <v>-0.1</v>
      </c>
      <c r="G281" s="508">
        <f>G150</f>
        <v>0.15000000000000002</v>
      </c>
      <c r="I281" s="1263"/>
      <c r="J281" s="508">
        <v>14</v>
      </c>
      <c r="K281" s="508">
        <f>J151</f>
        <v>60</v>
      </c>
      <c r="L281" s="508">
        <f>K151</f>
        <v>-1.8</v>
      </c>
      <c r="M281" s="508">
        <f>L151</f>
        <v>0.3</v>
      </c>
      <c r="N281" s="508">
        <f>M151</f>
        <v>-0.6</v>
      </c>
      <c r="O281" s="508">
        <f>N151</f>
        <v>1.05</v>
      </c>
      <c r="Q281" s="1263"/>
      <c r="R281" s="508">
        <v>14</v>
      </c>
      <c r="S281" s="508">
        <f>Q150</f>
        <v>995</v>
      </c>
      <c r="T281" s="508">
        <f>R150</f>
        <v>0</v>
      </c>
      <c r="U281" s="508">
        <f>S150</f>
        <v>3.8</v>
      </c>
      <c r="V281" s="508">
        <f>T150</f>
        <v>1</v>
      </c>
      <c r="W281" s="366">
        <f>U150</f>
        <v>1.4</v>
      </c>
      <c r="Y281" s="506">
        <v>9</v>
      </c>
      <c r="Z281" s="507">
        <f>X93</f>
        <v>2.2000000000000002</v>
      </c>
      <c r="AE281" s="327"/>
    </row>
    <row r="282" spans="1:31" ht="13" hidden="1">
      <c r="A282" s="1263"/>
      <c r="B282" s="508">
        <v>15</v>
      </c>
      <c r="C282" s="508">
        <f>C161</f>
        <v>25</v>
      </c>
      <c r="D282" s="508">
        <f t="shared" ref="D282:F282" si="114">D161</f>
        <v>0.3</v>
      </c>
      <c r="E282" s="508">
        <f t="shared" si="114"/>
        <v>0.2</v>
      </c>
      <c r="F282" s="508">
        <f t="shared" si="114"/>
        <v>-0.4</v>
      </c>
      <c r="G282" s="508">
        <f>G161</f>
        <v>0.35</v>
      </c>
      <c r="I282" s="1263"/>
      <c r="J282" s="508">
        <v>15</v>
      </c>
      <c r="K282" s="508">
        <f>J161</f>
        <v>50</v>
      </c>
      <c r="L282" s="508">
        <f>K161</f>
        <v>-3.1</v>
      </c>
      <c r="M282" s="508">
        <f>L161</f>
        <v>-1.4</v>
      </c>
      <c r="N282" s="508">
        <f>M161</f>
        <v>-0.3</v>
      </c>
      <c r="O282" s="508">
        <f>N161</f>
        <v>1.4000000000000001</v>
      </c>
      <c r="Q282" s="1263"/>
      <c r="R282" s="508">
        <v>15</v>
      </c>
      <c r="S282" s="508">
        <f>Q161</f>
        <v>995</v>
      </c>
      <c r="T282" s="508">
        <f>R161</f>
        <v>0</v>
      </c>
      <c r="U282" s="508">
        <f>S161</f>
        <v>4.0999999999999996</v>
      </c>
      <c r="V282" s="508">
        <f>T161</f>
        <v>1</v>
      </c>
      <c r="W282" s="366">
        <f>U161</f>
        <v>1.5499999999999998</v>
      </c>
      <c r="Y282" s="506">
        <v>10</v>
      </c>
      <c r="Z282" s="507">
        <f>X104</f>
        <v>0</v>
      </c>
      <c r="AE282" s="327"/>
    </row>
    <row r="283" spans="1:31" ht="13" hidden="1">
      <c r="A283" s="1263"/>
      <c r="B283" s="508">
        <v>16</v>
      </c>
      <c r="C283" s="508">
        <f>C172</f>
        <v>25</v>
      </c>
      <c r="D283" s="508">
        <f t="shared" ref="D283:F283" si="115">D172</f>
        <v>0.5</v>
      </c>
      <c r="E283" s="508">
        <f t="shared" si="115"/>
        <v>0.2</v>
      </c>
      <c r="F283" s="508">
        <f t="shared" si="115"/>
        <v>0</v>
      </c>
      <c r="G283" s="508">
        <f>G172</f>
        <v>0.15</v>
      </c>
      <c r="I283" s="1263"/>
      <c r="J283" s="508">
        <v>16</v>
      </c>
      <c r="K283" s="508">
        <f>J172</f>
        <v>50</v>
      </c>
      <c r="L283" s="508">
        <f>K172</f>
        <v>-2</v>
      </c>
      <c r="M283" s="508">
        <f>L172</f>
        <v>-1.4</v>
      </c>
      <c r="N283" s="508">
        <f>M172</f>
        <v>0</v>
      </c>
      <c r="O283" s="508">
        <f>N172</f>
        <v>0.30000000000000004</v>
      </c>
      <c r="Q283" s="1263"/>
      <c r="R283" s="508">
        <v>16</v>
      </c>
      <c r="S283" s="508">
        <f>Q172</f>
        <v>980</v>
      </c>
      <c r="T283" s="508">
        <f>R172</f>
        <v>4.5</v>
      </c>
      <c r="U283" s="508">
        <f>S172</f>
        <v>-1.7</v>
      </c>
      <c r="V283" s="508">
        <f>T172</f>
        <v>0</v>
      </c>
      <c r="W283" s="366">
        <f>U172</f>
        <v>3.1</v>
      </c>
      <c r="Y283" s="506">
        <v>11</v>
      </c>
      <c r="Z283" s="507">
        <f>X115</f>
        <v>0</v>
      </c>
      <c r="AE283" s="327"/>
    </row>
    <row r="284" spans="1:31" ht="13" hidden="1">
      <c r="A284" s="1263"/>
      <c r="B284" s="508">
        <v>17</v>
      </c>
      <c r="C284" s="508">
        <f>C183</f>
        <v>25</v>
      </c>
      <c r="D284" s="508">
        <f>D183</f>
        <v>0.5</v>
      </c>
      <c r="E284" s="508">
        <f>E183</f>
        <v>9.9999999999999995E-7</v>
      </c>
      <c r="F284" s="508">
        <f t="shared" ref="F284" si="116">F183</f>
        <v>0</v>
      </c>
      <c r="G284" s="508">
        <f>G183</f>
        <v>0.24999950000000001</v>
      </c>
      <c r="I284" s="1263"/>
      <c r="J284" s="508">
        <v>17</v>
      </c>
      <c r="K284" s="508">
        <f>J183</f>
        <v>50</v>
      </c>
      <c r="L284" s="508">
        <f>K183</f>
        <v>-1.9</v>
      </c>
      <c r="M284" s="508">
        <f>L183</f>
        <v>0.2</v>
      </c>
      <c r="N284" s="508">
        <f>M183</f>
        <v>0</v>
      </c>
      <c r="O284" s="508">
        <f>N183</f>
        <v>1.05</v>
      </c>
      <c r="Q284" s="1263"/>
      <c r="R284" s="508">
        <v>17</v>
      </c>
      <c r="S284" s="508">
        <f>Q183</f>
        <v>980</v>
      </c>
      <c r="T284" s="508">
        <f>R183</f>
        <v>4.5</v>
      </c>
      <c r="U284" s="508">
        <f>S183</f>
        <v>-0.6</v>
      </c>
      <c r="V284" s="508">
        <f>T183</f>
        <v>0</v>
      </c>
      <c r="W284" s="366">
        <f>U183</f>
        <v>2.5499999999999998</v>
      </c>
      <c r="Y284" s="506">
        <v>12</v>
      </c>
      <c r="Z284" s="382">
        <f>X126</f>
        <v>2.1</v>
      </c>
      <c r="AE284" s="327"/>
    </row>
    <row r="285" spans="1:31" ht="13" hidden="1">
      <c r="A285" s="1263"/>
      <c r="B285" s="508">
        <v>18</v>
      </c>
      <c r="C285" s="508">
        <f>C194</f>
        <v>25</v>
      </c>
      <c r="D285" s="508">
        <f t="shared" ref="D285:F285" si="117">D194</f>
        <v>0.2</v>
      </c>
      <c r="E285" s="508">
        <f t="shared" si="117"/>
        <v>-0.2</v>
      </c>
      <c r="F285" s="508">
        <f t="shared" si="117"/>
        <v>0</v>
      </c>
      <c r="G285" s="508">
        <f>G194</f>
        <v>0.2</v>
      </c>
      <c r="I285" s="1263"/>
      <c r="J285" s="508">
        <v>18</v>
      </c>
      <c r="K285" s="508">
        <f>J194</f>
        <v>50</v>
      </c>
      <c r="L285" s="508">
        <f>K194</f>
        <v>-2.4</v>
      </c>
      <c r="M285" s="508">
        <f>L194</f>
        <v>-0.2</v>
      </c>
      <c r="N285" s="508">
        <f>M194</f>
        <v>0</v>
      </c>
      <c r="O285" s="508">
        <f>N194</f>
        <v>1.0999999999999999</v>
      </c>
      <c r="Q285" s="1263"/>
      <c r="R285" s="508">
        <v>18</v>
      </c>
      <c r="S285" s="508">
        <f>Q194</f>
        <v>980</v>
      </c>
      <c r="T285" s="508">
        <f>R194</f>
        <v>4.3</v>
      </c>
      <c r="U285" s="508">
        <f>S194</f>
        <v>-1.1000000000000001</v>
      </c>
      <c r="V285" s="508">
        <f>T194</f>
        <v>0</v>
      </c>
      <c r="W285" s="366">
        <f>U194</f>
        <v>2.7</v>
      </c>
      <c r="Y285" s="506">
        <v>13</v>
      </c>
      <c r="Z285" s="507">
        <f>X137</f>
        <v>2.4</v>
      </c>
      <c r="AE285" s="327"/>
    </row>
    <row r="286" spans="1:31" ht="13" hidden="1">
      <c r="A286" s="1263"/>
      <c r="B286" s="508">
        <v>19</v>
      </c>
      <c r="C286" s="508">
        <f>C194</f>
        <v>25</v>
      </c>
      <c r="D286" s="508">
        <f t="shared" ref="D286:F286" si="118">D194</f>
        <v>0.2</v>
      </c>
      <c r="E286" s="508">
        <f t="shared" si="118"/>
        <v>-0.2</v>
      </c>
      <c r="F286" s="508">
        <f t="shared" si="118"/>
        <v>0</v>
      </c>
      <c r="G286" s="508">
        <f>G194</f>
        <v>0.2</v>
      </c>
      <c r="I286" s="1263"/>
      <c r="J286" s="508">
        <v>19</v>
      </c>
      <c r="K286" s="508">
        <f>J205</f>
        <v>50</v>
      </c>
      <c r="L286" s="508">
        <f>K205</f>
        <v>-2.7</v>
      </c>
      <c r="M286" s="508">
        <f>L205</f>
        <v>-0.2</v>
      </c>
      <c r="N286" s="508">
        <f>M205</f>
        <v>0</v>
      </c>
      <c r="O286" s="508">
        <f>N205</f>
        <v>1.25</v>
      </c>
      <c r="Q286" s="1263"/>
      <c r="R286" s="508">
        <v>19</v>
      </c>
      <c r="S286" s="508">
        <f>Q205</f>
        <v>850</v>
      </c>
      <c r="T286" s="508">
        <f>R205</f>
        <v>4.4000000000000004</v>
      </c>
      <c r="U286" s="508">
        <f>S205</f>
        <v>2.4</v>
      </c>
      <c r="V286" s="508">
        <f>T205</f>
        <v>0</v>
      </c>
      <c r="W286" s="366">
        <f>U205</f>
        <v>1.0000000000000002</v>
      </c>
      <c r="Y286" s="506">
        <v>14</v>
      </c>
      <c r="Z286" s="507">
        <f>X148</f>
        <v>2.5</v>
      </c>
      <c r="AE286" s="327"/>
    </row>
    <row r="287" spans="1:31" ht="13.5" hidden="1" thickBot="1">
      <c r="A287" s="1263"/>
      <c r="B287" s="508">
        <v>20</v>
      </c>
      <c r="C287" s="508">
        <f>C216</f>
        <v>24.6</v>
      </c>
      <c r="D287" s="508">
        <f t="shared" ref="D287:F287" si="119">D216</f>
        <v>9.9999999999999995E-7</v>
      </c>
      <c r="E287" s="508" t="str">
        <f t="shared" si="119"/>
        <v>-</v>
      </c>
      <c r="F287" s="508">
        <f t="shared" si="119"/>
        <v>9.9999999999999995E-7</v>
      </c>
      <c r="G287" s="508">
        <f>G216</f>
        <v>0</v>
      </c>
      <c r="I287" s="1263"/>
      <c r="J287" s="508">
        <v>20</v>
      </c>
      <c r="K287" s="508">
        <f>J216</f>
        <v>62.5</v>
      </c>
      <c r="L287" s="508">
        <f>K216</f>
        <v>9.9999999999999995E-7</v>
      </c>
      <c r="M287" s="508" t="str">
        <f>L216</f>
        <v>-</v>
      </c>
      <c r="N287" s="508">
        <f>M216</f>
        <v>0</v>
      </c>
      <c r="O287" s="508">
        <f>N216</f>
        <v>0</v>
      </c>
      <c r="Q287" s="1265"/>
      <c r="R287" s="510">
        <v>20</v>
      </c>
      <c r="S287" s="510">
        <f>Q216</f>
        <v>850</v>
      </c>
      <c r="T287" s="510">
        <f>R216</f>
        <v>9.9999999999999995E-7</v>
      </c>
      <c r="U287" s="510" t="str">
        <f>S216</f>
        <v>-</v>
      </c>
      <c r="V287" s="510">
        <f>T216</f>
        <v>9.9999999999999995E-7</v>
      </c>
      <c r="W287" s="383">
        <f>U216</f>
        <v>0</v>
      </c>
      <c r="Y287" s="506">
        <v>15</v>
      </c>
      <c r="Z287" s="507">
        <f>X159</f>
        <v>2.2999999999999998</v>
      </c>
      <c r="AE287" s="376"/>
    </row>
    <row r="288" spans="1:31" ht="13" hidden="1">
      <c r="A288" s="333"/>
      <c r="B288" s="333"/>
      <c r="C288" s="333"/>
      <c r="D288" s="333"/>
      <c r="E288" s="333"/>
      <c r="F288" s="321"/>
      <c r="G288" s="333"/>
      <c r="I288" s="333"/>
      <c r="J288" s="333"/>
      <c r="K288" s="333"/>
      <c r="L288" s="333"/>
      <c r="M288" s="333"/>
      <c r="N288" s="321"/>
      <c r="O288" s="333"/>
      <c r="Q288" s="330"/>
      <c r="R288" s="334"/>
      <c r="S288" s="283"/>
      <c r="T288" s="283"/>
      <c r="U288" s="283"/>
      <c r="W288" s="284"/>
      <c r="Y288" s="506">
        <v>16</v>
      </c>
      <c r="Z288" s="371">
        <f>X170</f>
        <v>2.2000000000000002</v>
      </c>
      <c r="AE288" s="327"/>
    </row>
    <row r="289" spans="1:31" ht="13" hidden="1">
      <c r="A289" s="1263">
        <v>4</v>
      </c>
      <c r="B289" s="508">
        <v>1</v>
      </c>
      <c r="C289" s="508">
        <f>C8</f>
        <v>30</v>
      </c>
      <c r="D289" s="508">
        <f t="shared" ref="D289:F289" si="120">D8</f>
        <v>-0.1</v>
      </c>
      <c r="E289" s="508">
        <f t="shared" si="120"/>
        <v>0</v>
      </c>
      <c r="F289" s="508">
        <f t="shared" si="120"/>
        <v>9.9999999999999995E-7</v>
      </c>
      <c r="G289" s="508">
        <f>G8</f>
        <v>5.0000500000000003E-2</v>
      </c>
      <c r="I289" s="1263">
        <v>4</v>
      </c>
      <c r="J289" s="508">
        <v>1</v>
      </c>
      <c r="K289" s="508">
        <f>J8</f>
        <v>60</v>
      </c>
      <c r="L289" s="508">
        <f>K8</f>
        <v>-6</v>
      </c>
      <c r="M289" s="508">
        <f>L8</f>
        <v>-6.9</v>
      </c>
      <c r="N289" s="508">
        <f>M8</f>
        <v>-4.4000000000000004</v>
      </c>
      <c r="O289" s="508">
        <f>N8</f>
        <v>1.25</v>
      </c>
      <c r="Q289" s="1264">
        <v>4</v>
      </c>
      <c r="R289" s="509">
        <v>1</v>
      </c>
      <c r="S289" s="509">
        <f>Q8</f>
        <v>900</v>
      </c>
      <c r="T289" s="509" t="str">
        <f>R8</f>
        <v>-</v>
      </c>
      <c r="U289" s="509" t="str">
        <f>S8</f>
        <v>-</v>
      </c>
      <c r="V289" s="509">
        <f>T8</f>
        <v>9.9999999999999995E-7</v>
      </c>
      <c r="W289" s="384">
        <f>U8</f>
        <v>0</v>
      </c>
      <c r="Y289" s="506">
        <v>17</v>
      </c>
      <c r="Z289" s="371">
        <f>X181</f>
        <v>2.1</v>
      </c>
      <c r="AE289" s="381"/>
    </row>
    <row r="290" spans="1:31" ht="13" hidden="1">
      <c r="A290" s="1263"/>
      <c r="B290" s="508">
        <v>2</v>
      </c>
      <c r="C290" s="508">
        <f>C19</f>
        <v>30</v>
      </c>
      <c r="D290" s="508">
        <f t="shared" ref="D290:F290" si="121">D19</f>
        <v>0.4</v>
      </c>
      <c r="E290" s="508">
        <f t="shared" si="121"/>
        <v>0.2</v>
      </c>
      <c r="F290" s="508">
        <f t="shared" si="121"/>
        <v>-0.3</v>
      </c>
      <c r="G290" s="508">
        <f>G19</f>
        <v>0.35</v>
      </c>
      <c r="I290" s="1263"/>
      <c r="J290" s="508">
        <v>2</v>
      </c>
      <c r="K290" s="508">
        <f>J19</f>
        <v>60</v>
      </c>
      <c r="L290" s="508">
        <f>K19</f>
        <v>-5.7</v>
      </c>
      <c r="M290" s="508">
        <f>L19</f>
        <v>-4</v>
      </c>
      <c r="N290" s="508">
        <f>M19</f>
        <v>-1.3</v>
      </c>
      <c r="O290" s="508">
        <f>N19</f>
        <v>2.2000000000000002</v>
      </c>
      <c r="Q290" s="1263"/>
      <c r="R290" s="508">
        <v>2</v>
      </c>
      <c r="S290" s="508">
        <f>Q19</f>
        <v>900</v>
      </c>
      <c r="T290" s="508" t="str">
        <f>R19</f>
        <v>-</v>
      </c>
      <c r="U290" s="508" t="str">
        <f>S19</f>
        <v>-</v>
      </c>
      <c r="V290" s="508" t="str">
        <f>T19</f>
        <v>-</v>
      </c>
      <c r="W290" s="366">
        <f>U19</f>
        <v>0</v>
      </c>
      <c r="Y290" s="506">
        <v>18</v>
      </c>
      <c r="Z290" s="371">
        <f>X192</f>
        <v>2.1</v>
      </c>
      <c r="AE290" s="327"/>
    </row>
    <row r="291" spans="1:31" ht="13" hidden="1">
      <c r="A291" s="1263"/>
      <c r="B291" s="508">
        <v>3</v>
      </c>
      <c r="C291" s="508">
        <f>C30</f>
        <v>30</v>
      </c>
      <c r="D291" s="508">
        <f t="shared" ref="D291:F291" si="122">D30</f>
        <v>0.3</v>
      </c>
      <c r="E291" s="508">
        <f t="shared" si="122"/>
        <v>9.9999999999999995E-7</v>
      </c>
      <c r="F291" s="508">
        <f t="shared" si="122"/>
        <v>-0.3</v>
      </c>
      <c r="G291" s="508">
        <f>G30</f>
        <v>0.3</v>
      </c>
      <c r="I291" s="1263"/>
      <c r="J291" s="508">
        <v>3</v>
      </c>
      <c r="K291" s="508">
        <f>J30</f>
        <v>60</v>
      </c>
      <c r="L291" s="508">
        <f>K30</f>
        <v>-6.2</v>
      </c>
      <c r="M291" s="508">
        <f>L30</f>
        <v>-3.2</v>
      </c>
      <c r="N291" s="508">
        <f>M30</f>
        <v>-4.3</v>
      </c>
      <c r="O291" s="508">
        <f>N30</f>
        <v>1.5</v>
      </c>
      <c r="Q291" s="1263"/>
      <c r="R291" s="508">
        <v>3</v>
      </c>
      <c r="S291" s="508">
        <f>Q30</f>
        <v>900</v>
      </c>
      <c r="T291" s="508" t="str">
        <f>R30</f>
        <v>-</v>
      </c>
      <c r="U291" s="508" t="str">
        <f>S30</f>
        <v>-</v>
      </c>
      <c r="V291" s="508" t="str">
        <f>T30</f>
        <v>-</v>
      </c>
      <c r="W291" s="366">
        <f>U30</f>
        <v>0</v>
      </c>
      <c r="Y291" s="506">
        <v>19</v>
      </c>
      <c r="Z291" s="371">
        <f>X203</f>
        <v>2.1</v>
      </c>
      <c r="AE291" s="327"/>
    </row>
    <row r="292" spans="1:31" ht="13.5" hidden="1" thickBot="1">
      <c r="A292" s="1263"/>
      <c r="B292" s="508">
        <v>4</v>
      </c>
      <c r="C292" s="508">
        <f>C41</f>
        <v>30</v>
      </c>
      <c r="D292" s="508">
        <f t="shared" ref="D292:F292" si="123">D41</f>
        <v>-0.1</v>
      </c>
      <c r="E292" s="508">
        <f t="shared" si="123"/>
        <v>-0.6</v>
      </c>
      <c r="F292" s="508">
        <f t="shared" si="123"/>
        <v>0</v>
      </c>
      <c r="G292" s="508">
        <f>G41</f>
        <v>0.25</v>
      </c>
      <c r="I292" s="1263"/>
      <c r="J292" s="508">
        <v>4</v>
      </c>
      <c r="K292" s="508">
        <f>J41</f>
        <v>60</v>
      </c>
      <c r="L292" s="508">
        <f>K41</f>
        <v>-4.2</v>
      </c>
      <c r="M292" s="508">
        <f>L41</f>
        <v>-0.3</v>
      </c>
      <c r="N292" s="508">
        <f>M41</f>
        <v>0</v>
      </c>
      <c r="O292" s="508">
        <f>N41</f>
        <v>1.9500000000000002</v>
      </c>
      <c r="Q292" s="1263"/>
      <c r="R292" s="508">
        <v>4</v>
      </c>
      <c r="S292" s="508">
        <f>Q41</f>
        <v>900</v>
      </c>
      <c r="T292" s="508" t="str">
        <f>R41</f>
        <v>-</v>
      </c>
      <c r="U292" s="508" t="str">
        <f>S41</f>
        <v>-</v>
      </c>
      <c r="V292" s="508">
        <f>T41</f>
        <v>9.9999999999999995E-7</v>
      </c>
      <c r="W292" s="366">
        <f>U41</f>
        <v>0</v>
      </c>
      <c r="Y292" s="372">
        <v>20</v>
      </c>
      <c r="Z292" s="373">
        <f>X214</f>
        <v>0</v>
      </c>
      <c r="AE292" s="327"/>
    </row>
    <row r="293" spans="1:31" ht="13" hidden="1">
      <c r="A293" s="1263"/>
      <c r="B293" s="508">
        <v>5</v>
      </c>
      <c r="C293" s="508">
        <f>C52</f>
        <v>30</v>
      </c>
      <c r="D293" s="508">
        <f t="shared" ref="D293:F293" si="124">D52</f>
        <v>0.4</v>
      </c>
      <c r="E293" s="508">
        <f t="shared" si="124"/>
        <v>0.1</v>
      </c>
      <c r="F293" s="508">
        <f t="shared" si="124"/>
        <v>0.6</v>
      </c>
      <c r="G293" s="508">
        <f>G52</f>
        <v>0.25</v>
      </c>
      <c r="I293" s="1263"/>
      <c r="J293" s="508">
        <v>5</v>
      </c>
      <c r="K293" s="508">
        <f>J52</f>
        <v>60</v>
      </c>
      <c r="L293" s="508">
        <f>K52</f>
        <v>-8</v>
      </c>
      <c r="M293" s="508">
        <f>L52</f>
        <v>-7.9</v>
      </c>
      <c r="N293" s="508">
        <f>M52</f>
        <v>-5.2</v>
      </c>
      <c r="O293" s="508">
        <f>N52</f>
        <v>1.4</v>
      </c>
      <c r="Q293" s="1263"/>
      <c r="R293" s="508">
        <v>5</v>
      </c>
      <c r="S293" s="508">
        <f>Q52</f>
        <v>900</v>
      </c>
      <c r="T293" s="508" t="str">
        <f>R52</f>
        <v>-</v>
      </c>
      <c r="U293" s="508" t="str">
        <f>S52</f>
        <v>-</v>
      </c>
      <c r="V293" s="508" t="str">
        <f>T52</f>
        <v>-</v>
      </c>
      <c r="W293" s="366">
        <f>U52</f>
        <v>0</v>
      </c>
      <c r="AE293" s="327"/>
    </row>
    <row r="294" spans="1:31" ht="13" hidden="1">
      <c r="A294" s="1263"/>
      <c r="B294" s="508">
        <v>6</v>
      </c>
      <c r="C294" s="508">
        <f>C63</f>
        <v>30</v>
      </c>
      <c r="D294" s="508">
        <f t="shared" ref="D294:F294" si="125">D63</f>
        <v>0.1</v>
      </c>
      <c r="E294" s="508">
        <f t="shared" si="125"/>
        <v>-0.5</v>
      </c>
      <c r="F294" s="508">
        <f t="shared" si="125"/>
        <v>0</v>
      </c>
      <c r="G294" s="508">
        <f>G63</f>
        <v>0.3</v>
      </c>
      <c r="I294" s="1263"/>
      <c r="J294" s="508">
        <v>6</v>
      </c>
      <c r="K294" s="508">
        <f>J63</f>
        <v>60</v>
      </c>
      <c r="L294" s="508">
        <f>K63</f>
        <v>-6.4</v>
      </c>
      <c r="M294" s="508">
        <f>L63</f>
        <v>1.1000000000000001</v>
      </c>
      <c r="N294" s="508">
        <f>M63</f>
        <v>0</v>
      </c>
      <c r="O294" s="508">
        <f>N63</f>
        <v>3.75</v>
      </c>
      <c r="Q294" s="1263"/>
      <c r="R294" s="508">
        <v>6</v>
      </c>
      <c r="S294" s="508">
        <f>Q63</f>
        <v>900</v>
      </c>
      <c r="T294" s="508">
        <f>R63</f>
        <v>0.9</v>
      </c>
      <c r="U294" s="508">
        <f>S63</f>
        <v>0.7</v>
      </c>
      <c r="V294" s="508">
        <f>T63</f>
        <v>9.9999999999999995E-7</v>
      </c>
      <c r="W294" s="366">
        <f>U63</f>
        <v>0.4499995</v>
      </c>
      <c r="AE294" s="327"/>
    </row>
    <row r="295" spans="1:31" ht="13" hidden="1">
      <c r="A295" s="1263"/>
      <c r="B295" s="508">
        <v>7</v>
      </c>
      <c r="C295" s="508">
        <f>C74</f>
        <v>30</v>
      </c>
      <c r="D295" s="508">
        <f t="shared" ref="D295:F295" si="126">D74</f>
        <v>9.9999999999999995E-7</v>
      </c>
      <c r="E295" s="508">
        <f t="shared" si="126"/>
        <v>-0.6</v>
      </c>
      <c r="F295" s="508">
        <f t="shared" si="126"/>
        <v>0</v>
      </c>
      <c r="G295" s="508">
        <f>G74</f>
        <v>0.3000005</v>
      </c>
      <c r="I295" s="1263"/>
      <c r="J295" s="508">
        <v>7</v>
      </c>
      <c r="K295" s="508">
        <f>J74</f>
        <v>60</v>
      </c>
      <c r="L295" s="508">
        <f>K74</f>
        <v>-2.1</v>
      </c>
      <c r="M295" s="508">
        <f>L74</f>
        <v>0.7</v>
      </c>
      <c r="N295" s="508">
        <f>M74</f>
        <v>0</v>
      </c>
      <c r="O295" s="508">
        <f>N74</f>
        <v>1.4</v>
      </c>
      <c r="Q295" s="1263"/>
      <c r="R295" s="508">
        <v>7</v>
      </c>
      <c r="S295" s="508">
        <f>Q74</f>
        <v>900</v>
      </c>
      <c r="T295" s="508">
        <f>R74</f>
        <v>9.9999999999999995E-7</v>
      </c>
      <c r="U295" s="508">
        <f>S74</f>
        <v>1</v>
      </c>
      <c r="V295" s="508">
        <f>T74</f>
        <v>9.9999999999999995E-7</v>
      </c>
      <c r="W295" s="366">
        <f>U74</f>
        <v>0.49999949999999999</v>
      </c>
      <c r="AE295" s="327"/>
    </row>
    <row r="296" spans="1:31" ht="13" hidden="1">
      <c r="A296" s="1263"/>
      <c r="B296" s="508">
        <v>8</v>
      </c>
      <c r="C296" s="508">
        <f>C85</f>
        <v>30</v>
      </c>
      <c r="D296" s="508">
        <f t="shared" ref="D296:F296" si="127">D85</f>
        <v>-0.1</v>
      </c>
      <c r="E296" s="508">
        <f t="shared" si="127"/>
        <v>-0.2</v>
      </c>
      <c r="F296" s="508">
        <f t="shared" si="127"/>
        <v>-0.4</v>
      </c>
      <c r="G296" s="508">
        <f>G85</f>
        <v>0.15000000000000002</v>
      </c>
      <c r="I296" s="1263"/>
      <c r="J296" s="508">
        <v>8</v>
      </c>
      <c r="K296" s="508">
        <f>J85</f>
        <v>60</v>
      </c>
      <c r="L296" s="508">
        <f>K85</f>
        <v>-5.6</v>
      </c>
      <c r="M296" s="508">
        <f>L85</f>
        <v>-3.9</v>
      </c>
      <c r="N296" s="508">
        <f>M85</f>
        <v>-1.1000000000000001</v>
      </c>
      <c r="O296" s="508">
        <f>N85</f>
        <v>2.25</v>
      </c>
      <c r="Q296" s="1263"/>
      <c r="R296" s="508">
        <v>8</v>
      </c>
      <c r="S296" s="508">
        <f>Q85</f>
        <v>990</v>
      </c>
      <c r="T296" s="508">
        <f>R85</f>
        <v>-0.2</v>
      </c>
      <c r="U296" s="508">
        <f>S85</f>
        <v>-3.6</v>
      </c>
      <c r="V296" s="508">
        <f>T85</f>
        <v>9.9999999999999995E-7</v>
      </c>
      <c r="W296" s="366">
        <f>U85</f>
        <v>1.8000005000000001</v>
      </c>
      <c r="AE296" s="327"/>
    </row>
    <row r="297" spans="1:31" ht="13" hidden="1">
      <c r="A297" s="1263"/>
      <c r="B297" s="508">
        <v>9</v>
      </c>
      <c r="C297" s="508">
        <f>C96</f>
        <v>30</v>
      </c>
      <c r="D297" s="508">
        <f t="shared" ref="D297:F297" si="128">D96</f>
        <v>-0.5</v>
      </c>
      <c r="E297" s="508" t="str">
        <f t="shared" si="128"/>
        <v>-</v>
      </c>
      <c r="F297" s="508">
        <f t="shared" si="128"/>
        <v>0</v>
      </c>
      <c r="G297" s="508">
        <f>G96</f>
        <v>0</v>
      </c>
      <c r="I297" s="1263"/>
      <c r="J297" s="508">
        <v>9</v>
      </c>
      <c r="K297" s="508">
        <f>J96</f>
        <v>60</v>
      </c>
      <c r="L297" s="508">
        <f>K96</f>
        <v>-0.8</v>
      </c>
      <c r="M297" s="508" t="str">
        <f>L96</f>
        <v>-</v>
      </c>
      <c r="N297" s="508">
        <f>M96</f>
        <v>0</v>
      </c>
      <c r="O297" s="508">
        <f>N96</f>
        <v>0</v>
      </c>
      <c r="Q297" s="1263"/>
      <c r="R297" s="508">
        <v>9</v>
      </c>
      <c r="S297" s="508">
        <f>Q96</f>
        <v>900</v>
      </c>
      <c r="T297" s="508">
        <f>R96</f>
        <v>9.9999999999999995E-7</v>
      </c>
      <c r="U297" s="508" t="str">
        <f>S96</f>
        <v>-</v>
      </c>
      <c r="V297" s="508">
        <f>T96</f>
        <v>9.9999999999999995E-7</v>
      </c>
      <c r="W297" s="366">
        <f>U96</f>
        <v>0</v>
      </c>
      <c r="AE297" s="327"/>
    </row>
    <row r="298" spans="1:31" ht="13" hidden="1">
      <c r="A298" s="1263"/>
      <c r="B298" s="508">
        <v>10</v>
      </c>
      <c r="C298" s="508">
        <f>C107</f>
        <v>30</v>
      </c>
      <c r="D298" s="508">
        <f t="shared" ref="D298:F298" si="129">D107</f>
        <v>0.1</v>
      </c>
      <c r="E298" s="508">
        <f t="shared" si="129"/>
        <v>0.2</v>
      </c>
      <c r="F298" s="508">
        <f t="shared" si="129"/>
        <v>0</v>
      </c>
      <c r="G298" s="508">
        <f>G107</f>
        <v>0.05</v>
      </c>
      <c r="I298" s="1263"/>
      <c r="J298" s="508">
        <v>10</v>
      </c>
      <c r="K298" s="508">
        <f>J107</f>
        <v>60</v>
      </c>
      <c r="L298" s="508">
        <f>K107</f>
        <v>-2.1</v>
      </c>
      <c r="M298" s="508">
        <f>L107</f>
        <v>-5.6</v>
      </c>
      <c r="N298" s="508">
        <f>M107</f>
        <v>0</v>
      </c>
      <c r="O298" s="508">
        <f>N107</f>
        <v>1.7499999999999998</v>
      </c>
      <c r="Q298" s="1263"/>
      <c r="R298" s="508">
        <v>10</v>
      </c>
      <c r="S298" s="508">
        <f>Q107</f>
        <v>900</v>
      </c>
      <c r="T298" s="508" t="str">
        <f>R107</f>
        <v>-</v>
      </c>
      <c r="U298" s="508" t="str">
        <f>S107</f>
        <v>-</v>
      </c>
      <c r="V298" s="508">
        <f>T107</f>
        <v>9.9999999999999995E-7</v>
      </c>
      <c r="W298" s="366">
        <f>U107</f>
        <v>0</v>
      </c>
      <c r="AE298" s="327"/>
    </row>
    <row r="299" spans="1:31" ht="13" hidden="1">
      <c r="A299" s="1263"/>
      <c r="B299" s="508">
        <v>11</v>
      </c>
      <c r="C299" s="508">
        <f>C118</f>
        <v>30</v>
      </c>
      <c r="D299" s="508">
        <f t="shared" ref="D299:F299" si="130">D118</f>
        <v>0.5</v>
      </c>
      <c r="E299" s="508">
        <f t="shared" si="130"/>
        <v>0.4</v>
      </c>
      <c r="F299" s="508">
        <f t="shared" si="130"/>
        <v>0</v>
      </c>
      <c r="G299" s="508">
        <f>G118</f>
        <v>4.9999999999999989E-2</v>
      </c>
      <c r="I299" s="1263"/>
      <c r="J299" s="508">
        <v>11</v>
      </c>
      <c r="K299" s="508">
        <f>J118</f>
        <v>60</v>
      </c>
      <c r="L299" s="508">
        <f>K118</f>
        <v>-4.8</v>
      </c>
      <c r="M299" s="508">
        <f>L118</f>
        <v>-4.5</v>
      </c>
      <c r="N299" s="508">
        <f>M118</f>
        <v>0</v>
      </c>
      <c r="O299" s="508">
        <f>N118</f>
        <v>0.14999999999999991</v>
      </c>
      <c r="Q299" s="1263"/>
      <c r="R299" s="508">
        <v>11</v>
      </c>
      <c r="S299" s="508">
        <f>Q118</f>
        <v>900</v>
      </c>
      <c r="T299" s="508" t="str">
        <f>R118</f>
        <v>-</v>
      </c>
      <c r="U299" s="508" t="str">
        <f>S118</f>
        <v>-</v>
      </c>
      <c r="V299" s="508">
        <f>T118</f>
        <v>9.9999999999999995E-7</v>
      </c>
      <c r="W299" s="366">
        <f>U118</f>
        <v>0</v>
      </c>
      <c r="AE299" s="327"/>
    </row>
    <row r="300" spans="1:31" ht="13" hidden="1">
      <c r="A300" s="1263"/>
      <c r="B300" s="508">
        <v>12</v>
      </c>
      <c r="C300" s="508">
        <f>C129</f>
        <v>30</v>
      </c>
      <c r="D300" s="508">
        <f t="shared" ref="D300:F300" si="131">D129</f>
        <v>0.5</v>
      </c>
      <c r="E300" s="508">
        <f t="shared" si="131"/>
        <v>-0.1</v>
      </c>
      <c r="F300" s="508">
        <f t="shared" si="131"/>
        <v>0</v>
      </c>
      <c r="G300" s="508">
        <f>G129</f>
        <v>0.3</v>
      </c>
      <c r="I300" s="1263"/>
      <c r="J300" s="508">
        <v>12</v>
      </c>
      <c r="K300" s="508">
        <f>J129</f>
        <v>60</v>
      </c>
      <c r="L300" s="508">
        <f>K129</f>
        <v>-3</v>
      </c>
      <c r="M300" s="508">
        <f>L129</f>
        <v>9.9999999999999995E-7</v>
      </c>
      <c r="N300" s="508">
        <f>M129</f>
        <v>0</v>
      </c>
      <c r="O300" s="508">
        <f>N129</f>
        <v>1.5000005000000001</v>
      </c>
      <c r="Q300" s="1263"/>
      <c r="R300" s="508">
        <v>12</v>
      </c>
      <c r="S300" s="508">
        <f>Q129</f>
        <v>990</v>
      </c>
      <c r="T300" s="508">
        <f>R129</f>
        <v>4.0999999999999996</v>
      </c>
      <c r="U300" s="508">
        <f>S129</f>
        <v>-0.7</v>
      </c>
      <c r="V300" s="508">
        <f>T129</f>
        <v>0</v>
      </c>
      <c r="W300" s="366">
        <f>U129</f>
        <v>2.4</v>
      </c>
      <c r="AE300" s="327"/>
    </row>
    <row r="301" spans="1:31" ht="13" hidden="1">
      <c r="A301" s="1263"/>
      <c r="B301" s="508">
        <v>13</v>
      </c>
      <c r="C301" s="508">
        <f>C151</f>
        <v>30</v>
      </c>
      <c r="D301" s="508">
        <f t="shared" ref="D301:F301" si="132">D151</f>
        <v>0.3</v>
      </c>
      <c r="E301" s="508">
        <f t="shared" si="132"/>
        <v>-0.4</v>
      </c>
      <c r="F301" s="508">
        <f t="shared" si="132"/>
        <v>-0.3</v>
      </c>
      <c r="G301" s="508">
        <f>G151</f>
        <v>0.35</v>
      </c>
      <c r="I301" s="1263"/>
      <c r="J301" s="508">
        <v>13</v>
      </c>
      <c r="K301" s="508">
        <f>J140</f>
        <v>60</v>
      </c>
      <c r="L301" s="508">
        <f>K140</f>
        <v>-3.1</v>
      </c>
      <c r="M301" s="508">
        <f>L140</f>
        <v>-1.6</v>
      </c>
      <c r="N301" s="508">
        <f>M140</f>
        <v>-1.5</v>
      </c>
      <c r="O301" s="508">
        <f>N140</f>
        <v>0.8</v>
      </c>
      <c r="Q301" s="1263"/>
      <c r="R301" s="508">
        <v>13</v>
      </c>
      <c r="S301" s="508">
        <f>Q140</f>
        <v>1000</v>
      </c>
      <c r="T301" s="508">
        <f>R140</f>
        <v>4.0999999999999996</v>
      </c>
      <c r="U301" s="508">
        <f>S140</f>
        <v>3.7</v>
      </c>
      <c r="V301" s="508">
        <f>T140</f>
        <v>1.1000000000000001</v>
      </c>
      <c r="W301" s="366">
        <f>U140</f>
        <v>1.4999999999999998</v>
      </c>
      <c r="AE301" s="327"/>
    </row>
    <row r="302" spans="1:31" ht="13" hidden="1">
      <c r="A302" s="1263"/>
      <c r="B302" s="508">
        <v>14</v>
      </c>
      <c r="C302" s="508">
        <f>C151</f>
        <v>30</v>
      </c>
      <c r="D302" s="508">
        <f t="shared" ref="D302:F302" si="133">D151</f>
        <v>0.3</v>
      </c>
      <c r="E302" s="508">
        <f t="shared" si="133"/>
        <v>-0.4</v>
      </c>
      <c r="F302" s="508">
        <f t="shared" si="133"/>
        <v>-0.3</v>
      </c>
      <c r="G302" s="508">
        <f>G151</f>
        <v>0.35</v>
      </c>
      <c r="I302" s="1263"/>
      <c r="J302" s="508">
        <v>14</v>
      </c>
      <c r="K302" s="508">
        <f>J151</f>
        <v>60</v>
      </c>
      <c r="L302" s="508">
        <f>K151</f>
        <v>-1.8</v>
      </c>
      <c r="M302" s="508">
        <f>L151</f>
        <v>0.3</v>
      </c>
      <c r="N302" s="508">
        <f>M151</f>
        <v>-0.6</v>
      </c>
      <c r="O302" s="508">
        <f>N151</f>
        <v>1.05</v>
      </c>
      <c r="Q302" s="1263"/>
      <c r="R302" s="508">
        <v>14</v>
      </c>
      <c r="S302" s="508">
        <f>Q151</f>
        <v>1000</v>
      </c>
      <c r="T302" s="508">
        <f>R151</f>
        <v>4.2</v>
      </c>
      <c r="U302" s="508">
        <f>S151</f>
        <v>3.8</v>
      </c>
      <c r="V302" s="508">
        <f>T151</f>
        <v>1.1000000000000001</v>
      </c>
      <c r="W302" s="366">
        <f>U151</f>
        <v>1.55</v>
      </c>
      <c r="AE302" s="327"/>
    </row>
    <row r="303" spans="1:31" ht="13" hidden="1">
      <c r="A303" s="1263"/>
      <c r="B303" s="508">
        <v>15</v>
      </c>
      <c r="C303" s="508">
        <f>C162</f>
        <v>30</v>
      </c>
      <c r="D303" s="508">
        <f t="shared" ref="D303:F303" si="134">D162</f>
        <v>0.4</v>
      </c>
      <c r="E303" s="508">
        <f t="shared" si="134"/>
        <v>0.4</v>
      </c>
      <c r="F303" s="508">
        <f t="shared" si="134"/>
        <v>-0.2</v>
      </c>
      <c r="G303" s="508">
        <f>G162</f>
        <v>0.30000000000000004</v>
      </c>
      <c r="I303" s="1263"/>
      <c r="J303" s="508">
        <v>15</v>
      </c>
      <c r="K303" s="508">
        <f>J162</f>
        <v>60</v>
      </c>
      <c r="L303" s="508">
        <f>K162</f>
        <v>-2.2999999999999998</v>
      </c>
      <c r="M303" s="508">
        <f>L162</f>
        <v>-1.1000000000000001</v>
      </c>
      <c r="N303" s="508">
        <f>M162</f>
        <v>-0.5</v>
      </c>
      <c r="O303" s="508">
        <f>N162</f>
        <v>0.89999999999999991</v>
      </c>
      <c r="Q303" s="1263"/>
      <c r="R303" s="508">
        <v>15</v>
      </c>
      <c r="S303" s="508">
        <f>Q162</f>
        <v>1000</v>
      </c>
      <c r="T303" s="508">
        <f>R162</f>
        <v>4.4000000000000004</v>
      </c>
      <c r="U303" s="508">
        <f>S162</f>
        <v>4.0999999999999996</v>
      </c>
      <c r="V303" s="508">
        <f>T162</f>
        <v>1.1000000000000001</v>
      </c>
      <c r="W303" s="366">
        <f>U162</f>
        <v>1.6500000000000001</v>
      </c>
      <c r="AE303" s="327"/>
    </row>
    <row r="304" spans="1:31" ht="13" hidden="1">
      <c r="A304" s="1263"/>
      <c r="B304" s="508">
        <v>16</v>
      </c>
      <c r="C304" s="508">
        <f>C173</f>
        <v>30</v>
      </c>
      <c r="D304" s="508">
        <f t="shared" ref="D304:F304" si="135">D173</f>
        <v>0.6</v>
      </c>
      <c r="E304" s="508">
        <f t="shared" si="135"/>
        <v>0.2</v>
      </c>
      <c r="F304" s="508">
        <f t="shared" si="135"/>
        <v>0</v>
      </c>
      <c r="G304" s="508">
        <f>G173</f>
        <v>0.19999999999999998</v>
      </c>
      <c r="I304" s="1263"/>
      <c r="J304" s="508">
        <v>16</v>
      </c>
      <c r="K304" s="508">
        <f>J173</f>
        <v>60</v>
      </c>
      <c r="L304" s="508">
        <f>K173</f>
        <v>-1.9</v>
      </c>
      <c r="M304" s="508">
        <f>L173</f>
        <v>-1.5</v>
      </c>
      <c r="N304" s="508">
        <f>M173</f>
        <v>0</v>
      </c>
      <c r="O304" s="508">
        <f>N173</f>
        <v>0.19999999999999996</v>
      </c>
      <c r="Q304" s="1263"/>
      <c r="R304" s="508">
        <v>16</v>
      </c>
      <c r="S304" s="508">
        <f>Q173</f>
        <v>990</v>
      </c>
      <c r="T304" s="508">
        <f>R173</f>
        <v>4.4000000000000004</v>
      </c>
      <c r="U304" s="508">
        <f>S173</f>
        <v>-1.1000000000000001</v>
      </c>
      <c r="V304" s="508">
        <f>T173</f>
        <v>0</v>
      </c>
      <c r="W304" s="366">
        <f>U173</f>
        <v>2.75</v>
      </c>
      <c r="AE304" s="327"/>
    </row>
    <row r="305" spans="1:31" ht="13" hidden="1">
      <c r="A305" s="1263"/>
      <c r="B305" s="508">
        <v>17</v>
      </c>
      <c r="C305" s="508">
        <f>C184</f>
        <v>30</v>
      </c>
      <c r="D305" s="508">
        <f>D184</f>
        <v>0.6</v>
      </c>
      <c r="E305" s="508">
        <f>E184</f>
        <v>-0.2</v>
      </c>
      <c r="F305" s="508">
        <f t="shared" ref="F305" si="136">F184</f>
        <v>0</v>
      </c>
      <c r="G305" s="508">
        <f>G184</f>
        <v>0.4</v>
      </c>
      <c r="I305" s="1263"/>
      <c r="J305" s="508">
        <v>17</v>
      </c>
      <c r="K305" s="508">
        <f>J184</f>
        <v>60</v>
      </c>
      <c r="L305" s="508">
        <f>K184</f>
        <v>-1.7</v>
      </c>
      <c r="M305" s="508">
        <f>L184</f>
        <v>9.9999999999999995E-7</v>
      </c>
      <c r="N305" s="508">
        <f>M184</f>
        <v>0</v>
      </c>
      <c r="O305" s="508">
        <f>N184</f>
        <v>0.85000049999999994</v>
      </c>
      <c r="Q305" s="1263"/>
      <c r="R305" s="508">
        <v>17</v>
      </c>
      <c r="S305" s="508">
        <f>Q184</f>
        <v>990</v>
      </c>
      <c r="T305" s="508">
        <f>R184</f>
        <v>4.4000000000000004</v>
      </c>
      <c r="U305" s="508">
        <f>S184</f>
        <v>-0.6</v>
      </c>
      <c r="V305" s="508">
        <f>T184</f>
        <v>0</v>
      </c>
      <c r="W305" s="366">
        <f>U184</f>
        <v>2.5</v>
      </c>
      <c r="AE305" s="327"/>
    </row>
    <row r="306" spans="1:31" ht="13" hidden="1">
      <c r="A306" s="1263"/>
      <c r="B306" s="508">
        <v>18</v>
      </c>
      <c r="C306" s="508">
        <f>C195</f>
        <v>30</v>
      </c>
      <c r="D306" s="508">
        <f t="shared" ref="D306:F306" si="137">D195</f>
        <v>0.3</v>
      </c>
      <c r="E306" s="508">
        <f t="shared" si="137"/>
        <v>-0.2</v>
      </c>
      <c r="F306" s="508">
        <f t="shared" si="137"/>
        <v>0</v>
      </c>
      <c r="G306" s="508">
        <f>G195</f>
        <v>0.25</v>
      </c>
      <c r="I306" s="1263"/>
      <c r="J306" s="508">
        <v>18</v>
      </c>
      <c r="K306" s="508">
        <f>J195</f>
        <v>60</v>
      </c>
      <c r="L306" s="508">
        <f>K195</f>
        <v>-2.1</v>
      </c>
      <c r="M306" s="508">
        <f>L195</f>
        <v>-0.2</v>
      </c>
      <c r="N306" s="508">
        <f>M195</f>
        <v>0</v>
      </c>
      <c r="O306" s="508">
        <f>N195</f>
        <v>0.95000000000000007</v>
      </c>
      <c r="Q306" s="1263"/>
      <c r="R306" s="508">
        <v>18</v>
      </c>
      <c r="S306" s="508">
        <f>Q195</f>
        <v>990</v>
      </c>
      <c r="T306" s="508">
        <f>R195</f>
        <v>4.3</v>
      </c>
      <c r="U306" s="508">
        <f>S195</f>
        <v>-0.9</v>
      </c>
      <c r="V306" s="508">
        <f>T195</f>
        <v>0</v>
      </c>
      <c r="W306" s="366">
        <f>U195</f>
        <v>2.6</v>
      </c>
      <c r="AE306" s="327"/>
    </row>
    <row r="307" spans="1:31" ht="13" hidden="1">
      <c r="A307" s="1263"/>
      <c r="B307" s="508">
        <v>19</v>
      </c>
      <c r="C307" s="508">
        <f>C206</f>
        <v>30</v>
      </c>
      <c r="D307" s="508">
        <f t="shared" ref="D307:F307" si="138">D206</f>
        <v>0.5</v>
      </c>
      <c r="E307" s="508">
        <f t="shared" si="138"/>
        <v>-0.1</v>
      </c>
      <c r="F307" s="508">
        <f t="shared" si="138"/>
        <v>0</v>
      </c>
      <c r="G307" s="508">
        <f>G206</f>
        <v>0.3</v>
      </c>
      <c r="I307" s="1263"/>
      <c r="J307" s="508">
        <v>19</v>
      </c>
      <c r="K307" s="508">
        <f>J206</f>
        <v>60</v>
      </c>
      <c r="L307" s="508">
        <f>K206</f>
        <v>-2.7</v>
      </c>
      <c r="M307" s="508">
        <f>L206</f>
        <v>0.4</v>
      </c>
      <c r="N307" s="508">
        <f>M206</f>
        <v>0</v>
      </c>
      <c r="O307" s="508">
        <f>N206</f>
        <v>1.55</v>
      </c>
      <c r="Q307" s="1263"/>
      <c r="R307" s="508">
        <v>19</v>
      </c>
      <c r="S307" s="508">
        <f>Q206</f>
        <v>900</v>
      </c>
      <c r="T307" s="508">
        <f>R206</f>
        <v>4.4000000000000004</v>
      </c>
      <c r="U307" s="508">
        <f>S206</f>
        <v>2.2999999999999998</v>
      </c>
      <c r="V307" s="508">
        <f>T206</f>
        <v>0</v>
      </c>
      <c r="W307" s="366">
        <f>U206</f>
        <v>1.0500000000000003</v>
      </c>
      <c r="AE307" s="327"/>
    </row>
    <row r="308" spans="1:31" ht="13.5" hidden="1" thickBot="1">
      <c r="A308" s="1263"/>
      <c r="B308" s="508">
        <v>20</v>
      </c>
      <c r="C308" s="508">
        <f>C217</f>
        <v>29.5</v>
      </c>
      <c r="D308" s="508">
        <f t="shared" ref="D308:F308" si="139">D217</f>
        <v>9.9999999999999995E-7</v>
      </c>
      <c r="E308" s="508" t="str">
        <f t="shared" si="139"/>
        <v>-</v>
      </c>
      <c r="F308" s="508">
        <f t="shared" si="139"/>
        <v>9.9999999999999995E-7</v>
      </c>
      <c r="G308" s="508">
        <f>G217</f>
        <v>0</v>
      </c>
      <c r="I308" s="1263"/>
      <c r="J308" s="508">
        <v>20</v>
      </c>
      <c r="K308" s="508">
        <f>J217</f>
        <v>71.5</v>
      </c>
      <c r="L308" s="508">
        <f>K217</f>
        <v>9.9999999999999995E-7</v>
      </c>
      <c r="M308" s="508" t="str">
        <f>L217</f>
        <v>-</v>
      </c>
      <c r="N308" s="508">
        <f>M217</f>
        <v>0</v>
      </c>
      <c r="O308" s="508">
        <f>N217</f>
        <v>0</v>
      </c>
      <c r="Q308" s="1265"/>
      <c r="R308" s="510">
        <v>20</v>
      </c>
      <c r="S308" s="510">
        <f>Q217</f>
        <v>900</v>
      </c>
      <c r="T308" s="510">
        <f>R217</f>
        <v>9.9999999999999995E-7</v>
      </c>
      <c r="U308" s="510" t="str">
        <f>S217</f>
        <v>-</v>
      </c>
      <c r="V308" s="510">
        <f>T217</f>
        <v>9.9999999999999995E-7</v>
      </c>
      <c r="W308" s="383">
        <f>U217</f>
        <v>0</v>
      </c>
      <c r="AE308" s="376"/>
    </row>
    <row r="309" spans="1:31" ht="13" hidden="1">
      <c r="A309" s="333"/>
      <c r="B309" s="333"/>
      <c r="C309" s="333"/>
      <c r="D309" s="333"/>
      <c r="E309" s="333"/>
      <c r="F309" s="321"/>
      <c r="G309" s="333"/>
      <c r="I309" s="333"/>
      <c r="J309" s="333"/>
      <c r="K309" s="333"/>
      <c r="L309" s="333"/>
      <c r="M309" s="333"/>
      <c r="N309" s="321"/>
      <c r="O309" s="333"/>
      <c r="Q309" s="330"/>
      <c r="R309" s="334"/>
      <c r="S309" s="283"/>
      <c r="T309" s="283"/>
      <c r="U309" s="283"/>
      <c r="W309" s="284"/>
      <c r="AE309" s="327"/>
    </row>
    <row r="310" spans="1:31" ht="13" hidden="1">
      <c r="A310" s="1263">
        <v>5</v>
      </c>
      <c r="B310" s="508">
        <v>1</v>
      </c>
      <c r="C310" s="508">
        <f>C9</f>
        <v>35</v>
      </c>
      <c r="D310" s="508">
        <f t="shared" ref="D310:F310" si="140">D9</f>
        <v>0</v>
      </c>
      <c r="E310" s="508">
        <f t="shared" si="140"/>
        <v>-0.2</v>
      </c>
      <c r="F310" s="508">
        <f t="shared" si="140"/>
        <v>-0.1</v>
      </c>
      <c r="G310" s="508">
        <f>G9</f>
        <v>0.1</v>
      </c>
      <c r="I310" s="1263">
        <v>5</v>
      </c>
      <c r="J310" s="508">
        <v>1</v>
      </c>
      <c r="K310" s="508">
        <f>J20</f>
        <v>70</v>
      </c>
      <c r="L310" s="508">
        <f>K20</f>
        <v>-3.4</v>
      </c>
      <c r="M310" s="508">
        <f>L20</f>
        <v>-2.4</v>
      </c>
      <c r="N310" s="508">
        <f>M20</f>
        <v>-1.1000000000000001</v>
      </c>
      <c r="O310" s="508">
        <f>N20</f>
        <v>1.1499999999999999</v>
      </c>
      <c r="Q310" s="1264">
        <v>5</v>
      </c>
      <c r="R310" s="509">
        <v>1</v>
      </c>
      <c r="S310" s="509">
        <f>Q9</f>
        <v>1000</v>
      </c>
      <c r="T310" s="509" t="str">
        <f>R9</f>
        <v>-</v>
      </c>
      <c r="U310" s="509" t="str">
        <f>S9</f>
        <v>-</v>
      </c>
      <c r="V310" s="509">
        <f>T9</f>
        <v>9.9999999999999995E-7</v>
      </c>
      <c r="W310" s="384">
        <f>U9</f>
        <v>0</v>
      </c>
      <c r="AE310" s="381"/>
    </row>
    <row r="311" spans="1:31" ht="13" hidden="1">
      <c r="A311" s="1263"/>
      <c r="B311" s="508">
        <v>2</v>
      </c>
      <c r="C311" s="508">
        <f>C20</f>
        <v>35</v>
      </c>
      <c r="D311" s="508">
        <f t="shared" ref="D311:F311" si="141">D20</f>
        <v>0.5</v>
      </c>
      <c r="E311" s="508">
        <f t="shared" si="141"/>
        <v>-0.1</v>
      </c>
      <c r="F311" s="508">
        <f t="shared" si="141"/>
        <v>-0.3</v>
      </c>
      <c r="G311" s="508">
        <f>G20</f>
        <v>0.4</v>
      </c>
      <c r="I311" s="1263"/>
      <c r="J311" s="508">
        <v>2</v>
      </c>
      <c r="K311" s="508">
        <f>J20</f>
        <v>70</v>
      </c>
      <c r="L311" s="508">
        <f>K20</f>
        <v>-3.4</v>
      </c>
      <c r="M311" s="508">
        <f>L20</f>
        <v>-2.4</v>
      </c>
      <c r="N311" s="508">
        <f>M20</f>
        <v>-1.1000000000000001</v>
      </c>
      <c r="O311" s="508">
        <f>N20</f>
        <v>1.1499999999999999</v>
      </c>
      <c r="Q311" s="1263"/>
      <c r="R311" s="508">
        <v>2</v>
      </c>
      <c r="S311" s="508">
        <f>Q20</f>
        <v>1000</v>
      </c>
      <c r="T311" s="508" t="str">
        <f>R20</f>
        <v>-</v>
      </c>
      <c r="U311" s="508" t="str">
        <f>S20</f>
        <v>-</v>
      </c>
      <c r="V311" s="508" t="str">
        <f>T20</f>
        <v>-</v>
      </c>
      <c r="W311" s="366">
        <f>U20</f>
        <v>0</v>
      </c>
      <c r="AE311" s="327"/>
    </row>
    <row r="312" spans="1:31" ht="13" hidden="1">
      <c r="A312" s="1263"/>
      <c r="B312" s="508">
        <v>3</v>
      </c>
      <c r="C312" s="508">
        <f>C31</f>
        <v>35</v>
      </c>
      <c r="D312" s="508">
        <f t="shared" ref="D312:F312" si="142">D31</f>
        <v>0.3</v>
      </c>
      <c r="E312" s="508">
        <f t="shared" si="142"/>
        <v>-0.3</v>
      </c>
      <c r="F312" s="508">
        <f t="shared" si="142"/>
        <v>-0.5</v>
      </c>
      <c r="G312" s="508">
        <f>G31</f>
        <v>0.4</v>
      </c>
      <c r="I312" s="1263"/>
      <c r="J312" s="508">
        <v>3</v>
      </c>
      <c r="K312" s="508">
        <f>J31</f>
        <v>70</v>
      </c>
      <c r="L312" s="508">
        <f>K31</f>
        <v>-4.4000000000000004</v>
      </c>
      <c r="M312" s="508">
        <f>L31</f>
        <v>-2</v>
      </c>
      <c r="N312" s="508">
        <f>M31</f>
        <v>-3.6</v>
      </c>
      <c r="O312" s="508">
        <f>N31</f>
        <v>1.2000000000000002</v>
      </c>
      <c r="Q312" s="1263"/>
      <c r="R312" s="508">
        <v>3</v>
      </c>
      <c r="S312" s="508">
        <f>Q31</f>
        <v>1000</v>
      </c>
      <c r="T312" s="508" t="str">
        <f>R31</f>
        <v>-</v>
      </c>
      <c r="U312" s="508" t="str">
        <f>S31</f>
        <v>-</v>
      </c>
      <c r="V312" s="508" t="str">
        <f>T31</f>
        <v>-</v>
      </c>
      <c r="W312" s="366">
        <f>U31</f>
        <v>0</v>
      </c>
      <c r="AE312" s="327"/>
    </row>
    <row r="313" spans="1:31" ht="13" hidden="1">
      <c r="A313" s="1263"/>
      <c r="B313" s="508">
        <v>4</v>
      </c>
      <c r="C313" s="508">
        <f>C42</f>
        <v>35</v>
      </c>
      <c r="D313" s="508">
        <f t="shared" ref="D313:F313" si="143">D42</f>
        <v>-0.3</v>
      </c>
      <c r="E313" s="508">
        <f t="shared" si="143"/>
        <v>-0.6</v>
      </c>
      <c r="F313" s="508">
        <f t="shared" si="143"/>
        <v>0</v>
      </c>
      <c r="G313" s="508">
        <f>G42</f>
        <v>0.15</v>
      </c>
      <c r="I313" s="1263"/>
      <c r="J313" s="508">
        <v>4</v>
      </c>
      <c r="K313" s="508">
        <f>J42</f>
        <v>70</v>
      </c>
      <c r="L313" s="508">
        <f>K42</f>
        <v>-4</v>
      </c>
      <c r="M313" s="508">
        <f>L42</f>
        <v>0.7</v>
      </c>
      <c r="N313" s="508">
        <f>M42</f>
        <v>0</v>
      </c>
      <c r="O313" s="508">
        <f>N42</f>
        <v>2.35</v>
      </c>
      <c r="Q313" s="1263"/>
      <c r="R313" s="508">
        <v>4</v>
      </c>
      <c r="S313" s="508">
        <f>Q42</f>
        <v>1000</v>
      </c>
      <c r="T313" s="508" t="str">
        <f>R42</f>
        <v>-</v>
      </c>
      <c r="U313" s="508" t="str">
        <f>S42</f>
        <v>-</v>
      </c>
      <c r="V313" s="508">
        <f>T42</f>
        <v>9.9999999999999995E-7</v>
      </c>
      <c r="W313" s="366">
        <f>U42</f>
        <v>0</v>
      </c>
      <c r="AE313" s="327"/>
    </row>
    <row r="314" spans="1:31" ht="13" hidden="1">
      <c r="A314" s="1263"/>
      <c r="B314" s="508">
        <v>5</v>
      </c>
      <c r="C314" s="508">
        <f>C53</f>
        <v>35</v>
      </c>
      <c r="D314" s="508">
        <f t="shared" ref="D314:F314" si="144">D53</f>
        <v>0.4</v>
      </c>
      <c r="E314" s="508">
        <f t="shared" si="144"/>
        <v>0.1</v>
      </c>
      <c r="F314" s="508">
        <f t="shared" si="144"/>
        <v>0.7</v>
      </c>
      <c r="G314" s="508">
        <f>G53</f>
        <v>0.3</v>
      </c>
      <c r="I314" s="1263"/>
      <c r="J314" s="508">
        <v>5</v>
      </c>
      <c r="K314" s="508">
        <f>J53</f>
        <v>70</v>
      </c>
      <c r="L314" s="508">
        <f>K53</f>
        <v>-7.1</v>
      </c>
      <c r="M314" s="508">
        <f>L53</f>
        <v>-6.1</v>
      </c>
      <c r="N314" s="508">
        <f>M53</f>
        <v>-4.0999999999999996</v>
      </c>
      <c r="O314" s="508">
        <f>N53</f>
        <v>1.5</v>
      </c>
      <c r="Q314" s="1263"/>
      <c r="R314" s="508">
        <v>5</v>
      </c>
      <c r="S314" s="508">
        <f>Q53</f>
        <v>1000</v>
      </c>
      <c r="T314" s="508" t="str">
        <f>R53</f>
        <v>-</v>
      </c>
      <c r="U314" s="508" t="str">
        <f>S53</f>
        <v>-</v>
      </c>
      <c r="V314" s="508" t="str">
        <f>T53</f>
        <v>-</v>
      </c>
      <c r="W314" s="366">
        <f>U53</f>
        <v>0</v>
      </c>
      <c r="AE314" s="327"/>
    </row>
    <row r="315" spans="1:31" ht="13" hidden="1">
      <c r="A315" s="1263"/>
      <c r="B315" s="508">
        <v>6</v>
      </c>
      <c r="C315" s="508">
        <f>C64</f>
        <v>35</v>
      </c>
      <c r="D315" s="508">
        <f t="shared" ref="D315:F315" si="145">D64</f>
        <v>0.1</v>
      </c>
      <c r="E315" s="508">
        <f t="shared" si="145"/>
        <v>-0.9</v>
      </c>
      <c r="F315" s="508">
        <f t="shared" si="145"/>
        <v>0</v>
      </c>
      <c r="G315" s="508">
        <f>G64</f>
        <v>0.5</v>
      </c>
      <c r="I315" s="1263"/>
      <c r="J315" s="508">
        <v>6</v>
      </c>
      <c r="K315" s="508">
        <f>J64</f>
        <v>70</v>
      </c>
      <c r="L315" s="508">
        <f>K64</f>
        <v>-6.7</v>
      </c>
      <c r="M315" s="508">
        <f>L64</f>
        <v>0.9</v>
      </c>
      <c r="N315" s="508">
        <f>M64</f>
        <v>0</v>
      </c>
      <c r="O315" s="508">
        <f>N64</f>
        <v>3.8000000000000003</v>
      </c>
      <c r="Q315" s="1263"/>
      <c r="R315" s="508">
        <v>6</v>
      </c>
      <c r="S315" s="508">
        <f>Q64</f>
        <v>1000</v>
      </c>
      <c r="T315" s="508">
        <f>R64</f>
        <v>0.9</v>
      </c>
      <c r="U315" s="508">
        <f>S64</f>
        <v>-0.3</v>
      </c>
      <c r="V315" s="508">
        <f>T64</f>
        <v>9.9999999999999995E-7</v>
      </c>
      <c r="W315" s="366">
        <f>U64</f>
        <v>0.6</v>
      </c>
      <c r="AE315" s="327"/>
    </row>
    <row r="316" spans="1:31" ht="13" hidden="1">
      <c r="A316" s="1263"/>
      <c r="B316" s="508">
        <v>7</v>
      </c>
      <c r="C316" s="508">
        <f>C75</f>
        <v>35</v>
      </c>
      <c r="D316" s="508">
        <f t="shared" ref="D316:F316" si="146">D75</f>
        <v>9.9999999999999995E-7</v>
      </c>
      <c r="E316" s="508">
        <f t="shared" si="146"/>
        <v>-1.1000000000000001</v>
      </c>
      <c r="F316" s="508">
        <f t="shared" si="146"/>
        <v>0</v>
      </c>
      <c r="G316" s="508">
        <f>G75</f>
        <v>0.5500005</v>
      </c>
      <c r="I316" s="1263"/>
      <c r="J316" s="508">
        <v>7</v>
      </c>
      <c r="K316" s="508">
        <f>J75</f>
        <v>70</v>
      </c>
      <c r="L316" s="508">
        <f>K75</f>
        <v>-2.2999999999999998</v>
      </c>
      <c r="M316" s="508">
        <f>L75</f>
        <v>0.9</v>
      </c>
      <c r="N316" s="508">
        <f>M75</f>
        <v>0</v>
      </c>
      <c r="O316" s="508">
        <f>N75</f>
        <v>1.5999999999999999</v>
      </c>
      <c r="Q316" s="1263"/>
      <c r="R316" s="508">
        <v>7</v>
      </c>
      <c r="S316" s="508">
        <f>Q75</f>
        <v>1000</v>
      </c>
      <c r="T316" s="508">
        <f>R75</f>
        <v>-3.9</v>
      </c>
      <c r="U316" s="508">
        <f>S75</f>
        <v>-0.4</v>
      </c>
      <c r="V316" s="508">
        <f>T75</f>
        <v>9.9999999999999995E-7</v>
      </c>
      <c r="W316" s="366">
        <f>U75</f>
        <v>1.9500005</v>
      </c>
      <c r="AE316" s="327"/>
    </row>
    <row r="317" spans="1:31" ht="13" hidden="1">
      <c r="A317" s="1263"/>
      <c r="B317" s="508">
        <v>8</v>
      </c>
      <c r="C317" s="508">
        <f>C86</f>
        <v>35</v>
      </c>
      <c r="D317" s="508">
        <f t="shared" ref="D317:F317" si="147">D86</f>
        <v>-0.1</v>
      </c>
      <c r="E317" s="508">
        <f t="shared" si="147"/>
        <v>-0.1</v>
      </c>
      <c r="F317" s="508">
        <f t="shared" si="147"/>
        <v>-0.5</v>
      </c>
      <c r="G317" s="508">
        <f>G86</f>
        <v>0.2</v>
      </c>
      <c r="I317" s="1263"/>
      <c r="J317" s="508">
        <v>8</v>
      </c>
      <c r="K317" s="508">
        <f>J86</f>
        <v>70</v>
      </c>
      <c r="L317" s="508">
        <f>K86</f>
        <v>-6.5</v>
      </c>
      <c r="M317" s="508">
        <f>L86</f>
        <v>-4.0999999999999996</v>
      </c>
      <c r="N317" s="508">
        <f>M86</f>
        <v>-1.2</v>
      </c>
      <c r="O317" s="508">
        <f>N86</f>
        <v>2.65</v>
      </c>
      <c r="Q317" s="1263"/>
      <c r="R317" s="508">
        <v>8</v>
      </c>
      <c r="S317" s="508">
        <f>Q86</f>
        <v>1000</v>
      </c>
      <c r="T317" s="508">
        <f>R86</f>
        <v>0.2</v>
      </c>
      <c r="U317" s="508">
        <f>S86</f>
        <v>-3.5</v>
      </c>
      <c r="V317" s="508">
        <f>T86</f>
        <v>0.2</v>
      </c>
      <c r="W317" s="366">
        <f>U86</f>
        <v>1.85</v>
      </c>
      <c r="AE317" s="327"/>
    </row>
    <row r="318" spans="1:31" ht="13" hidden="1">
      <c r="A318" s="1263"/>
      <c r="B318" s="508">
        <v>9</v>
      </c>
      <c r="C318" s="508">
        <f>C97</f>
        <v>35</v>
      </c>
      <c r="D318" s="508">
        <f t="shared" ref="D318:F318" si="148">D97</f>
        <v>-0.5</v>
      </c>
      <c r="E318" s="508" t="str">
        <f t="shared" si="148"/>
        <v>-</v>
      </c>
      <c r="F318" s="508">
        <f t="shared" si="148"/>
        <v>0</v>
      </c>
      <c r="G318" s="508">
        <f>G97</f>
        <v>0</v>
      </c>
      <c r="I318" s="1263"/>
      <c r="J318" s="508">
        <v>9</v>
      </c>
      <c r="K318" s="508">
        <f>J97</f>
        <v>70</v>
      </c>
      <c r="L318" s="508">
        <f>K97</f>
        <v>-0.6</v>
      </c>
      <c r="M318" s="508" t="str">
        <f>L97</f>
        <v>-</v>
      </c>
      <c r="N318" s="508">
        <f>M97</f>
        <v>0</v>
      </c>
      <c r="O318" s="508">
        <f>N97</f>
        <v>0</v>
      </c>
      <c r="Q318" s="1263"/>
      <c r="R318" s="508">
        <v>9</v>
      </c>
      <c r="S318" s="508">
        <f>Q97</f>
        <v>1000</v>
      </c>
      <c r="T318" s="508">
        <f>R97</f>
        <v>0.2</v>
      </c>
      <c r="U318" s="508" t="str">
        <f>S97</f>
        <v>-</v>
      </c>
      <c r="V318" s="508">
        <f>T97</f>
        <v>9.9999999999999995E-7</v>
      </c>
      <c r="W318" s="366">
        <f>U97</f>
        <v>9.9999500000000005E-2</v>
      </c>
      <c r="AE318" s="327"/>
    </row>
    <row r="319" spans="1:31" ht="13" hidden="1">
      <c r="A319" s="1263"/>
      <c r="B319" s="508">
        <v>10</v>
      </c>
      <c r="C319" s="508">
        <f>C108</f>
        <v>35</v>
      </c>
      <c r="D319" s="508">
        <f t="shared" ref="D319:F319" si="149">D108</f>
        <v>0.2</v>
      </c>
      <c r="E319" s="508">
        <f t="shared" si="149"/>
        <v>0.8</v>
      </c>
      <c r="F319" s="508">
        <f t="shared" si="149"/>
        <v>0</v>
      </c>
      <c r="G319" s="508">
        <f>G108</f>
        <v>0.30000000000000004</v>
      </c>
      <c r="I319" s="1263"/>
      <c r="J319" s="508">
        <v>10</v>
      </c>
      <c r="K319" s="508">
        <f>J108</f>
        <v>70</v>
      </c>
      <c r="L319" s="508">
        <f>K108</f>
        <v>-0.3</v>
      </c>
      <c r="M319" s="508">
        <f>L108</f>
        <v>-5.0999999999999996</v>
      </c>
      <c r="N319" s="508">
        <f>M108</f>
        <v>0</v>
      </c>
      <c r="O319" s="508">
        <f>N108</f>
        <v>2.4</v>
      </c>
      <c r="Q319" s="1263"/>
      <c r="R319" s="508">
        <v>10</v>
      </c>
      <c r="S319" s="508">
        <f>Q108</f>
        <v>1000</v>
      </c>
      <c r="T319" s="508" t="str">
        <f>R108</f>
        <v>-</v>
      </c>
      <c r="U319" s="508" t="str">
        <f>S108</f>
        <v>-</v>
      </c>
      <c r="V319" s="508">
        <f>T108</f>
        <v>9.9999999999999995E-7</v>
      </c>
      <c r="W319" s="366">
        <f>U108</f>
        <v>0</v>
      </c>
      <c r="AE319" s="327"/>
    </row>
    <row r="320" spans="1:31" ht="13" hidden="1">
      <c r="A320" s="1263"/>
      <c r="B320" s="508">
        <v>11</v>
      </c>
      <c r="C320" s="508">
        <f>C119</f>
        <v>35</v>
      </c>
      <c r="D320" s="508">
        <f t="shared" ref="D320:F320" si="150">D119</f>
        <v>0.5</v>
      </c>
      <c r="E320" s="508">
        <f t="shared" si="150"/>
        <v>0.4</v>
      </c>
      <c r="F320" s="508">
        <f t="shared" si="150"/>
        <v>0</v>
      </c>
      <c r="G320" s="508">
        <f>G119</f>
        <v>4.9999999999999989E-2</v>
      </c>
      <c r="I320" s="1263"/>
      <c r="J320" s="508">
        <v>11</v>
      </c>
      <c r="K320" s="508">
        <f>J119</f>
        <v>70</v>
      </c>
      <c r="L320" s="508">
        <f>K119</f>
        <v>-3.4</v>
      </c>
      <c r="M320" s="508">
        <f>L119</f>
        <v>-1.7</v>
      </c>
      <c r="N320" s="508">
        <f>M119</f>
        <v>0</v>
      </c>
      <c r="O320" s="508">
        <f>N119</f>
        <v>0.85</v>
      </c>
      <c r="Q320" s="1263"/>
      <c r="R320" s="508">
        <v>11</v>
      </c>
      <c r="S320" s="508">
        <f>Q119</f>
        <v>1000</v>
      </c>
      <c r="T320" s="508" t="str">
        <f>R119</f>
        <v>-</v>
      </c>
      <c r="U320" s="508" t="str">
        <f>S119</f>
        <v>-</v>
      </c>
      <c r="V320" s="508">
        <f>T119</f>
        <v>9.9999999999999995E-7</v>
      </c>
      <c r="W320" s="366">
        <f>U119</f>
        <v>0</v>
      </c>
      <c r="AE320" s="327"/>
    </row>
    <row r="321" spans="1:31" ht="13" hidden="1">
      <c r="A321" s="1263"/>
      <c r="B321" s="508">
        <v>12</v>
      </c>
      <c r="C321" s="508">
        <f>C130</f>
        <v>35</v>
      </c>
      <c r="D321" s="508">
        <f t="shared" ref="D321:F321" si="151">D130</f>
        <v>0.7</v>
      </c>
      <c r="E321" s="508">
        <f t="shared" si="151"/>
        <v>-0.2</v>
      </c>
      <c r="F321" s="508">
        <f t="shared" si="151"/>
        <v>0</v>
      </c>
      <c r="G321" s="508">
        <f>G130</f>
        <v>0.44999999999999996</v>
      </c>
      <c r="I321" s="1263"/>
      <c r="J321" s="508">
        <v>12</v>
      </c>
      <c r="K321" s="508">
        <f>J130</f>
        <v>70</v>
      </c>
      <c r="L321" s="508">
        <f>K130</f>
        <v>-2.8</v>
      </c>
      <c r="M321" s="508">
        <f>L130</f>
        <v>-0.1</v>
      </c>
      <c r="N321" s="508">
        <f>M130</f>
        <v>0</v>
      </c>
      <c r="O321" s="508">
        <f>N130</f>
        <v>1.3499999999999999</v>
      </c>
      <c r="Q321" s="1263"/>
      <c r="R321" s="508">
        <v>12</v>
      </c>
      <c r="S321" s="508">
        <f>Q130</f>
        <v>1000</v>
      </c>
      <c r="T321" s="508">
        <f>R130</f>
        <v>4.0999999999999996</v>
      </c>
      <c r="U321" s="508">
        <f>S130</f>
        <v>-0.8</v>
      </c>
      <c r="V321" s="508">
        <f>T130</f>
        <v>0</v>
      </c>
      <c r="W321" s="366">
        <f>U130</f>
        <v>2.4499999999999997</v>
      </c>
      <c r="AE321" s="327"/>
    </row>
    <row r="322" spans="1:31" ht="13" hidden="1">
      <c r="A322" s="1263"/>
      <c r="B322" s="508">
        <v>13</v>
      </c>
      <c r="C322" s="508">
        <f>C141</f>
        <v>35</v>
      </c>
      <c r="D322" s="508">
        <f t="shared" ref="D322:F322" si="152">D141</f>
        <v>0.5</v>
      </c>
      <c r="E322" s="508">
        <f t="shared" si="152"/>
        <v>-0.2</v>
      </c>
      <c r="F322" s="508">
        <f t="shared" si="152"/>
        <v>0.3</v>
      </c>
      <c r="G322" s="508">
        <f>G141</f>
        <v>0.35</v>
      </c>
      <c r="I322" s="1263"/>
      <c r="J322" s="508">
        <v>13</v>
      </c>
      <c r="K322" s="508">
        <f>J141</f>
        <v>70</v>
      </c>
      <c r="L322" s="508">
        <f>K141</f>
        <v>-2.2999999999999998</v>
      </c>
      <c r="M322" s="508">
        <f>L141</f>
        <v>-1.4</v>
      </c>
      <c r="N322" s="508">
        <f>M141</f>
        <v>-1.9</v>
      </c>
      <c r="O322" s="508">
        <f>N141</f>
        <v>0.44999999999999996</v>
      </c>
      <c r="Q322" s="1263"/>
      <c r="R322" s="508">
        <v>13</v>
      </c>
      <c r="S322" s="508">
        <f>Q141</f>
        <v>1005</v>
      </c>
      <c r="T322" s="508">
        <f>R141</f>
        <v>0</v>
      </c>
      <c r="U322" s="508">
        <f>S141</f>
        <v>3.6</v>
      </c>
      <c r="V322" s="508">
        <f>T141</f>
        <v>1.1000000000000001</v>
      </c>
      <c r="W322" s="366">
        <f>U141</f>
        <v>1.25</v>
      </c>
      <c r="AE322" s="327"/>
    </row>
    <row r="323" spans="1:31" ht="13" hidden="1">
      <c r="A323" s="1263"/>
      <c r="B323" s="508">
        <v>14</v>
      </c>
      <c r="C323" s="508">
        <f>C152</f>
        <v>35</v>
      </c>
      <c r="D323" s="508">
        <f t="shared" ref="D323:F323" si="153">D152</f>
        <v>0.3</v>
      </c>
      <c r="E323" s="508">
        <f t="shared" si="153"/>
        <v>-0.6</v>
      </c>
      <c r="F323" s="508">
        <f t="shared" si="153"/>
        <v>-0.6</v>
      </c>
      <c r="G323" s="508">
        <f>G152</f>
        <v>0.44999999999999996</v>
      </c>
      <c r="I323" s="1263"/>
      <c r="J323" s="508">
        <v>14</v>
      </c>
      <c r="K323" s="508">
        <f>J152</f>
        <v>70</v>
      </c>
      <c r="L323" s="508">
        <f>K152</f>
        <v>-0.6</v>
      </c>
      <c r="M323" s="508">
        <f>L152</f>
        <v>0.7</v>
      </c>
      <c r="N323" s="508">
        <f>M152</f>
        <v>-0.8</v>
      </c>
      <c r="O323" s="508">
        <f>N152</f>
        <v>0.75</v>
      </c>
      <c r="Q323" s="1263"/>
      <c r="R323" s="508">
        <v>14</v>
      </c>
      <c r="S323" s="508">
        <f>Q152</f>
        <v>1005</v>
      </c>
      <c r="T323" s="508">
        <f>R152</f>
        <v>0</v>
      </c>
      <c r="U323" s="508">
        <f>S152</f>
        <v>3.8</v>
      </c>
      <c r="V323" s="508">
        <f>T152</f>
        <v>1.1000000000000001</v>
      </c>
      <c r="W323" s="366">
        <f>U152</f>
        <v>1.3499999999999999</v>
      </c>
      <c r="AE323" s="327"/>
    </row>
    <row r="324" spans="1:31" ht="13" hidden="1">
      <c r="A324" s="1263"/>
      <c r="B324" s="508">
        <v>15</v>
      </c>
      <c r="C324" s="508">
        <f>C163</f>
        <v>35</v>
      </c>
      <c r="D324" s="508">
        <f t="shared" ref="D324:F324" si="154">D163</f>
        <v>0.5</v>
      </c>
      <c r="E324" s="508">
        <f t="shared" si="154"/>
        <v>0.8</v>
      </c>
      <c r="F324" s="508">
        <f t="shared" si="154"/>
        <v>-0.1</v>
      </c>
      <c r="G324" s="508">
        <f>G163</f>
        <v>0.45</v>
      </c>
      <c r="I324" s="1263"/>
      <c r="J324" s="508">
        <v>15</v>
      </c>
      <c r="K324" s="508">
        <f>J163</f>
        <v>70</v>
      </c>
      <c r="L324" s="508">
        <f>K163</f>
        <v>-1.6</v>
      </c>
      <c r="M324" s="508">
        <f>L163</f>
        <v>-0.7</v>
      </c>
      <c r="N324" s="508">
        <f>M163</f>
        <v>-0.8</v>
      </c>
      <c r="O324" s="508">
        <f>N163</f>
        <v>0.45000000000000007</v>
      </c>
      <c r="Q324" s="1263"/>
      <c r="R324" s="508">
        <v>15</v>
      </c>
      <c r="S324" s="508">
        <f>Q163</f>
        <v>1005</v>
      </c>
      <c r="T324" s="508">
        <f>R163</f>
        <v>0</v>
      </c>
      <c r="U324" s="508">
        <f>S163</f>
        <v>4</v>
      </c>
      <c r="V324" s="508">
        <f>T163</f>
        <v>1.1000000000000001</v>
      </c>
      <c r="W324" s="366">
        <f>U163</f>
        <v>1.45</v>
      </c>
      <c r="AE324" s="327"/>
    </row>
    <row r="325" spans="1:31" ht="13" hidden="1">
      <c r="A325" s="1263"/>
      <c r="B325" s="508">
        <v>16</v>
      </c>
      <c r="C325" s="508">
        <f>C174</f>
        <v>35</v>
      </c>
      <c r="D325" s="508">
        <f t="shared" ref="D325:F325" si="155">D174</f>
        <v>0.6</v>
      </c>
      <c r="E325" s="508">
        <f t="shared" si="155"/>
        <v>0.1</v>
      </c>
      <c r="F325" s="508">
        <f t="shared" si="155"/>
        <v>0</v>
      </c>
      <c r="G325" s="508">
        <f>G174</f>
        <v>0.25</v>
      </c>
      <c r="I325" s="1263"/>
      <c r="J325" s="508">
        <v>16</v>
      </c>
      <c r="K325" s="508">
        <f>J174</f>
        <v>70</v>
      </c>
      <c r="L325" s="508">
        <f>K174</f>
        <v>-2.1</v>
      </c>
      <c r="M325" s="508">
        <f>L174</f>
        <v>-1.8</v>
      </c>
      <c r="N325" s="508">
        <f>M174</f>
        <v>0</v>
      </c>
      <c r="O325" s="508">
        <f>N174</f>
        <v>0.15000000000000002</v>
      </c>
      <c r="Q325" s="1263"/>
      <c r="R325" s="508">
        <v>16</v>
      </c>
      <c r="S325" s="508">
        <f>Q174</f>
        <v>1000</v>
      </c>
      <c r="T325" s="508">
        <f>R174</f>
        <v>4.3</v>
      </c>
      <c r="U325" s="508">
        <f>S174</f>
        <v>-0.4</v>
      </c>
      <c r="V325" s="508">
        <f>T174</f>
        <v>0</v>
      </c>
      <c r="W325" s="366">
        <f>U174</f>
        <v>2.35</v>
      </c>
      <c r="AE325" s="327"/>
    </row>
    <row r="326" spans="1:31" ht="13" hidden="1">
      <c r="A326" s="1263"/>
      <c r="B326" s="508">
        <v>17</v>
      </c>
      <c r="C326" s="508">
        <f>C185</f>
        <v>35</v>
      </c>
      <c r="D326" s="508">
        <f>D185</f>
        <v>0.7</v>
      </c>
      <c r="E326" s="508">
        <f>E185</f>
        <v>-0.5</v>
      </c>
      <c r="F326" s="508">
        <f t="shared" ref="F326" si="156">F185</f>
        <v>0</v>
      </c>
      <c r="G326" s="508">
        <f>G185</f>
        <v>0.6</v>
      </c>
      <c r="I326" s="1263"/>
      <c r="J326" s="508">
        <v>17</v>
      </c>
      <c r="K326" s="508">
        <f>J185</f>
        <v>70</v>
      </c>
      <c r="L326" s="508">
        <f>K185</f>
        <v>-1.8</v>
      </c>
      <c r="M326" s="508">
        <f>L185</f>
        <v>-0.3</v>
      </c>
      <c r="N326" s="508">
        <f>M185</f>
        <v>0</v>
      </c>
      <c r="O326" s="508">
        <f>N185</f>
        <v>0.75</v>
      </c>
      <c r="Q326" s="1263"/>
      <c r="R326" s="508">
        <v>17</v>
      </c>
      <c r="S326" s="508">
        <f>Q185</f>
        <v>1000</v>
      </c>
      <c r="T326" s="508">
        <f>R185</f>
        <v>4.4000000000000004</v>
      </c>
      <c r="U326" s="508">
        <f>S185</f>
        <v>-0.6</v>
      </c>
      <c r="V326" s="508">
        <f>T185</f>
        <v>0</v>
      </c>
      <c r="W326" s="366">
        <f>U185</f>
        <v>2.5</v>
      </c>
      <c r="AE326" s="327"/>
    </row>
    <row r="327" spans="1:31" ht="13" hidden="1">
      <c r="A327" s="1263"/>
      <c r="B327" s="508">
        <v>18</v>
      </c>
      <c r="C327" s="508">
        <f>C196</f>
        <v>35</v>
      </c>
      <c r="D327" s="508">
        <f t="shared" ref="D327:F327" si="157">D196</f>
        <v>0.4</v>
      </c>
      <c r="E327" s="508">
        <f t="shared" si="157"/>
        <v>-0.3</v>
      </c>
      <c r="F327" s="508">
        <f t="shared" si="157"/>
        <v>0</v>
      </c>
      <c r="G327" s="508">
        <f>G196</f>
        <v>0.35</v>
      </c>
      <c r="I327" s="1263"/>
      <c r="J327" s="508">
        <v>18</v>
      </c>
      <c r="K327" s="508">
        <f>J196</f>
        <v>70</v>
      </c>
      <c r="L327" s="508">
        <f>K196</f>
        <v>-2.2000000000000002</v>
      </c>
      <c r="M327" s="508">
        <f>L196</f>
        <v>-0.3</v>
      </c>
      <c r="N327" s="508">
        <f>M196</f>
        <v>0</v>
      </c>
      <c r="O327" s="508">
        <f>N196</f>
        <v>0.95000000000000007</v>
      </c>
      <c r="Q327" s="1263"/>
      <c r="R327" s="508">
        <v>18</v>
      </c>
      <c r="S327" s="508">
        <f>Q196</f>
        <v>1000</v>
      </c>
      <c r="T327" s="508">
        <f>R196</f>
        <v>4.3</v>
      </c>
      <c r="U327" s="508">
        <f>S196</f>
        <v>-0.8</v>
      </c>
      <c r="V327" s="508">
        <f>T196</f>
        <v>0</v>
      </c>
      <c r="W327" s="366">
        <f>U196</f>
        <v>2.5499999999999998</v>
      </c>
      <c r="AE327" s="327"/>
    </row>
    <row r="328" spans="1:31" ht="13" hidden="1">
      <c r="A328" s="1263"/>
      <c r="B328" s="508">
        <v>19</v>
      </c>
      <c r="C328" s="508">
        <f>C207</f>
        <v>35</v>
      </c>
      <c r="D328" s="508">
        <f t="shared" ref="D328:F328" si="158">D207</f>
        <v>0.5</v>
      </c>
      <c r="E328" s="508">
        <f t="shared" si="158"/>
        <v>-0.1</v>
      </c>
      <c r="F328" s="508">
        <f t="shared" si="158"/>
        <v>0</v>
      </c>
      <c r="G328" s="508">
        <f>G207</f>
        <v>0.3</v>
      </c>
      <c r="I328" s="1263"/>
      <c r="J328" s="508">
        <v>19</v>
      </c>
      <c r="K328" s="508">
        <f>J207</f>
        <v>70</v>
      </c>
      <c r="L328" s="508">
        <f>K207</f>
        <v>-2.6</v>
      </c>
      <c r="M328" s="508">
        <f>L207</f>
        <v>-0.7</v>
      </c>
      <c r="N328" s="508">
        <f>M207</f>
        <v>0</v>
      </c>
      <c r="O328" s="508">
        <f>N207</f>
        <v>0.95000000000000007</v>
      </c>
      <c r="Q328" s="1263"/>
      <c r="R328" s="508">
        <v>19</v>
      </c>
      <c r="S328" s="508">
        <f>Q207</f>
        <v>950</v>
      </c>
      <c r="T328" s="508">
        <f>R207</f>
        <v>4.4000000000000004</v>
      </c>
      <c r="U328" s="508">
        <f>S207</f>
        <v>2.4</v>
      </c>
      <c r="V328" s="508">
        <f>T207</f>
        <v>0</v>
      </c>
      <c r="W328" s="366">
        <f>U207</f>
        <v>1.0000000000000002</v>
      </c>
      <c r="AE328" s="327"/>
    </row>
    <row r="329" spans="1:31" ht="13.5" hidden="1" thickBot="1">
      <c r="A329" s="1263"/>
      <c r="B329" s="508">
        <v>20</v>
      </c>
      <c r="C329" s="508">
        <f>C218</f>
        <v>34.5</v>
      </c>
      <c r="D329" s="508">
        <f t="shared" ref="D329:F329" si="159">D218</f>
        <v>9.9999999999999995E-7</v>
      </c>
      <c r="E329" s="508" t="str">
        <f t="shared" si="159"/>
        <v>-</v>
      </c>
      <c r="F329" s="508">
        <f t="shared" si="159"/>
        <v>9.9999999999999995E-7</v>
      </c>
      <c r="G329" s="508">
        <f>G218</f>
        <v>0</v>
      </c>
      <c r="I329" s="1263"/>
      <c r="J329" s="508">
        <v>20</v>
      </c>
      <c r="K329" s="508">
        <f>J218</f>
        <v>80.8</v>
      </c>
      <c r="L329" s="508">
        <f>K218</f>
        <v>9.9999999999999995E-7</v>
      </c>
      <c r="M329" s="508" t="str">
        <f>L218</f>
        <v>-</v>
      </c>
      <c r="N329" s="508">
        <f>M218</f>
        <v>0</v>
      </c>
      <c r="O329" s="508">
        <f>N218</f>
        <v>0</v>
      </c>
      <c r="Q329" s="1265"/>
      <c r="R329" s="510">
        <v>20</v>
      </c>
      <c r="S329" s="510">
        <f>Q218</f>
        <v>1000</v>
      </c>
      <c r="T329" s="510">
        <f>R218</f>
        <v>9.9999999999999995E-7</v>
      </c>
      <c r="U329" s="510" t="str">
        <f>S218</f>
        <v>-</v>
      </c>
      <c r="V329" s="510">
        <f>T218</f>
        <v>9.9999999999999995E-7</v>
      </c>
      <c r="W329" s="383">
        <f>U218</f>
        <v>0</v>
      </c>
      <c r="AE329" s="376"/>
    </row>
    <row r="330" spans="1:31" ht="13" hidden="1">
      <c r="A330" s="333"/>
      <c r="B330" s="333"/>
      <c r="C330" s="333"/>
      <c r="D330" s="333"/>
      <c r="E330" s="333"/>
      <c r="F330" s="321"/>
      <c r="G330" s="333"/>
      <c r="I330" s="333"/>
      <c r="J330" s="333"/>
      <c r="K330" s="333"/>
      <c r="L330" s="333"/>
      <c r="M330" s="333"/>
      <c r="N330" s="321"/>
      <c r="O330" s="333"/>
      <c r="Q330" s="330"/>
      <c r="R330" s="331"/>
      <c r="S330" s="283"/>
      <c r="T330" s="283"/>
      <c r="U330" s="283"/>
      <c r="W330" s="284"/>
      <c r="AE330" s="327"/>
    </row>
    <row r="331" spans="1:31" ht="13" hidden="1">
      <c r="A331" s="1263">
        <v>6</v>
      </c>
      <c r="B331" s="508">
        <v>1</v>
      </c>
      <c r="C331" s="508">
        <f>C10</f>
        <v>37</v>
      </c>
      <c r="D331" s="508">
        <f t="shared" ref="D331:F331" si="160">D10</f>
        <v>0.1</v>
      </c>
      <c r="E331" s="508">
        <f t="shared" si="160"/>
        <v>-0.3</v>
      </c>
      <c r="F331" s="508">
        <f t="shared" si="160"/>
        <v>-0.2</v>
      </c>
      <c r="G331" s="508">
        <f>G10</f>
        <v>0.2</v>
      </c>
      <c r="I331" s="1263">
        <v>6</v>
      </c>
      <c r="J331" s="508">
        <v>1</v>
      </c>
      <c r="K331" s="508">
        <f>J10</f>
        <v>80</v>
      </c>
      <c r="L331" s="508">
        <f>K10</f>
        <v>-0.7</v>
      </c>
      <c r="M331" s="508">
        <f>L10</f>
        <v>-3.7</v>
      </c>
      <c r="N331" s="508">
        <f>M10</f>
        <v>-1.6</v>
      </c>
      <c r="O331" s="508">
        <f>N10</f>
        <v>1.5</v>
      </c>
      <c r="Q331" s="1264">
        <v>6</v>
      </c>
      <c r="R331" s="509">
        <v>1</v>
      </c>
      <c r="S331" s="509">
        <f>Q10</f>
        <v>1005</v>
      </c>
      <c r="T331" s="509" t="str">
        <f>R10</f>
        <v>-</v>
      </c>
      <c r="U331" s="509" t="str">
        <f>S10</f>
        <v>-</v>
      </c>
      <c r="V331" s="509">
        <f>T10</f>
        <v>9.9999999999999995E-7</v>
      </c>
      <c r="W331" s="384">
        <f>U10</f>
        <v>0</v>
      </c>
      <c r="AE331" s="381"/>
    </row>
    <row r="332" spans="1:31" ht="13" hidden="1">
      <c r="A332" s="1263"/>
      <c r="B332" s="508">
        <v>2</v>
      </c>
      <c r="C332" s="508">
        <f>C21</f>
        <v>37</v>
      </c>
      <c r="D332" s="508">
        <f t="shared" ref="D332:F332" si="161">D21</f>
        <v>0.6</v>
      </c>
      <c r="E332" s="508">
        <f t="shared" si="161"/>
        <v>-0.2</v>
      </c>
      <c r="F332" s="508">
        <f t="shared" si="161"/>
        <v>-0.3</v>
      </c>
      <c r="G332" s="508">
        <f>G21</f>
        <v>0.44999999999999996</v>
      </c>
      <c r="I332" s="1263"/>
      <c r="J332" s="508">
        <v>2</v>
      </c>
      <c r="K332" s="508">
        <f>J21</f>
        <v>80</v>
      </c>
      <c r="L332" s="508">
        <f>K21</f>
        <v>-1.1000000000000001</v>
      </c>
      <c r="M332" s="508">
        <f>L21</f>
        <v>-0.5</v>
      </c>
      <c r="N332" s="508">
        <f>M21</f>
        <v>-0.7</v>
      </c>
      <c r="O332" s="508">
        <f>N21</f>
        <v>0.30000000000000004</v>
      </c>
      <c r="Q332" s="1263"/>
      <c r="R332" s="508">
        <v>2</v>
      </c>
      <c r="S332" s="508">
        <f>Q21</f>
        <v>1005</v>
      </c>
      <c r="T332" s="508" t="str">
        <f>R21</f>
        <v>-</v>
      </c>
      <c r="U332" s="508" t="str">
        <f>S21</f>
        <v>-</v>
      </c>
      <c r="V332" s="508" t="str">
        <f>T21</f>
        <v>-</v>
      </c>
      <c r="W332" s="366">
        <f>U21</f>
        <v>0</v>
      </c>
      <c r="AE332" s="327"/>
    </row>
    <row r="333" spans="1:31" ht="13" hidden="1">
      <c r="A333" s="1263"/>
      <c r="B333" s="508">
        <v>3</v>
      </c>
      <c r="C333" s="508">
        <f>C32</f>
        <v>37</v>
      </c>
      <c r="D333" s="508">
        <f t="shared" ref="D333:F333" si="162">D32</f>
        <v>0.3</v>
      </c>
      <c r="E333" s="508">
        <f t="shared" si="162"/>
        <v>-0.2</v>
      </c>
      <c r="F333" s="508">
        <f t="shared" si="162"/>
        <v>-0.6</v>
      </c>
      <c r="G333" s="508">
        <f>G32</f>
        <v>0.44999999999999996</v>
      </c>
      <c r="I333" s="1263"/>
      <c r="J333" s="508">
        <v>3</v>
      </c>
      <c r="K333" s="508">
        <f>J32</f>
        <v>80</v>
      </c>
      <c r="L333" s="508">
        <f>K32</f>
        <v>-2.7</v>
      </c>
      <c r="M333" s="508">
        <f>L32</f>
        <v>-0.8</v>
      </c>
      <c r="N333" s="508">
        <f>M32</f>
        <v>-2.9</v>
      </c>
      <c r="O333" s="508">
        <f>N32</f>
        <v>1.0499999999999998</v>
      </c>
      <c r="Q333" s="1263"/>
      <c r="R333" s="508">
        <v>3</v>
      </c>
      <c r="S333" s="508">
        <f>Q32</f>
        <v>1005</v>
      </c>
      <c r="T333" s="508" t="str">
        <f>R32</f>
        <v>-</v>
      </c>
      <c r="U333" s="508" t="str">
        <f>S32</f>
        <v>-</v>
      </c>
      <c r="V333" s="508" t="str">
        <f>T32</f>
        <v>-</v>
      </c>
      <c r="W333" s="366">
        <f>U32</f>
        <v>0</v>
      </c>
      <c r="AE333" s="327"/>
    </row>
    <row r="334" spans="1:31" ht="13" hidden="1">
      <c r="A334" s="1263"/>
      <c r="B334" s="508">
        <v>4</v>
      </c>
      <c r="C334" s="508">
        <f>C43</f>
        <v>37</v>
      </c>
      <c r="D334" s="508">
        <f t="shared" ref="D334:F334" si="163">D43</f>
        <v>-0.4</v>
      </c>
      <c r="E334" s="508">
        <f t="shared" si="163"/>
        <v>-0.6</v>
      </c>
      <c r="F334" s="508">
        <f t="shared" si="163"/>
        <v>0</v>
      </c>
      <c r="G334" s="508">
        <f>G43</f>
        <v>9.9999999999999978E-2</v>
      </c>
      <c r="I334" s="1263"/>
      <c r="J334" s="508">
        <v>4</v>
      </c>
      <c r="K334" s="508">
        <f>J43</f>
        <v>80</v>
      </c>
      <c r="L334" s="508">
        <f>K43</f>
        <v>-3.8</v>
      </c>
      <c r="M334" s="508">
        <f>L43</f>
        <v>1.9</v>
      </c>
      <c r="N334" s="508">
        <f>M43</f>
        <v>0</v>
      </c>
      <c r="O334" s="508">
        <f>N43</f>
        <v>2.8499999999999996</v>
      </c>
      <c r="Q334" s="1263"/>
      <c r="R334" s="508">
        <v>4</v>
      </c>
      <c r="S334" s="508">
        <f>Q43</f>
        <v>1005</v>
      </c>
      <c r="T334" s="508" t="str">
        <f>R43</f>
        <v>-</v>
      </c>
      <c r="U334" s="508" t="str">
        <f>S43</f>
        <v>-</v>
      </c>
      <c r="V334" s="508">
        <f>T43</f>
        <v>9.9999999999999995E-7</v>
      </c>
      <c r="W334" s="366">
        <f>U43</f>
        <v>0</v>
      </c>
      <c r="AE334" s="327"/>
    </row>
    <row r="335" spans="1:31" ht="13" hidden="1">
      <c r="A335" s="1263"/>
      <c r="B335" s="508">
        <v>5</v>
      </c>
      <c r="C335" s="508">
        <f>C54</f>
        <v>37</v>
      </c>
      <c r="D335" s="508">
        <f t="shared" ref="D335:F335" si="164">D54</f>
        <v>0.3</v>
      </c>
      <c r="E335" s="508">
        <f t="shared" si="164"/>
        <v>0.1</v>
      </c>
      <c r="F335" s="508">
        <f t="shared" si="164"/>
        <v>0.7</v>
      </c>
      <c r="G335" s="508">
        <f>G54</f>
        <v>0.3</v>
      </c>
      <c r="I335" s="1263"/>
      <c r="J335" s="508">
        <v>5</v>
      </c>
      <c r="K335" s="508">
        <f>J54</f>
        <v>80</v>
      </c>
      <c r="L335" s="508">
        <f>K54</f>
        <v>-6.3</v>
      </c>
      <c r="M335" s="508">
        <f>L54</f>
        <v>-3.8</v>
      </c>
      <c r="N335" s="508">
        <f>M54</f>
        <v>-3</v>
      </c>
      <c r="O335" s="508">
        <f>N54</f>
        <v>1.65</v>
      </c>
      <c r="Q335" s="1263"/>
      <c r="R335" s="508">
        <v>5</v>
      </c>
      <c r="S335" s="508">
        <f>Q54</f>
        <v>1005</v>
      </c>
      <c r="T335" s="508" t="str">
        <f>R54</f>
        <v>-</v>
      </c>
      <c r="U335" s="508" t="str">
        <f>S54</f>
        <v>-</v>
      </c>
      <c r="V335" s="508" t="str">
        <f>T54</f>
        <v>-</v>
      </c>
      <c r="W335" s="366">
        <f>U54</f>
        <v>0</v>
      </c>
      <c r="AE335" s="327"/>
    </row>
    <row r="336" spans="1:31" ht="13" hidden="1">
      <c r="A336" s="1263"/>
      <c r="B336" s="508">
        <v>6</v>
      </c>
      <c r="C336" s="508">
        <f>C65</f>
        <v>37</v>
      </c>
      <c r="D336" s="508">
        <f t="shared" ref="D336:F336" si="165">D65</f>
        <v>0.1</v>
      </c>
      <c r="E336" s="508">
        <f t="shared" si="165"/>
        <v>-1.1000000000000001</v>
      </c>
      <c r="F336" s="508">
        <f t="shared" si="165"/>
        <v>0</v>
      </c>
      <c r="G336" s="508">
        <f>G65</f>
        <v>0.60000000000000009</v>
      </c>
      <c r="I336" s="1263"/>
      <c r="J336" s="508">
        <v>6</v>
      </c>
      <c r="K336" s="508">
        <f>J65</f>
        <v>80</v>
      </c>
      <c r="L336" s="508">
        <f>K65</f>
        <v>-6.3</v>
      </c>
      <c r="M336" s="508">
        <f>L65</f>
        <v>0.8</v>
      </c>
      <c r="N336" s="508">
        <f>M65</f>
        <v>0</v>
      </c>
      <c r="O336" s="508">
        <f>N65</f>
        <v>3.55</v>
      </c>
      <c r="Q336" s="1263"/>
      <c r="R336" s="508">
        <v>6</v>
      </c>
      <c r="S336" s="508">
        <f>Q65</f>
        <v>1005</v>
      </c>
      <c r="T336" s="508">
        <f>R65</f>
        <v>0.9</v>
      </c>
      <c r="U336" s="508">
        <f>S65</f>
        <v>-0.3</v>
      </c>
      <c r="V336" s="508">
        <f>T65</f>
        <v>9.9999999999999995E-7</v>
      </c>
      <c r="W336" s="366">
        <f>U65</f>
        <v>0.6</v>
      </c>
      <c r="AE336" s="327"/>
    </row>
    <row r="337" spans="1:31" ht="13" hidden="1">
      <c r="A337" s="1263"/>
      <c r="B337" s="508">
        <v>7</v>
      </c>
      <c r="C337" s="508">
        <f>C76</f>
        <v>37</v>
      </c>
      <c r="D337" s="508">
        <f t="shared" ref="D337:F337" si="166">D76</f>
        <v>9.9999999999999995E-7</v>
      </c>
      <c r="E337" s="508">
        <f t="shared" si="166"/>
        <v>-1.4</v>
      </c>
      <c r="F337" s="508">
        <f t="shared" si="166"/>
        <v>0</v>
      </c>
      <c r="G337" s="508">
        <f>G76</f>
        <v>0.70000049999999991</v>
      </c>
      <c r="I337" s="1263"/>
      <c r="J337" s="508">
        <v>7</v>
      </c>
      <c r="K337" s="508">
        <f>J76</f>
        <v>80</v>
      </c>
      <c r="L337" s="508">
        <f>K76</f>
        <v>-2.6</v>
      </c>
      <c r="M337" s="508">
        <f>L76</f>
        <v>1.2</v>
      </c>
      <c r="N337" s="508">
        <f>M76</f>
        <v>0</v>
      </c>
      <c r="O337" s="508">
        <f>N76</f>
        <v>1.9</v>
      </c>
      <c r="Q337" s="1263"/>
      <c r="R337" s="508">
        <v>7</v>
      </c>
      <c r="S337" s="508">
        <f>Q76</f>
        <v>1005</v>
      </c>
      <c r="T337" s="508">
        <f>R76</f>
        <v>-3.8</v>
      </c>
      <c r="U337" s="508">
        <f>S76</f>
        <v>-0.5</v>
      </c>
      <c r="V337" s="508">
        <f>T76</f>
        <v>9.9999999999999995E-7</v>
      </c>
      <c r="W337" s="366">
        <f>U76</f>
        <v>1.9000005</v>
      </c>
      <c r="AE337" s="327"/>
    </row>
    <row r="338" spans="1:31" ht="13" hidden="1">
      <c r="A338" s="1263"/>
      <c r="B338" s="508">
        <v>8</v>
      </c>
      <c r="C338" s="508">
        <f>C87</f>
        <v>37</v>
      </c>
      <c r="D338" s="508">
        <f t="shared" ref="D338:F338" si="167">D87</f>
        <v>-0.1</v>
      </c>
      <c r="E338" s="508">
        <f t="shared" si="167"/>
        <v>-0.1</v>
      </c>
      <c r="F338" s="508">
        <f t="shared" si="167"/>
        <v>-0.5</v>
      </c>
      <c r="G338" s="508">
        <f>G87</f>
        <v>0.2</v>
      </c>
      <c r="I338" s="1263"/>
      <c r="J338" s="508">
        <v>8</v>
      </c>
      <c r="K338" s="508">
        <f>J87</f>
        <v>80</v>
      </c>
      <c r="L338" s="508">
        <f>K87</f>
        <v>-7.6</v>
      </c>
      <c r="M338" s="508">
        <f>L87</f>
        <v>-4.5</v>
      </c>
      <c r="N338" s="508">
        <f>M87</f>
        <v>-1.2</v>
      </c>
      <c r="O338" s="508">
        <f>N87</f>
        <v>3.1999999999999997</v>
      </c>
      <c r="Q338" s="1263"/>
      <c r="R338" s="508">
        <v>8</v>
      </c>
      <c r="S338" s="508">
        <f>Q87</f>
        <v>1010</v>
      </c>
      <c r="T338" s="508">
        <f>R87</f>
        <v>0.6</v>
      </c>
      <c r="U338" s="508">
        <f>S87</f>
        <v>-3.4</v>
      </c>
      <c r="V338" s="508">
        <f>T87</f>
        <v>0.2</v>
      </c>
      <c r="W338" s="366">
        <f>U87</f>
        <v>2</v>
      </c>
      <c r="AE338" s="327"/>
    </row>
    <row r="339" spans="1:31" ht="13" hidden="1">
      <c r="A339" s="1263"/>
      <c r="B339" s="508">
        <v>9</v>
      </c>
      <c r="C339" s="508">
        <f>C98</f>
        <v>37</v>
      </c>
      <c r="D339" s="508">
        <f t="shared" ref="D339:F339" si="168">D98</f>
        <v>-0.5</v>
      </c>
      <c r="E339" s="508" t="str">
        <f t="shared" si="168"/>
        <v>-</v>
      </c>
      <c r="F339" s="508">
        <f t="shared" si="168"/>
        <v>0</v>
      </c>
      <c r="G339" s="508">
        <f>G98</f>
        <v>0</v>
      </c>
      <c r="I339" s="1263"/>
      <c r="J339" s="508">
        <v>9</v>
      </c>
      <c r="K339" s="508">
        <f>J98</f>
        <v>80</v>
      </c>
      <c r="L339" s="508">
        <f>K98</f>
        <v>-0.5</v>
      </c>
      <c r="M339" s="508" t="str">
        <f>L98</f>
        <v>-</v>
      </c>
      <c r="N339" s="508">
        <f>M98</f>
        <v>0</v>
      </c>
      <c r="O339" s="508">
        <f>N98</f>
        <v>0</v>
      </c>
      <c r="Q339" s="1263"/>
      <c r="R339" s="508">
        <v>9</v>
      </c>
      <c r="S339" s="508">
        <f>Q98</f>
        <v>1005</v>
      </c>
      <c r="T339" s="508">
        <f>R98</f>
        <v>0.2</v>
      </c>
      <c r="U339" s="508" t="str">
        <f>S98</f>
        <v>-</v>
      </c>
      <c r="V339" s="508">
        <f>T98</f>
        <v>9.9999999999999995E-7</v>
      </c>
      <c r="W339" s="366">
        <f>U98</f>
        <v>9.9999500000000005E-2</v>
      </c>
      <c r="AE339" s="327"/>
    </row>
    <row r="340" spans="1:31" ht="13" hidden="1">
      <c r="A340" s="1263"/>
      <c r="B340" s="508">
        <v>10</v>
      </c>
      <c r="C340" s="508">
        <f>C109</f>
        <v>37</v>
      </c>
      <c r="D340" s="508">
        <f t="shared" ref="D340:F340" si="169">D109</f>
        <v>0.2</v>
      </c>
      <c r="E340" s="508">
        <f t="shared" si="169"/>
        <v>0.4</v>
      </c>
      <c r="F340" s="508">
        <f t="shared" si="169"/>
        <v>0</v>
      </c>
      <c r="G340" s="508">
        <f>G109</f>
        <v>0.1</v>
      </c>
      <c r="I340" s="1263"/>
      <c r="J340" s="508">
        <v>10</v>
      </c>
      <c r="K340" s="508">
        <f>J109</f>
        <v>80</v>
      </c>
      <c r="L340" s="508">
        <f>K109</f>
        <v>2.2000000000000002</v>
      </c>
      <c r="M340" s="508">
        <f>L109</f>
        <v>-4.7</v>
      </c>
      <c r="N340" s="508">
        <f>M109</f>
        <v>0</v>
      </c>
      <c r="O340" s="508">
        <f>N109</f>
        <v>3.45</v>
      </c>
      <c r="Q340" s="1263"/>
      <c r="R340" s="508">
        <v>10</v>
      </c>
      <c r="S340" s="508">
        <f>Q109</f>
        <v>1005</v>
      </c>
      <c r="T340" s="508" t="str">
        <f>R109</f>
        <v>-</v>
      </c>
      <c r="U340" s="508" t="str">
        <f>S109</f>
        <v>-</v>
      </c>
      <c r="V340" s="508">
        <f>T109</f>
        <v>9.9999999999999995E-7</v>
      </c>
      <c r="W340" s="366">
        <f>U109</f>
        <v>0</v>
      </c>
      <c r="AE340" s="327"/>
    </row>
    <row r="341" spans="1:31" ht="13" hidden="1">
      <c r="A341" s="1263"/>
      <c r="B341" s="508">
        <v>11</v>
      </c>
      <c r="C341" s="508">
        <f>C120</f>
        <v>37</v>
      </c>
      <c r="D341" s="508">
        <f t="shared" ref="D341:F341" si="170">D120</f>
        <v>0.5</v>
      </c>
      <c r="E341" s="508">
        <f t="shared" si="170"/>
        <v>0.5</v>
      </c>
      <c r="F341" s="508">
        <f t="shared" si="170"/>
        <v>0</v>
      </c>
      <c r="G341" s="508">
        <f>G120</f>
        <v>0</v>
      </c>
      <c r="I341" s="1263"/>
      <c r="J341" s="508">
        <v>11</v>
      </c>
      <c r="K341" s="508">
        <f>J120</f>
        <v>80</v>
      </c>
      <c r="L341" s="508">
        <f>K120</f>
        <v>-1.4</v>
      </c>
      <c r="M341" s="508">
        <f>L120</f>
        <v>2.6</v>
      </c>
      <c r="N341" s="508">
        <f>M120</f>
        <v>0</v>
      </c>
      <c r="O341" s="508">
        <f>N120</f>
        <v>2</v>
      </c>
      <c r="Q341" s="1263"/>
      <c r="R341" s="508">
        <v>11</v>
      </c>
      <c r="S341" s="508">
        <f>Q120</f>
        <v>1005</v>
      </c>
      <c r="T341" s="508" t="str">
        <f>R120</f>
        <v>-</v>
      </c>
      <c r="U341" s="508" t="str">
        <f>S120</f>
        <v>-</v>
      </c>
      <c r="V341" s="508">
        <f>T120</f>
        <v>9.9999999999999995E-7</v>
      </c>
      <c r="W341" s="366">
        <f>U120</f>
        <v>0</v>
      </c>
      <c r="AE341" s="327"/>
    </row>
    <row r="342" spans="1:31" ht="13" hidden="1">
      <c r="A342" s="1263"/>
      <c r="B342" s="508">
        <v>12</v>
      </c>
      <c r="C342" s="508">
        <f>C131</f>
        <v>37</v>
      </c>
      <c r="D342" s="508">
        <f t="shared" ref="D342:F342" si="171">D131</f>
        <v>0.7</v>
      </c>
      <c r="E342" s="508">
        <f t="shared" si="171"/>
        <v>-0.3</v>
      </c>
      <c r="F342" s="508">
        <f t="shared" si="171"/>
        <v>0</v>
      </c>
      <c r="G342" s="508">
        <f>G131</f>
        <v>0.5</v>
      </c>
      <c r="I342" s="1263"/>
      <c r="J342" s="508">
        <v>12</v>
      </c>
      <c r="K342" s="508">
        <f>J131</f>
        <v>80</v>
      </c>
      <c r="L342" s="508">
        <f>K131</f>
        <v>-2.4</v>
      </c>
      <c r="M342" s="508">
        <f>L131</f>
        <v>-0.5</v>
      </c>
      <c r="N342" s="508">
        <f>M131</f>
        <v>0</v>
      </c>
      <c r="O342" s="508">
        <f>N131</f>
        <v>0.95</v>
      </c>
      <c r="Q342" s="1263"/>
      <c r="R342" s="508">
        <v>12</v>
      </c>
      <c r="S342" s="508">
        <f>Q131</f>
        <v>1010</v>
      </c>
      <c r="T342" s="508">
        <f>R131</f>
        <v>4.0999999999999996</v>
      </c>
      <c r="U342" s="508">
        <f>S131</f>
        <v>-0.8</v>
      </c>
      <c r="V342" s="508">
        <f>T131</f>
        <v>0</v>
      </c>
      <c r="W342" s="366">
        <f>U131</f>
        <v>2.4499999999999997</v>
      </c>
      <c r="AE342" s="327"/>
    </row>
    <row r="343" spans="1:31" ht="13" hidden="1">
      <c r="A343" s="1263"/>
      <c r="B343" s="508">
        <v>13</v>
      </c>
      <c r="C343" s="508">
        <f>C142</f>
        <v>37</v>
      </c>
      <c r="D343" s="508">
        <f t="shared" ref="D343:F343" si="172">D142</f>
        <v>0.6</v>
      </c>
      <c r="E343" s="508">
        <f t="shared" si="172"/>
        <v>-0.2</v>
      </c>
      <c r="F343" s="508">
        <f t="shared" si="172"/>
        <v>0.4</v>
      </c>
      <c r="G343" s="508">
        <f>G142</f>
        <v>0.4</v>
      </c>
      <c r="I343" s="1263"/>
      <c r="J343" s="508">
        <v>13</v>
      </c>
      <c r="K343" s="508">
        <f>J142</f>
        <v>80</v>
      </c>
      <c r="L343" s="508">
        <f>K142</f>
        <v>-1.5</v>
      </c>
      <c r="M343" s="508">
        <f>L142</f>
        <v>-1.2</v>
      </c>
      <c r="N343" s="508">
        <f>M142</f>
        <v>-2.5</v>
      </c>
      <c r="O343" s="508">
        <f>N142</f>
        <v>0.65</v>
      </c>
      <c r="Q343" s="1263"/>
      <c r="R343" s="508">
        <v>13</v>
      </c>
      <c r="S343" s="508">
        <f>Q142</f>
        <v>1010</v>
      </c>
      <c r="T343" s="508">
        <f>R142</f>
        <v>4.3</v>
      </c>
      <c r="U343" s="508">
        <f>S142</f>
        <v>3.5</v>
      </c>
      <c r="V343" s="508">
        <f>T142</f>
        <v>1.1000000000000001</v>
      </c>
      <c r="W343" s="366">
        <f>U142</f>
        <v>1.5999999999999999</v>
      </c>
      <c r="AE343" s="327"/>
    </row>
    <row r="344" spans="1:31" ht="13" hidden="1">
      <c r="A344" s="1263"/>
      <c r="B344" s="508">
        <v>14</v>
      </c>
      <c r="C344" s="508">
        <f>C153</f>
        <v>37</v>
      </c>
      <c r="D344" s="508">
        <f t="shared" ref="D344:F344" si="173">D153</f>
        <v>0.4</v>
      </c>
      <c r="E344" s="508">
        <f t="shared" si="173"/>
        <v>-0.7</v>
      </c>
      <c r="F344" s="508">
        <f t="shared" si="173"/>
        <v>-0.8</v>
      </c>
      <c r="G344" s="508">
        <f>G153</f>
        <v>0.60000000000000009</v>
      </c>
      <c r="I344" s="1263"/>
      <c r="J344" s="508">
        <v>14</v>
      </c>
      <c r="K344" s="508">
        <f>J153</f>
        <v>80</v>
      </c>
      <c r="L344" s="508">
        <f>K153</f>
        <v>0.6</v>
      </c>
      <c r="M344" s="508">
        <f>L153</f>
        <v>1.1000000000000001</v>
      </c>
      <c r="N344" s="508">
        <f>M153</f>
        <v>-0.9</v>
      </c>
      <c r="O344" s="508">
        <f>N153</f>
        <v>1</v>
      </c>
      <c r="Q344" s="1263"/>
      <c r="R344" s="508">
        <v>14</v>
      </c>
      <c r="S344" s="508">
        <f>Q153</f>
        <v>1010</v>
      </c>
      <c r="T344" s="508">
        <f>R153</f>
        <v>4.4000000000000004</v>
      </c>
      <c r="U344" s="508">
        <f>S153</f>
        <v>3.7</v>
      </c>
      <c r="V344" s="508">
        <f>T153</f>
        <v>1.1000000000000001</v>
      </c>
      <c r="W344" s="366">
        <f>U153</f>
        <v>1.6500000000000001</v>
      </c>
      <c r="AE344" s="327"/>
    </row>
    <row r="345" spans="1:31" ht="13" hidden="1">
      <c r="A345" s="1263"/>
      <c r="B345" s="508">
        <v>15</v>
      </c>
      <c r="C345" s="508">
        <f>C164</f>
        <v>37</v>
      </c>
      <c r="D345" s="508">
        <f t="shared" ref="D345:F345" si="174">D164</f>
        <v>0.5</v>
      </c>
      <c r="E345" s="508">
        <f t="shared" si="174"/>
        <v>1</v>
      </c>
      <c r="F345" s="508">
        <f t="shared" si="174"/>
        <v>-0.1</v>
      </c>
      <c r="G345" s="508">
        <f>G164</f>
        <v>0.55000000000000004</v>
      </c>
      <c r="I345" s="1263"/>
      <c r="J345" s="508">
        <v>15</v>
      </c>
      <c r="K345" s="508">
        <f>J164</f>
        <v>80</v>
      </c>
      <c r="L345" s="508">
        <f>K164</f>
        <v>-0.7</v>
      </c>
      <c r="M345" s="508">
        <f>L164</f>
        <v>-0.4</v>
      </c>
      <c r="N345" s="508">
        <f>M164</f>
        <v>-1.3</v>
      </c>
      <c r="O345" s="508">
        <f>N164</f>
        <v>0.45</v>
      </c>
      <c r="Q345" s="1263"/>
      <c r="R345" s="508">
        <v>15</v>
      </c>
      <c r="S345" s="508">
        <f>Q164</f>
        <v>1010</v>
      </c>
      <c r="T345" s="508">
        <f>R164</f>
        <v>4.5999999999999996</v>
      </c>
      <c r="U345" s="508">
        <f>S164</f>
        <v>3.9</v>
      </c>
      <c r="V345" s="508">
        <f>T164</f>
        <v>1.1000000000000001</v>
      </c>
      <c r="W345" s="366">
        <f>U164</f>
        <v>1.7499999999999998</v>
      </c>
      <c r="AE345" s="327"/>
    </row>
    <row r="346" spans="1:31" ht="13" hidden="1">
      <c r="A346" s="1263"/>
      <c r="B346" s="508">
        <v>16</v>
      </c>
      <c r="C346" s="508">
        <f>C175</f>
        <v>37</v>
      </c>
      <c r="D346" s="508">
        <f t="shared" ref="D346:F346" si="175">D175</f>
        <v>0.6</v>
      </c>
      <c r="E346" s="508">
        <f t="shared" si="175"/>
        <v>9.9999999999999995E-7</v>
      </c>
      <c r="F346" s="508">
        <f t="shared" si="175"/>
        <v>0</v>
      </c>
      <c r="G346" s="508">
        <f>G175</f>
        <v>0.29999949999999997</v>
      </c>
      <c r="I346" s="1263"/>
      <c r="J346" s="508">
        <v>16</v>
      </c>
      <c r="K346" s="508">
        <f>J175</f>
        <v>80</v>
      </c>
      <c r="L346" s="508">
        <f>K175</f>
        <v>-2.5</v>
      </c>
      <c r="M346" s="508">
        <f>L175</f>
        <v>-2.2999999999999998</v>
      </c>
      <c r="N346" s="508">
        <f>M175</f>
        <v>0</v>
      </c>
      <c r="O346" s="508">
        <f>N175</f>
        <v>0.10000000000000009</v>
      </c>
      <c r="Q346" s="1263"/>
      <c r="R346" s="508">
        <v>16</v>
      </c>
      <c r="S346" s="508">
        <f>Q175</f>
        <v>1010</v>
      </c>
      <c r="T346" s="508">
        <f>R175</f>
        <v>4.3</v>
      </c>
      <c r="U346" s="508">
        <f>S175</f>
        <v>-0.4</v>
      </c>
      <c r="V346" s="508">
        <f>T175</f>
        <v>0</v>
      </c>
      <c r="W346" s="366">
        <f>U175</f>
        <v>2.35</v>
      </c>
      <c r="AE346" s="327"/>
    </row>
    <row r="347" spans="1:31" ht="13" hidden="1">
      <c r="A347" s="1263"/>
      <c r="B347" s="508">
        <v>17</v>
      </c>
      <c r="C347" s="508">
        <f>C186</f>
        <v>37</v>
      </c>
      <c r="D347" s="508">
        <f>D186</f>
        <v>0.7</v>
      </c>
      <c r="E347" s="508">
        <f>E186</f>
        <v>-0.6</v>
      </c>
      <c r="F347" s="508">
        <f t="shared" ref="F347" si="176">F186</f>
        <v>0</v>
      </c>
      <c r="G347" s="508">
        <f>G186</f>
        <v>0.64999999999999991</v>
      </c>
      <c r="I347" s="1263"/>
      <c r="J347" s="508">
        <v>17</v>
      </c>
      <c r="K347" s="508">
        <f>J186</f>
        <v>80</v>
      </c>
      <c r="L347" s="508">
        <f>K186</f>
        <v>-2.2000000000000002</v>
      </c>
      <c r="M347" s="508">
        <f>L186</f>
        <v>-0.8</v>
      </c>
      <c r="N347" s="508">
        <f>M186</f>
        <v>0</v>
      </c>
      <c r="O347" s="508">
        <f>N186</f>
        <v>0.70000000000000007</v>
      </c>
      <c r="Q347" s="1263"/>
      <c r="R347" s="508">
        <v>17</v>
      </c>
      <c r="S347" s="508">
        <f>Q186</f>
        <v>1010</v>
      </c>
      <c r="T347" s="508">
        <f>R186</f>
        <v>4.4000000000000004</v>
      </c>
      <c r="U347" s="508">
        <f>S186</f>
        <v>-0.6</v>
      </c>
      <c r="V347" s="508">
        <f>T186</f>
        <v>0</v>
      </c>
      <c r="W347" s="366">
        <f>U186</f>
        <v>2.5</v>
      </c>
      <c r="AE347" s="327"/>
    </row>
    <row r="348" spans="1:31" ht="13" hidden="1">
      <c r="A348" s="1263"/>
      <c r="B348" s="508">
        <v>18</v>
      </c>
      <c r="C348" s="508">
        <f>C197</f>
        <v>37</v>
      </c>
      <c r="D348" s="508">
        <f t="shared" ref="D348:F348" si="177">D197</f>
        <v>0.4</v>
      </c>
      <c r="E348" s="508">
        <f t="shared" si="177"/>
        <v>-0.3</v>
      </c>
      <c r="F348" s="508">
        <f t="shared" si="177"/>
        <v>0</v>
      </c>
      <c r="G348" s="508">
        <f>G197</f>
        <v>0.35</v>
      </c>
      <c r="I348" s="1263"/>
      <c r="J348" s="508">
        <v>18</v>
      </c>
      <c r="K348" s="508">
        <f>J197</f>
        <v>80</v>
      </c>
      <c r="L348" s="508">
        <f>K197</f>
        <v>-2.4</v>
      </c>
      <c r="M348" s="508">
        <f>L197</f>
        <v>-0.5</v>
      </c>
      <c r="N348" s="508">
        <f>M197</f>
        <v>0</v>
      </c>
      <c r="O348" s="508">
        <f>N197</f>
        <v>0.95</v>
      </c>
      <c r="Q348" s="1263"/>
      <c r="R348" s="508">
        <v>18</v>
      </c>
      <c r="S348" s="508">
        <f>Q197</f>
        <v>1010</v>
      </c>
      <c r="T348" s="508">
        <f>R197</f>
        <v>4.2</v>
      </c>
      <c r="U348" s="508">
        <f>S197</f>
        <v>-0.7</v>
      </c>
      <c r="V348" s="508">
        <f>T197</f>
        <v>0</v>
      </c>
      <c r="W348" s="366">
        <f>U197</f>
        <v>2.4500000000000002</v>
      </c>
      <c r="AE348" s="327"/>
    </row>
    <row r="349" spans="1:31" ht="13" hidden="1">
      <c r="A349" s="1263"/>
      <c r="B349" s="508">
        <v>19</v>
      </c>
      <c r="C349" s="508">
        <f>C208</f>
        <v>37</v>
      </c>
      <c r="D349" s="508">
        <f t="shared" ref="D349:F349" si="178">D208</f>
        <v>0.5</v>
      </c>
      <c r="E349" s="508">
        <f t="shared" si="178"/>
        <v>9.9999999999999995E-7</v>
      </c>
      <c r="F349" s="508">
        <f t="shared" si="178"/>
        <v>0</v>
      </c>
      <c r="G349" s="508">
        <f>G208</f>
        <v>0.24999950000000001</v>
      </c>
      <c r="I349" s="1263"/>
      <c r="J349" s="508">
        <v>19</v>
      </c>
      <c r="K349" s="508">
        <f>J208</f>
        <v>80</v>
      </c>
      <c r="L349" s="508">
        <f>K208</f>
        <v>-2.2000000000000002</v>
      </c>
      <c r="M349" s="508">
        <f>L208</f>
        <v>-0.9</v>
      </c>
      <c r="N349" s="508">
        <f>M208</f>
        <v>0</v>
      </c>
      <c r="O349" s="508">
        <f>N208</f>
        <v>0.65000000000000013</v>
      </c>
      <c r="Q349" s="1263"/>
      <c r="R349" s="508">
        <v>19</v>
      </c>
      <c r="S349" s="508">
        <f>Q208</f>
        <v>1000</v>
      </c>
      <c r="T349" s="508">
        <f>R208</f>
        <v>4.3</v>
      </c>
      <c r="U349" s="508">
        <f>S208</f>
        <v>2.2000000000000002</v>
      </c>
      <c r="V349" s="508">
        <f>T208</f>
        <v>0</v>
      </c>
      <c r="W349" s="366">
        <f>U208</f>
        <v>1.0499999999999998</v>
      </c>
      <c r="AE349" s="327"/>
    </row>
    <row r="350" spans="1:31" ht="13.5" hidden="1" thickBot="1">
      <c r="A350" s="1263"/>
      <c r="B350" s="508">
        <v>20</v>
      </c>
      <c r="C350" s="508">
        <f>C219</f>
        <v>39.5</v>
      </c>
      <c r="D350" s="508">
        <f t="shared" ref="D350:F350" si="179">D219</f>
        <v>9.9999999999999995E-7</v>
      </c>
      <c r="E350" s="508" t="str">
        <f t="shared" si="179"/>
        <v>-</v>
      </c>
      <c r="F350" s="508">
        <f t="shared" si="179"/>
        <v>9.9999999999999995E-7</v>
      </c>
      <c r="G350" s="508">
        <f>G219</f>
        <v>0</v>
      </c>
      <c r="I350" s="1263"/>
      <c r="J350" s="508">
        <v>20</v>
      </c>
      <c r="K350" s="508">
        <f>J219</f>
        <v>88.7</v>
      </c>
      <c r="L350" s="508">
        <f>K219</f>
        <v>9.9999999999999995E-7</v>
      </c>
      <c r="M350" s="508" t="str">
        <f>L219</f>
        <v>-</v>
      </c>
      <c r="N350" s="508">
        <f>M219</f>
        <v>0</v>
      </c>
      <c r="O350" s="508">
        <f>N219</f>
        <v>0</v>
      </c>
      <c r="Q350" s="1265"/>
      <c r="R350" s="510">
        <v>20</v>
      </c>
      <c r="S350" s="510">
        <f>Q219</f>
        <v>1005</v>
      </c>
      <c r="T350" s="510">
        <f>R219</f>
        <v>9.9999999999999995E-7</v>
      </c>
      <c r="U350" s="510" t="str">
        <f>S219</f>
        <v>-</v>
      </c>
      <c r="V350" s="510">
        <f>T219</f>
        <v>9.9999999999999995E-7</v>
      </c>
      <c r="W350" s="383">
        <f>U219</f>
        <v>0</v>
      </c>
      <c r="AE350" s="376"/>
    </row>
    <row r="351" spans="1:31" ht="13" hidden="1">
      <c r="A351" s="333"/>
      <c r="B351" s="333"/>
      <c r="C351" s="333"/>
      <c r="D351" s="333"/>
      <c r="E351" s="333"/>
      <c r="F351" s="321"/>
      <c r="G351" s="333"/>
      <c r="I351" s="333"/>
      <c r="J351" s="333"/>
      <c r="K351" s="333"/>
      <c r="L351" s="333"/>
      <c r="M351" s="333"/>
      <c r="N351" s="321"/>
      <c r="O351" s="333"/>
      <c r="Q351" s="335"/>
      <c r="R351" s="331"/>
      <c r="S351" s="283"/>
      <c r="T351" s="283"/>
      <c r="U351" s="283"/>
      <c r="W351" s="284"/>
      <c r="AE351" s="327"/>
    </row>
    <row r="352" spans="1:31" ht="13" hidden="1">
      <c r="A352" s="1263">
        <v>7</v>
      </c>
      <c r="B352" s="508">
        <v>1</v>
      </c>
      <c r="C352" s="508">
        <f>C11</f>
        <v>40</v>
      </c>
      <c r="D352" s="508">
        <f t="shared" ref="D352:F352" si="180">D11</f>
        <v>0.3</v>
      </c>
      <c r="E352" s="508">
        <f t="shared" si="180"/>
        <v>-0.4</v>
      </c>
      <c r="F352" s="508">
        <f t="shared" si="180"/>
        <v>-0.3</v>
      </c>
      <c r="G352" s="508">
        <f>G11</f>
        <v>0.35</v>
      </c>
      <c r="I352" s="1263">
        <v>7</v>
      </c>
      <c r="J352" s="508">
        <v>1</v>
      </c>
      <c r="K352" s="508">
        <f>J11</f>
        <v>90</v>
      </c>
      <c r="L352" s="508">
        <f>K11</f>
        <v>4</v>
      </c>
      <c r="M352" s="508">
        <f>L11</f>
        <v>-2.7</v>
      </c>
      <c r="N352" s="508">
        <f>M11</f>
        <v>0.3</v>
      </c>
      <c r="O352" s="508">
        <f>N11</f>
        <v>3.35</v>
      </c>
      <c r="Q352" s="1269">
        <v>7</v>
      </c>
      <c r="R352" s="509">
        <v>1</v>
      </c>
      <c r="S352" s="509">
        <f>Q11</f>
        <v>1020</v>
      </c>
      <c r="T352" s="509" t="str">
        <f>R11</f>
        <v>-</v>
      </c>
      <c r="U352" s="509" t="str">
        <f>S11</f>
        <v>-</v>
      </c>
      <c r="V352" s="509">
        <f>T11</f>
        <v>9.9999999999999995E-7</v>
      </c>
      <c r="W352" s="384">
        <f>U11</f>
        <v>0</v>
      </c>
      <c r="AE352" s="381"/>
    </row>
    <row r="353" spans="1:31" ht="13" hidden="1">
      <c r="A353" s="1263"/>
      <c r="B353" s="508">
        <v>2</v>
      </c>
      <c r="C353" s="508">
        <f>C22</f>
        <v>40</v>
      </c>
      <c r="D353" s="508">
        <f t="shared" ref="D353:F353" si="181">D22</f>
        <v>0.6</v>
      </c>
      <c r="E353" s="508">
        <f t="shared" si="181"/>
        <v>-0.1</v>
      </c>
      <c r="F353" s="508">
        <f t="shared" si="181"/>
        <v>-0.3</v>
      </c>
      <c r="G353" s="508">
        <f>G22</f>
        <v>0.44999999999999996</v>
      </c>
      <c r="I353" s="1263"/>
      <c r="J353" s="508">
        <v>2</v>
      </c>
      <c r="K353" s="508">
        <f>J22</f>
        <v>90</v>
      </c>
      <c r="L353" s="508">
        <f>K22</f>
        <v>1.2</v>
      </c>
      <c r="M353" s="508">
        <f>L22</f>
        <v>1.7</v>
      </c>
      <c r="N353" s="508">
        <f>M22</f>
        <v>-0.3</v>
      </c>
      <c r="O353" s="508">
        <f>N22</f>
        <v>1</v>
      </c>
      <c r="Q353" s="1267"/>
      <c r="R353" s="508">
        <v>2</v>
      </c>
      <c r="S353" s="508">
        <f>Q22</f>
        <v>1020</v>
      </c>
      <c r="T353" s="508" t="str">
        <f>R22</f>
        <v>-</v>
      </c>
      <c r="U353" s="508" t="str">
        <f>S22</f>
        <v>-</v>
      </c>
      <c r="V353" s="508" t="str">
        <f>T22</f>
        <v>-</v>
      </c>
      <c r="W353" s="366">
        <f>U22</f>
        <v>0</v>
      </c>
      <c r="AE353" s="327"/>
    </row>
    <row r="354" spans="1:31" ht="13" hidden="1">
      <c r="A354" s="1263"/>
      <c r="B354" s="508">
        <v>3</v>
      </c>
      <c r="C354" s="508">
        <f>C33</f>
        <v>40</v>
      </c>
      <c r="D354" s="508">
        <f t="shared" ref="D354:F354" si="182">D33</f>
        <v>0.3</v>
      </c>
      <c r="E354" s="508">
        <f t="shared" si="182"/>
        <v>0.2</v>
      </c>
      <c r="F354" s="508">
        <f t="shared" si="182"/>
        <v>-0.7</v>
      </c>
      <c r="G354" s="508">
        <f>G33</f>
        <v>0.5</v>
      </c>
      <c r="I354" s="1263"/>
      <c r="J354" s="508">
        <v>3</v>
      </c>
      <c r="K354" s="508">
        <f>J33</f>
        <v>90</v>
      </c>
      <c r="L354" s="508">
        <f>K33</f>
        <v>-0.9</v>
      </c>
      <c r="M354" s="508">
        <f>L33</f>
        <v>0.3</v>
      </c>
      <c r="N354" s="508">
        <f>M33</f>
        <v>-2</v>
      </c>
      <c r="O354" s="508">
        <f>N33</f>
        <v>1.1499999999999999</v>
      </c>
      <c r="Q354" s="1267"/>
      <c r="R354" s="508">
        <v>3</v>
      </c>
      <c r="S354" s="508">
        <f>Q33</f>
        <v>1020</v>
      </c>
      <c r="T354" s="508" t="str">
        <f>R33</f>
        <v>-</v>
      </c>
      <c r="U354" s="508" t="str">
        <f>S33</f>
        <v>-</v>
      </c>
      <c r="V354" s="508" t="str">
        <f>T33</f>
        <v>-</v>
      </c>
      <c r="W354" s="366">
        <f>U33</f>
        <v>0</v>
      </c>
      <c r="AE354" s="327"/>
    </row>
    <row r="355" spans="1:31" ht="13" hidden="1">
      <c r="A355" s="1263"/>
      <c r="B355" s="508">
        <v>4</v>
      </c>
      <c r="C355" s="508">
        <f>C44</f>
        <v>40</v>
      </c>
      <c r="D355" s="508">
        <f t="shared" ref="D355:F355" si="183">D44</f>
        <v>-0.5</v>
      </c>
      <c r="E355" s="508">
        <f t="shared" si="183"/>
        <v>-0.6</v>
      </c>
      <c r="F355" s="508">
        <f t="shared" si="183"/>
        <v>0</v>
      </c>
      <c r="G355" s="508">
        <f>G44</f>
        <v>4.9999999999999989E-2</v>
      </c>
      <c r="I355" s="1263"/>
      <c r="J355" s="508">
        <v>4</v>
      </c>
      <c r="K355" s="508">
        <f>J44</f>
        <v>90</v>
      </c>
      <c r="L355" s="508">
        <f>K44</f>
        <v>-3.5</v>
      </c>
      <c r="M355" s="508">
        <f>L44</f>
        <v>3.3</v>
      </c>
      <c r="N355" s="508">
        <f>M44</f>
        <v>0</v>
      </c>
      <c r="O355" s="508">
        <f>N44</f>
        <v>3.4</v>
      </c>
      <c r="Q355" s="1267"/>
      <c r="R355" s="508">
        <v>4</v>
      </c>
      <c r="S355" s="508">
        <f>Q44</f>
        <v>1020</v>
      </c>
      <c r="T355" s="508" t="str">
        <f>R44</f>
        <v>-</v>
      </c>
      <c r="U355" s="508" t="str">
        <f>S44</f>
        <v>-</v>
      </c>
      <c r="V355" s="508">
        <f>T44</f>
        <v>9.9999999999999995E-7</v>
      </c>
      <c r="W355" s="366">
        <f>U44</f>
        <v>0</v>
      </c>
      <c r="AE355" s="327"/>
    </row>
    <row r="356" spans="1:31" ht="13" hidden="1">
      <c r="A356" s="1263"/>
      <c r="B356" s="508">
        <v>5</v>
      </c>
      <c r="C356" s="508">
        <f>C55</f>
        <v>40</v>
      </c>
      <c r="D356" s="508">
        <f t="shared" ref="D356:F356" si="184">D55</f>
        <v>0.3</v>
      </c>
      <c r="E356" s="508">
        <f t="shared" si="184"/>
        <v>0.2</v>
      </c>
      <c r="F356" s="508">
        <f t="shared" si="184"/>
        <v>0.7</v>
      </c>
      <c r="G356" s="508">
        <f>G55</f>
        <v>0.24999999999999997</v>
      </c>
      <c r="I356" s="1263"/>
      <c r="J356" s="508">
        <v>5</v>
      </c>
      <c r="K356" s="508">
        <f>J55</f>
        <v>90</v>
      </c>
      <c r="L356" s="508">
        <f>K55</f>
        <v>-5.4</v>
      </c>
      <c r="M356" s="508">
        <f>L55</f>
        <v>-0.8</v>
      </c>
      <c r="N356" s="508">
        <f>M55</f>
        <v>-1.8</v>
      </c>
      <c r="O356" s="508">
        <f>N55</f>
        <v>2.3000000000000003</v>
      </c>
      <c r="Q356" s="1267"/>
      <c r="R356" s="508">
        <v>5</v>
      </c>
      <c r="S356" s="508">
        <f>Q55</f>
        <v>1020</v>
      </c>
      <c r="T356" s="508" t="str">
        <f>R55</f>
        <v>-</v>
      </c>
      <c r="U356" s="508" t="str">
        <f>S55</f>
        <v>-</v>
      </c>
      <c r="V356" s="508" t="str">
        <f>T55</f>
        <v>-</v>
      </c>
      <c r="W356" s="366">
        <f>U55</f>
        <v>0</v>
      </c>
      <c r="AE356" s="327"/>
    </row>
    <row r="357" spans="1:31" ht="13" hidden="1">
      <c r="A357" s="1263"/>
      <c r="B357" s="508">
        <v>6</v>
      </c>
      <c r="C357" s="508">
        <f>C66</f>
        <v>40</v>
      </c>
      <c r="D357" s="508">
        <f t="shared" ref="D357:F357" si="185">D66</f>
        <v>0.1</v>
      </c>
      <c r="E357" s="508">
        <f t="shared" si="185"/>
        <v>-1.4</v>
      </c>
      <c r="F357" s="508">
        <f t="shared" si="185"/>
        <v>0</v>
      </c>
      <c r="G357" s="508">
        <f>G66</f>
        <v>0.75</v>
      </c>
      <c r="I357" s="1263"/>
      <c r="J357" s="508">
        <v>6</v>
      </c>
      <c r="K357" s="508">
        <f>J66</f>
        <v>90</v>
      </c>
      <c r="L357" s="508">
        <f>K66</f>
        <v>-5.2</v>
      </c>
      <c r="M357" s="508">
        <f>L66</f>
        <v>0.7</v>
      </c>
      <c r="N357" s="508">
        <f>M66</f>
        <v>0</v>
      </c>
      <c r="O357" s="508">
        <f>N66</f>
        <v>2.95</v>
      </c>
      <c r="Q357" s="1267"/>
      <c r="R357" s="508">
        <v>6</v>
      </c>
      <c r="S357" s="508">
        <f>Q66</f>
        <v>1020</v>
      </c>
      <c r="T357" s="508">
        <f>R66</f>
        <v>0.9</v>
      </c>
      <c r="U357" s="508">
        <f>S66</f>
        <v>9.9999999999999995E-7</v>
      </c>
      <c r="V357" s="508">
        <f>T66</f>
        <v>9.9999999999999995E-7</v>
      </c>
      <c r="W357" s="366">
        <f>U66</f>
        <v>0.4499995</v>
      </c>
      <c r="AE357" s="327"/>
    </row>
    <row r="358" spans="1:31" ht="13" hidden="1">
      <c r="A358" s="1263"/>
      <c r="B358" s="508">
        <v>7</v>
      </c>
      <c r="C358" s="508">
        <f>C77</f>
        <v>40</v>
      </c>
      <c r="D358" s="508">
        <f t="shared" ref="D358:F358" si="186">D77</f>
        <v>0.1</v>
      </c>
      <c r="E358" s="508">
        <f t="shared" si="186"/>
        <v>-1.7</v>
      </c>
      <c r="F358" s="508">
        <f t="shared" si="186"/>
        <v>0</v>
      </c>
      <c r="G358" s="508">
        <f>G77</f>
        <v>0.9</v>
      </c>
      <c r="I358" s="1263"/>
      <c r="J358" s="508">
        <v>7</v>
      </c>
      <c r="K358" s="508">
        <f>J77</f>
        <v>90</v>
      </c>
      <c r="L358" s="508">
        <f>K77</f>
        <v>-3</v>
      </c>
      <c r="M358" s="508">
        <f>L77</f>
        <v>1.8</v>
      </c>
      <c r="N358" s="508">
        <f>M77</f>
        <v>0</v>
      </c>
      <c r="O358" s="508">
        <f>N77</f>
        <v>2.4</v>
      </c>
      <c r="Q358" s="1267"/>
      <c r="R358" s="508">
        <v>7</v>
      </c>
      <c r="S358" s="508">
        <f>Q77</f>
        <v>1020</v>
      </c>
      <c r="T358" s="508">
        <f>R77</f>
        <v>-3.8</v>
      </c>
      <c r="U358" s="508">
        <f>S77</f>
        <v>9.9999999999999995E-7</v>
      </c>
      <c r="V358" s="508">
        <f>T77</f>
        <v>9.9999999999999995E-7</v>
      </c>
      <c r="W358" s="366">
        <f>U77</f>
        <v>1.9000005</v>
      </c>
      <c r="AE358" s="327"/>
    </row>
    <row r="359" spans="1:31" ht="13" hidden="1">
      <c r="A359" s="1263"/>
      <c r="B359" s="508">
        <v>8</v>
      </c>
      <c r="C359" s="508">
        <f>C88</f>
        <v>40</v>
      </c>
      <c r="D359" s="508">
        <f t="shared" ref="D359:F359" si="187">D88</f>
        <v>-0.1</v>
      </c>
      <c r="E359" s="508">
        <f t="shared" si="187"/>
        <v>9.9999999999999995E-7</v>
      </c>
      <c r="F359" s="508">
        <f t="shared" si="187"/>
        <v>-0.4</v>
      </c>
      <c r="G359" s="508">
        <f>G88</f>
        <v>0.2000005</v>
      </c>
      <c r="I359" s="1263"/>
      <c r="J359" s="508">
        <v>8</v>
      </c>
      <c r="K359" s="508">
        <f>J88</f>
        <v>90</v>
      </c>
      <c r="L359" s="508">
        <f>K88</f>
        <v>-9.1</v>
      </c>
      <c r="M359" s="508">
        <f>L88</f>
        <v>-4.9000000000000004</v>
      </c>
      <c r="N359" s="508">
        <f>M88</f>
        <v>-1.3</v>
      </c>
      <c r="O359" s="508">
        <f>N88</f>
        <v>3.9</v>
      </c>
      <c r="Q359" s="1267"/>
      <c r="R359" s="508">
        <v>8</v>
      </c>
      <c r="S359" s="508">
        <f>Q88</f>
        <v>1020</v>
      </c>
      <c r="T359" s="508">
        <f>R88</f>
        <v>0</v>
      </c>
      <c r="U359" s="508">
        <f>S88</f>
        <v>0</v>
      </c>
      <c r="V359" s="508">
        <f>T88</f>
        <v>9.9999999999999995E-7</v>
      </c>
      <c r="W359" s="366">
        <f>U88</f>
        <v>4.9999999999999998E-7</v>
      </c>
      <c r="AE359" s="327"/>
    </row>
    <row r="360" spans="1:31" ht="13" hidden="1">
      <c r="A360" s="1263"/>
      <c r="B360" s="508">
        <v>9</v>
      </c>
      <c r="C360" s="508">
        <f>C99</f>
        <v>40</v>
      </c>
      <c r="D360" s="508">
        <f t="shared" ref="D360:F360" si="188">D99</f>
        <v>-0.4</v>
      </c>
      <c r="E360" s="508" t="str">
        <f t="shared" si="188"/>
        <v>-</v>
      </c>
      <c r="F360" s="508">
        <f t="shared" si="188"/>
        <v>0</v>
      </c>
      <c r="G360" s="508">
        <f>G99</f>
        <v>0</v>
      </c>
      <c r="I360" s="1263"/>
      <c r="J360" s="508">
        <v>9</v>
      </c>
      <c r="K360" s="508">
        <f>J99</f>
        <v>90</v>
      </c>
      <c r="L360" s="508">
        <f>K99</f>
        <v>-0.2</v>
      </c>
      <c r="M360" s="508" t="str">
        <f>L99</f>
        <v>-</v>
      </c>
      <c r="N360" s="508">
        <f>M99</f>
        <v>0</v>
      </c>
      <c r="O360" s="508">
        <f>N99</f>
        <v>0</v>
      </c>
      <c r="Q360" s="1267"/>
      <c r="R360" s="508">
        <v>9</v>
      </c>
      <c r="S360" s="508">
        <f>Q99</f>
        <v>1020</v>
      </c>
      <c r="T360" s="508">
        <f>R99</f>
        <v>9.9999999999999995E-7</v>
      </c>
      <c r="U360" s="508" t="str">
        <f>S99</f>
        <v>-</v>
      </c>
      <c r="V360" s="508">
        <f>T99</f>
        <v>9.9999999999999995E-7</v>
      </c>
      <c r="W360" s="366">
        <f>U99</f>
        <v>0</v>
      </c>
      <c r="AE360" s="327"/>
    </row>
    <row r="361" spans="1:31" ht="13" hidden="1">
      <c r="A361" s="1263"/>
      <c r="B361" s="508">
        <v>10</v>
      </c>
      <c r="C361" s="508">
        <f>C110</f>
        <v>40</v>
      </c>
      <c r="D361" s="508">
        <f t="shared" ref="D361:F361" si="189">D110</f>
        <v>0.2</v>
      </c>
      <c r="E361" s="508">
        <f t="shared" si="189"/>
        <v>9.9999999999999995E-7</v>
      </c>
      <c r="F361" s="508">
        <f t="shared" si="189"/>
        <v>0</v>
      </c>
      <c r="G361" s="508">
        <f>G110</f>
        <v>9.9999500000000005E-2</v>
      </c>
      <c r="I361" s="1263"/>
      <c r="J361" s="508">
        <v>10</v>
      </c>
      <c r="K361" s="508">
        <f>J110</f>
        <v>90</v>
      </c>
      <c r="L361" s="508">
        <f>K110</f>
        <v>5.4</v>
      </c>
      <c r="M361" s="508">
        <f>L110</f>
        <v>9.9999999999999995E-7</v>
      </c>
      <c r="N361" s="508">
        <f>M110</f>
        <v>0</v>
      </c>
      <c r="O361" s="508">
        <f>N110</f>
        <v>2.6999995000000001</v>
      </c>
      <c r="Q361" s="1267"/>
      <c r="R361" s="508">
        <v>10</v>
      </c>
      <c r="S361" s="508">
        <f>Q110</f>
        <v>1020</v>
      </c>
      <c r="T361" s="508" t="str">
        <f>R110</f>
        <v>-</v>
      </c>
      <c r="U361" s="508" t="str">
        <f>S110</f>
        <v>-</v>
      </c>
      <c r="V361" s="508">
        <f>T110</f>
        <v>9.9999999999999995E-7</v>
      </c>
      <c r="W361" s="366">
        <f>U110</f>
        <v>0</v>
      </c>
      <c r="AE361" s="327"/>
    </row>
    <row r="362" spans="1:31" ht="13" hidden="1">
      <c r="A362" s="1263"/>
      <c r="B362" s="508">
        <v>11</v>
      </c>
      <c r="C362" s="508">
        <f>C121</f>
        <v>40</v>
      </c>
      <c r="D362" s="508">
        <f t="shared" ref="D362:F362" si="190">D121</f>
        <v>0.5</v>
      </c>
      <c r="E362" s="508">
        <f t="shared" si="190"/>
        <v>9.9999999999999995E-7</v>
      </c>
      <c r="F362" s="508">
        <f t="shared" si="190"/>
        <v>0</v>
      </c>
      <c r="G362" s="508">
        <f>G121</f>
        <v>0.24999950000000001</v>
      </c>
      <c r="I362" s="1263"/>
      <c r="J362" s="508">
        <v>11</v>
      </c>
      <c r="K362" s="508">
        <f>J121</f>
        <v>90</v>
      </c>
      <c r="L362" s="508">
        <f>K121</f>
        <v>1.3</v>
      </c>
      <c r="M362" s="508">
        <f>L121</f>
        <v>9.9999999999999995E-7</v>
      </c>
      <c r="N362" s="508">
        <f>M121</f>
        <v>0</v>
      </c>
      <c r="O362" s="508">
        <f>N121</f>
        <v>0.64999950000000006</v>
      </c>
      <c r="Q362" s="1267"/>
      <c r="R362" s="508">
        <v>11</v>
      </c>
      <c r="S362" s="508">
        <f>Q121</f>
        <v>1020</v>
      </c>
      <c r="T362" s="508" t="str">
        <f>R121</f>
        <v>-</v>
      </c>
      <c r="U362" s="508" t="str">
        <f>S121</f>
        <v>-</v>
      </c>
      <c r="V362" s="508">
        <f>T121</f>
        <v>9.9999999999999995E-7</v>
      </c>
      <c r="W362" s="366">
        <f>U121</f>
        <v>0</v>
      </c>
      <c r="AE362" s="327"/>
    </row>
    <row r="363" spans="1:31" ht="13" hidden="1">
      <c r="A363" s="1263"/>
      <c r="B363" s="508">
        <v>12</v>
      </c>
      <c r="C363" s="508">
        <f>C132</f>
        <v>40</v>
      </c>
      <c r="D363" s="508">
        <f t="shared" ref="D363:F363" si="191">D132</f>
        <v>0.8</v>
      </c>
      <c r="E363" s="508">
        <f t="shared" si="191"/>
        <v>-0.4</v>
      </c>
      <c r="F363" s="508">
        <f t="shared" si="191"/>
        <v>0</v>
      </c>
      <c r="G363" s="508">
        <f>G132</f>
        <v>0.60000000000000009</v>
      </c>
      <c r="I363" s="1263"/>
      <c r="J363" s="508">
        <v>12</v>
      </c>
      <c r="K363" s="508">
        <f>J132</f>
        <v>90</v>
      </c>
      <c r="L363" s="508">
        <f>K132</f>
        <v>-1.8</v>
      </c>
      <c r="M363" s="508">
        <f>L132</f>
        <v>-0.9</v>
      </c>
      <c r="N363" s="508">
        <f>M132</f>
        <v>0</v>
      </c>
      <c r="O363" s="508">
        <f>N132</f>
        <v>0.45</v>
      </c>
      <c r="Q363" s="1267"/>
      <c r="R363" s="508">
        <v>12</v>
      </c>
      <c r="S363" s="508">
        <f>Q132</f>
        <v>1020</v>
      </c>
      <c r="T363" s="508">
        <f>R132</f>
        <v>0</v>
      </c>
      <c r="U363" s="508">
        <f>S132</f>
        <v>9.9999999999999995E-7</v>
      </c>
      <c r="V363" s="508">
        <f>T132</f>
        <v>0</v>
      </c>
      <c r="W363" s="366">
        <f>U132</f>
        <v>4.9999999999999998E-7</v>
      </c>
      <c r="AE363" s="327"/>
    </row>
    <row r="364" spans="1:31" ht="13" hidden="1">
      <c r="A364" s="1263"/>
      <c r="B364" s="508">
        <v>13</v>
      </c>
      <c r="C364" s="508">
        <f>C143</f>
        <v>40</v>
      </c>
      <c r="D364" s="508">
        <f t="shared" ref="D364:F364" si="192">D143</f>
        <v>0.7</v>
      </c>
      <c r="E364" s="508">
        <f t="shared" si="192"/>
        <v>-0.2</v>
      </c>
      <c r="F364" s="508">
        <f t="shared" si="192"/>
        <v>0.5</v>
      </c>
      <c r="G364" s="508">
        <f>G143</f>
        <v>0.44999999999999996</v>
      </c>
      <c r="I364" s="1263"/>
      <c r="J364" s="508">
        <v>13</v>
      </c>
      <c r="K364" s="508">
        <f>J143</f>
        <v>90</v>
      </c>
      <c r="L364" s="508">
        <f>K143</f>
        <v>-0.4</v>
      </c>
      <c r="M364" s="508">
        <f>L143</f>
        <v>-1</v>
      </c>
      <c r="N364" s="508">
        <f>M143</f>
        <v>-3.2</v>
      </c>
      <c r="O364" s="508">
        <f>N143</f>
        <v>1.4000000000000001</v>
      </c>
      <c r="Q364" s="1267"/>
      <c r="R364" s="508">
        <v>13</v>
      </c>
      <c r="S364" s="508">
        <f>Q143</f>
        <v>1020</v>
      </c>
      <c r="T364" s="508">
        <f>R143</f>
        <v>0</v>
      </c>
      <c r="U364" s="508">
        <f>S143</f>
        <v>9.9999999999999995E-7</v>
      </c>
      <c r="V364" s="508">
        <f>T143</f>
        <v>9.9999999999999995E-7</v>
      </c>
      <c r="W364" s="366">
        <f>U143</f>
        <v>0</v>
      </c>
      <c r="AE364" s="327"/>
    </row>
    <row r="365" spans="1:31" ht="13" hidden="1">
      <c r="A365" s="1263"/>
      <c r="B365" s="508">
        <v>14</v>
      </c>
      <c r="C365" s="508">
        <f>C154</f>
        <v>40</v>
      </c>
      <c r="D365" s="508">
        <f t="shared" ref="D365:F365" si="193">D154</f>
        <v>0.4</v>
      </c>
      <c r="E365" s="508">
        <f t="shared" si="193"/>
        <v>-0.8</v>
      </c>
      <c r="F365" s="508">
        <f t="shared" si="193"/>
        <v>-1.1000000000000001</v>
      </c>
      <c r="G365" s="508">
        <f>G154</f>
        <v>0.75</v>
      </c>
      <c r="I365" s="1263"/>
      <c r="J365" s="508">
        <v>14</v>
      </c>
      <c r="K365" s="508">
        <f>J154</f>
        <v>90</v>
      </c>
      <c r="L365" s="508">
        <f>K154</f>
        <v>1.9</v>
      </c>
      <c r="M365" s="508">
        <f>L154</f>
        <v>1.5</v>
      </c>
      <c r="N365" s="508">
        <f>M154</f>
        <v>-0.8</v>
      </c>
      <c r="O365" s="508">
        <f>N154</f>
        <v>1.35</v>
      </c>
      <c r="Q365" s="1267"/>
      <c r="R365" s="508">
        <v>14</v>
      </c>
      <c r="S365" s="508">
        <f>Q154</f>
        <v>1020</v>
      </c>
      <c r="T365" s="508">
        <f>R154</f>
        <v>0</v>
      </c>
      <c r="U365" s="508">
        <f>S154</f>
        <v>9.9999999999999995E-7</v>
      </c>
      <c r="V365" s="508">
        <f>T154</f>
        <v>9.9999999999999995E-7</v>
      </c>
      <c r="W365" s="366">
        <f>U154</f>
        <v>0</v>
      </c>
      <c r="AE365" s="327"/>
    </row>
    <row r="366" spans="1:31" ht="13" hidden="1">
      <c r="A366" s="1263"/>
      <c r="B366" s="508">
        <v>15</v>
      </c>
      <c r="C366" s="508">
        <f>C165</f>
        <v>40</v>
      </c>
      <c r="D366" s="508">
        <f t="shared" ref="D366:F366" si="194">D165</f>
        <v>0.6</v>
      </c>
      <c r="E366" s="508">
        <f t="shared" si="194"/>
        <v>1.4</v>
      </c>
      <c r="F366" s="508">
        <f t="shared" si="194"/>
        <v>9.9999999999999995E-7</v>
      </c>
      <c r="G366" s="508">
        <f>G165</f>
        <v>0.6999995</v>
      </c>
      <c r="I366" s="1263"/>
      <c r="J366" s="508">
        <v>15</v>
      </c>
      <c r="K366" s="508">
        <f>J165</f>
        <v>90</v>
      </c>
      <c r="L366" s="508">
        <f>K165</f>
        <v>0.1</v>
      </c>
      <c r="M366" s="508">
        <f>L165</f>
        <v>-0.1</v>
      </c>
      <c r="N366" s="508">
        <f>M165</f>
        <v>-2</v>
      </c>
      <c r="O366" s="508">
        <f>N165</f>
        <v>1.05</v>
      </c>
      <c r="Q366" s="1267"/>
      <c r="R366" s="508">
        <v>15</v>
      </c>
      <c r="S366" s="508">
        <f>Q165</f>
        <v>1020</v>
      </c>
      <c r="T366" s="508">
        <f>R165</f>
        <v>0</v>
      </c>
      <c r="U366" s="508">
        <f>S165</f>
        <v>9.9999999999999995E-7</v>
      </c>
      <c r="V366" s="508">
        <f>T165</f>
        <v>9.9999999999999995E-7</v>
      </c>
      <c r="W366" s="366">
        <f>U165</f>
        <v>0</v>
      </c>
      <c r="AE366" s="327"/>
    </row>
    <row r="367" spans="1:31" ht="13" hidden="1">
      <c r="A367" s="1263"/>
      <c r="B367" s="508">
        <v>16</v>
      </c>
      <c r="C367" s="508">
        <f>C176</f>
        <v>40</v>
      </c>
      <c r="D367" s="508">
        <f t="shared" ref="D367:F367" si="195">D176</f>
        <v>0.6</v>
      </c>
      <c r="E367" s="508">
        <f t="shared" si="195"/>
        <v>9.9999999999999995E-7</v>
      </c>
      <c r="F367" s="508">
        <f t="shared" si="195"/>
        <v>0</v>
      </c>
      <c r="G367" s="508">
        <f>G176</f>
        <v>0.29999949999999997</v>
      </c>
      <c r="I367" s="1263"/>
      <c r="J367" s="508">
        <v>16</v>
      </c>
      <c r="K367" s="508">
        <f>J176</f>
        <v>90</v>
      </c>
      <c r="L367" s="508">
        <f>K176</f>
        <v>-3.1</v>
      </c>
      <c r="M367" s="508">
        <f>L176</f>
        <v>-3</v>
      </c>
      <c r="N367" s="508">
        <f>M176</f>
        <v>0</v>
      </c>
      <c r="O367" s="508">
        <f>N176</f>
        <v>5.0000000000000044E-2</v>
      </c>
      <c r="Q367" s="1267"/>
      <c r="R367" s="508">
        <v>16</v>
      </c>
      <c r="S367" s="508">
        <f>Q176</f>
        <v>1020</v>
      </c>
      <c r="T367" s="508">
        <f>R176</f>
        <v>0</v>
      </c>
      <c r="U367" s="508">
        <f>S176</f>
        <v>9.9999999999999995E-7</v>
      </c>
      <c r="V367" s="508">
        <f>T176</f>
        <v>0</v>
      </c>
      <c r="W367" s="366">
        <f>U176</f>
        <v>4.9999999999999998E-7</v>
      </c>
      <c r="AE367" s="327"/>
    </row>
    <row r="368" spans="1:31" ht="13" hidden="1">
      <c r="A368" s="1263"/>
      <c r="B368" s="508">
        <v>17</v>
      </c>
      <c r="C368" s="508">
        <f>C187</f>
        <v>40</v>
      </c>
      <c r="D368" s="508">
        <f>D187</f>
        <v>0.7</v>
      </c>
      <c r="E368" s="508">
        <f>E187</f>
        <v>-0.8</v>
      </c>
      <c r="F368" s="508">
        <f t="shared" ref="F368" si="196">F187</f>
        <v>0</v>
      </c>
      <c r="G368" s="508">
        <f>G187</f>
        <v>0.75</v>
      </c>
      <c r="I368" s="1263"/>
      <c r="J368" s="508">
        <v>17</v>
      </c>
      <c r="K368" s="508">
        <f>J187</f>
        <v>90</v>
      </c>
      <c r="L368" s="508">
        <f>K187</f>
        <v>-2.9</v>
      </c>
      <c r="M368" s="508">
        <f>L187</f>
        <v>-1.4</v>
      </c>
      <c r="N368" s="508">
        <f>M187</f>
        <v>0</v>
      </c>
      <c r="O368" s="508">
        <f>N187</f>
        <v>0.75</v>
      </c>
      <c r="Q368" s="1267"/>
      <c r="R368" s="508">
        <v>17</v>
      </c>
      <c r="S368" s="508">
        <f>Q187</f>
        <v>1020</v>
      </c>
      <c r="T368" s="508">
        <f>R187</f>
        <v>0</v>
      </c>
      <c r="U368" s="508">
        <f>S187</f>
        <v>9.9999999999999995E-7</v>
      </c>
      <c r="V368" s="508">
        <f>T187</f>
        <v>0</v>
      </c>
      <c r="W368" s="366">
        <f>U187</f>
        <v>4.9999999999999998E-7</v>
      </c>
      <c r="AE368" s="327"/>
    </row>
    <row r="369" spans="1:31" ht="13" hidden="1">
      <c r="A369" s="1263"/>
      <c r="B369" s="508">
        <v>18</v>
      </c>
      <c r="C369" s="508">
        <f>C198</f>
        <v>40</v>
      </c>
      <c r="D369" s="508">
        <f t="shared" ref="D369:F369" si="197">D198</f>
        <v>0.5</v>
      </c>
      <c r="E369" s="508">
        <f t="shared" si="197"/>
        <v>-0.4</v>
      </c>
      <c r="F369" s="508">
        <f t="shared" si="197"/>
        <v>0</v>
      </c>
      <c r="G369" s="508">
        <f>G198</f>
        <v>0.45</v>
      </c>
      <c r="I369" s="1263"/>
      <c r="J369" s="508">
        <v>18</v>
      </c>
      <c r="K369" s="508">
        <f>J198</f>
        <v>90</v>
      </c>
      <c r="L369" s="508">
        <f>K198</f>
        <v>-3</v>
      </c>
      <c r="M369" s="508">
        <f>L198</f>
        <v>-0.8</v>
      </c>
      <c r="N369" s="508">
        <f>M198</f>
        <v>0</v>
      </c>
      <c r="O369" s="508">
        <f>N198</f>
        <v>1.1000000000000001</v>
      </c>
      <c r="Q369" s="1267"/>
      <c r="R369" s="508">
        <v>18</v>
      </c>
      <c r="S369" s="508">
        <f>Q198</f>
        <v>1020</v>
      </c>
      <c r="T369" s="508">
        <f>R198</f>
        <v>0</v>
      </c>
      <c r="U369" s="508">
        <f>S198</f>
        <v>9.9999999999999995E-7</v>
      </c>
      <c r="V369" s="508">
        <f>T198</f>
        <v>0</v>
      </c>
      <c r="W369" s="366">
        <f>U198</f>
        <v>4.9999999999999998E-7</v>
      </c>
      <c r="AE369" s="327"/>
    </row>
    <row r="370" spans="1:31" ht="13" hidden="1">
      <c r="A370" s="1263"/>
      <c r="B370" s="508">
        <v>19</v>
      </c>
      <c r="C370" s="508">
        <f>C209</f>
        <v>40</v>
      </c>
      <c r="D370" s="508">
        <f t="shared" ref="D370:F370" si="198">D209</f>
        <v>0.6</v>
      </c>
      <c r="E370" s="508">
        <f t="shared" si="198"/>
        <v>0.2</v>
      </c>
      <c r="F370" s="508">
        <f t="shared" si="198"/>
        <v>0</v>
      </c>
      <c r="G370" s="508">
        <f>G209</f>
        <v>0.19999999999999998</v>
      </c>
      <c r="I370" s="1263"/>
      <c r="J370" s="508">
        <v>19</v>
      </c>
      <c r="K370" s="508">
        <f>J209</f>
        <v>90</v>
      </c>
      <c r="L370" s="508">
        <f>K209</f>
        <v>-1.7</v>
      </c>
      <c r="M370" s="508">
        <f>L209</f>
        <v>-0.6</v>
      </c>
      <c r="N370" s="508">
        <f>M209</f>
        <v>0</v>
      </c>
      <c r="O370" s="508">
        <f>N209</f>
        <v>0.55000000000000004</v>
      </c>
      <c r="Q370" s="1267"/>
      <c r="R370" s="508">
        <v>19</v>
      </c>
      <c r="S370" s="508">
        <f>Q209</f>
        <v>1050</v>
      </c>
      <c r="T370" s="508">
        <f>R209</f>
        <v>0</v>
      </c>
      <c r="U370" s="508">
        <f>S209</f>
        <v>2.2999999999999998</v>
      </c>
      <c r="V370" s="508">
        <f>T209</f>
        <v>0</v>
      </c>
      <c r="W370" s="366">
        <f>U209</f>
        <v>1.1499999999999999</v>
      </c>
      <c r="AE370" s="327"/>
    </row>
    <row r="371" spans="1:31" ht="13.5" hidden="1" thickBot="1">
      <c r="A371" s="1263"/>
      <c r="B371" s="508">
        <v>20</v>
      </c>
      <c r="C371" s="508">
        <f>C220</f>
        <v>40</v>
      </c>
      <c r="D371" s="508">
        <f t="shared" ref="D371:F371" si="199">D220</f>
        <v>9.9999999999999995E-7</v>
      </c>
      <c r="E371" s="508" t="str">
        <f t="shared" si="199"/>
        <v>-</v>
      </c>
      <c r="F371" s="508">
        <f t="shared" si="199"/>
        <v>9.9999999999999995E-7</v>
      </c>
      <c r="G371" s="508">
        <f>G220</f>
        <v>0</v>
      </c>
      <c r="I371" s="1263"/>
      <c r="J371" s="508">
        <v>20</v>
      </c>
      <c r="K371" s="508">
        <f>J220</f>
        <v>90</v>
      </c>
      <c r="L371" s="508">
        <f>K220</f>
        <v>9.9999999999999995E-7</v>
      </c>
      <c r="M371" s="508" t="str">
        <f>L220</f>
        <v>-</v>
      </c>
      <c r="N371" s="508">
        <f>M220</f>
        <v>0</v>
      </c>
      <c r="O371" s="508">
        <f>N220</f>
        <v>0</v>
      </c>
      <c r="Q371" s="1268"/>
      <c r="R371" s="510">
        <v>20</v>
      </c>
      <c r="S371" s="510">
        <f>Q220</f>
        <v>1020</v>
      </c>
      <c r="T371" s="510">
        <f>R220</f>
        <v>9.9999999999999995E-7</v>
      </c>
      <c r="U371" s="510" t="str">
        <f>S220</f>
        <v>-</v>
      </c>
      <c r="V371" s="510">
        <f>T220</f>
        <v>9.9999999999999995E-7</v>
      </c>
      <c r="W371" s="383">
        <f>U220</f>
        <v>0</v>
      </c>
      <c r="AE371" s="376"/>
    </row>
    <row r="372" spans="1:31" ht="13.5" thickBot="1">
      <c r="A372" s="336"/>
      <c r="B372" s="337"/>
      <c r="C372" s="332"/>
      <c r="D372" s="332"/>
      <c r="E372" s="332"/>
      <c r="F372" s="332"/>
      <c r="G372" s="332"/>
      <c r="H372" s="327"/>
      <c r="I372" s="338"/>
      <c r="J372" s="337"/>
      <c r="K372" s="332"/>
      <c r="L372" s="332"/>
      <c r="M372" s="332"/>
      <c r="N372" s="332"/>
      <c r="O372" s="332"/>
      <c r="P372" s="327"/>
    </row>
    <row r="373" spans="1:31" ht="29.25" customHeight="1">
      <c r="A373" s="521">
        <f>A410</f>
        <v>16</v>
      </c>
      <c r="B373" s="1280" t="str">
        <f>A389</f>
        <v>Thermohygrolight, Merek : EXTECH, Model : SD700, SN : A.100616</v>
      </c>
      <c r="C373" s="1280"/>
      <c r="D373" s="1280"/>
      <c r="E373" s="1280"/>
      <c r="G373" s="521">
        <f>A373</f>
        <v>16</v>
      </c>
      <c r="H373" s="1280" t="str">
        <f>B373</f>
        <v>Thermohygrolight, Merek : EXTECH, Model : SD700, SN : A.100616</v>
      </c>
      <c r="I373" s="1280"/>
      <c r="J373" s="1280"/>
      <c r="K373" s="1280"/>
      <c r="M373" s="521">
        <f>G373</f>
        <v>16</v>
      </c>
      <c r="N373" s="1280" t="str">
        <f>H373</f>
        <v>Thermohygrolight, Merek : EXTECH, Model : SD700, SN : A.100616</v>
      </c>
      <c r="O373" s="1280"/>
      <c r="P373" s="1280"/>
      <c r="Q373" s="1280"/>
      <c r="S373" s="522">
        <f>A373</f>
        <v>16</v>
      </c>
      <c r="T373" s="1281" t="str">
        <f>H373</f>
        <v>Thermohygrolight, Merek : EXTECH, Model : SD700, SN : A.100616</v>
      </c>
      <c r="U373" s="1281"/>
      <c r="V373" s="1281"/>
      <c r="W373" s="1282"/>
      <c r="Z373" s="523"/>
      <c r="AE373" s="319"/>
    </row>
    <row r="374" spans="1:31" ht="13.5">
      <c r="A374" s="511" t="s">
        <v>456</v>
      </c>
      <c r="B374" s="1283" t="s">
        <v>457</v>
      </c>
      <c r="C374" s="1283"/>
      <c r="D374" s="1283"/>
      <c r="E374" s="1283" t="s">
        <v>357</v>
      </c>
      <c r="G374" s="511" t="s">
        <v>458</v>
      </c>
      <c r="H374" s="1283" t="s">
        <v>457</v>
      </c>
      <c r="I374" s="1283"/>
      <c r="J374" s="1283"/>
      <c r="K374" s="1283" t="s">
        <v>357</v>
      </c>
      <c r="M374" s="511" t="s">
        <v>459</v>
      </c>
      <c r="N374" s="1283" t="s">
        <v>457</v>
      </c>
      <c r="O374" s="1283"/>
      <c r="P374" s="1283"/>
      <c r="Q374" s="1283" t="s">
        <v>357</v>
      </c>
      <c r="S374" s="1274"/>
      <c r="T374" s="1275" t="s">
        <v>483</v>
      </c>
      <c r="U374" s="1275" t="s">
        <v>484</v>
      </c>
      <c r="V374" s="1275" t="s">
        <v>485</v>
      </c>
      <c r="W374" s="1276" t="s">
        <v>371</v>
      </c>
      <c r="Z374" s="332"/>
    </row>
    <row r="375" spans="1:31" ht="14">
      <c r="A375" s="524" t="s">
        <v>482</v>
      </c>
      <c r="B375" s="385">
        <f>VLOOKUP(B373,A390:L409,9,FALSE)</f>
        <v>2023</v>
      </c>
      <c r="C375" s="385">
        <f>VLOOKUP(B373,A390:L409,10,FALSE)</f>
        <v>2020</v>
      </c>
      <c r="D375" s="385">
        <f>VLOOKUP(B373,A390:L409,11,FALSE)</f>
        <v>2016</v>
      </c>
      <c r="E375" s="1283"/>
      <c r="G375" s="525" t="s">
        <v>15</v>
      </c>
      <c r="H375" s="385">
        <f>B375</f>
        <v>2023</v>
      </c>
      <c r="I375" s="385">
        <f>C375</f>
        <v>2020</v>
      </c>
      <c r="J375" s="385">
        <f>D375</f>
        <v>2016</v>
      </c>
      <c r="K375" s="1283"/>
      <c r="M375" s="525" t="s">
        <v>461</v>
      </c>
      <c r="N375" s="385">
        <f>H375</f>
        <v>2023</v>
      </c>
      <c r="O375" s="385">
        <f>I375</f>
        <v>2020</v>
      </c>
      <c r="P375" s="385">
        <f>J375</f>
        <v>2016</v>
      </c>
      <c r="Q375" s="1283"/>
      <c r="S375" s="1274"/>
      <c r="T375" s="1275"/>
      <c r="U375" s="1275"/>
      <c r="V375" s="1275"/>
      <c r="W375" s="1276"/>
      <c r="Z375" s="332"/>
    </row>
    <row r="376" spans="1:31" ht="13">
      <c r="A376" s="333">
        <f>VLOOKUP($A$373,$B$226:$G$245,2,FALSE)</f>
        <v>15</v>
      </c>
      <c r="B376" s="333">
        <f>VLOOKUP($A$373,$B$226:$G$245,3,FALSE)</f>
        <v>0.1</v>
      </c>
      <c r="C376" s="333">
        <f>VLOOKUP($A$373,$B$226:$G$245,4,FALSE)</f>
        <v>0.1</v>
      </c>
      <c r="D376" s="333">
        <f>VLOOKUP($A$373,$B$226:$G$245,5,FALSE)</f>
        <v>0</v>
      </c>
      <c r="E376" s="333">
        <f>VLOOKUP($A$373,$B$226:$G$245,6,FALSE)</f>
        <v>0</v>
      </c>
      <c r="G376" s="333">
        <f>VLOOKUP($G$373,$J$226:$O$245,2,FALSE)</f>
        <v>35</v>
      </c>
      <c r="H376" s="333">
        <f>VLOOKUP($G$373,$J$226:$O$245,3,FALSE)</f>
        <v>-2.5</v>
      </c>
      <c r="I376" s="333">
        <f>VLOOKUP($G$373,$J$226:$O$245,4,FALSE)</f>
        <v>-1.6</v>
      </c>
      <c r="J376" s="333">
        <f>VLOOKUP($G$373,$J$226:$O$245,5,FALSE)</f>
        <v>0</v>
      </c>
      <c r="K376" s="333">
        <f>VLOOKUP($G$373,$J$226:$O$245,6,FALSE)</f>
        <v>0.44999999999999996</v>
      </c>
      <c r="M376" s="333">
        <f>VLOOKUP($M$373,$R$226:$W$245,2,FALSE)</f>
        <v>960</v>
      </c>
      <c r="N376" s="333">
        <f>VLOOKUP($M$373,$R$226:$W$245,3,FALSE)</f>
        <v>4.5999999999999996</v>
      </c>
      <c r="O376" s="333">
        <f>VLOOKUP($M$373,$R$226:$W$245,4,FALSE)</f>
        <v>-2.9</v>
      </c>
      <c r="P376" s="333">
        <f>VLOOKUP($M$373,$R$226:$W$245,5,FALSE)</f>
        <v>0</v>
      </c>
      <c r="Q376" s="333">
        <f>VLOOKUP($M$373,$R$226:$W$245,6,FALSE)</f>
        <v>3.75</v>
      </c>
      <c r="S376" s="1274"/>
      <c r="T376" s="1275"/>
      <c r="U376" s="1275"/>
      <c r="V376" s="1275"/>
      <c r="W376" s="1276"/>
      <c r="Z376" s="332"/>
    </row>
    <row r="377" spans="1:31" ht="13">
      <c r="A377" s="333">
        <f>VLOOKUP($A$373,$B$247:$G$266,2,FALSE)</f>
        <v>20</v>
      </c>
      <c r="B377" s="333">
        <f>VLOOKUP($A$373,$B$247:$G$266,3,FALSE)</f>
        <v>0.3</v>
      </c>
      <c r="C377" s="333">
        <f>VLOOKUP($A$373,$B$247:$G$266,4,FALSE)</f>
        <v>0.2</v>
      </c>
      <c r="D377" s="333">
        <f>VLOOKUP($A$373,$B$247:$G$266,5,FALSE)</f>
        <v>0</v>
      </c>
      <c r="E377" s="333">
        <f>VLOOKUP($A$373,$B$247:$G$266,6,FALSE)</f>
        <v>4.9999999999999989E-2</v>
      </c>
      <c r="G377" s="333">
        <f>VLOOKUP($G$373,$J$247:$O$266,2,FALSE)</f>
        <v>40</v>
      </c>
      <c r="H377" s="333">
        <f>VLOOKUP($G$373,$J$247:$O$266,3,FALSE)</f>
        <v>-2.2999999999999998</v>
      </c>
      <c r="I377" s="333">
        <f>VLOOKUP($G$373,$J$247:$O$266,4,FALSE)</f>
        <v>-1.4</v>
      </c>
      <c r="J377" s="333">
        <f>VLOOKUP($G$373,$J$247:$O$266,5,FALSE)</f>
        <v>0</v>
      </c>
      <c r="K377" s="333">
        <f>VLOOKUP($G$373,$J$247:$O$266,6,FALSE)</f>
        <v>0.44999999999999996</v>
      </c>
      <c r="M377" s="333">
        <f>VLOOKUP($M$373,$R$247:$W$266,2,FALSE)</f>
        <v>970</v>
      </c>
      <c r="N377" s="333">
        <f>VLOOKUP($M$373,$R$247:$W$266,3,FALSE)</f>
        <v>4.5</v>
      </c>
      <c r="O377" s="333">
        <f>VLOOKUP($M$373,$R$247:$W$266,4,FALSE)</f>
        <v>-2.2999999999999998</v>
      </c>
      <c r="P377" s="333">
        <f>VLOOKUP($M$373,$R$247:$W$266,5,FALSE)</f>
        <v>0</v>
      </c>
      <c r="Q377" s="333">
        <f>VLOOKUP($M$373,$R$247:$W$266,6,FALSE)</f>
        <v>3.4</v>
      </c>
      <c r="S377" s="339" t="s">
        <v>456</v>
      </c>
      <c r="T377" s="340">
        <f>ID!E17</f>
        <v>26.25</v>
      </c>
      <c r="U377" s="282">
        <f>T377+S386</f>
        <v>26.670935072142065</v>
      </c>
      <c r="V377" s="340">
        <f>STDEV(ID!C17:D17)</f>
        <v>7.0710678118655765E-2</v>
      </c>
      <c r="W377" s="526">
        <f>VLOOKUP(S373,Y225:Z244,2,(FALSE))</f>
        <v>0.5</v>
      </c>
      <c r="Z377" s="332"/>
    </row>
    <row r="378" spans="1:31" ht="13">
      <c r="A378" s="333">
        <f>VLOOKUP($A$373,$B$268:$G$287,2,FALSE)</f>
        <v>25</v>
      </c>
      <c r="B378" s="333">
        <f>VLOOKUP($A$373,$B$268:$G$287,3,FALSE)</f>
        <v>0.5</v>
      </c>
      <c r="C378" s="333">
        <f>VLOOKUP($A$373,$B$268:$G$287,4,FALSE)</f>
        <v>0.2</v>
      </c>
      <c r="D378" s="333">
        <f>VLOOKUP($A$373,$B$268:$G$287,5,FALSE)</f>
        <v>0</v>
      </c>
      <c r="E378" s="333">
        <f>VLOOKUP($A$373,$B$268:$G$287,6,FALSE)</f>
        <v>0.15</v>
      </c>
      <c r="G378" s="333">
        <f>VLOOKUP($G$373,$J$268:$O$287,2,FALSE)</f>
        <v>50</v>
      </c>
      <c r="H378" s="333">
        <f>VLOOKUP($G$373,$J$268:$O$287,3,FALSE)</f>
        <v>-2</v>
      </c>
      <c r="I378" s="333">
        <f>VLOOKUP($G$373,$J$268:$O$287,4,FALSE)</f>
        <v>-1.4</v>
      </c>
      <c r="J378" s="333">
        <f>VLOOKUP($G$373,$J$268:$O$287,5,FALSE)</f>
        <v>0</v>
      </c>
      <c r="K378" s="333">
        <f>VLOOKUP($G$373,$J$268:$O$287,6,FALSE)</f>
        <v>0.30000000000000004</v>
      </c>
      <c r="M378" s="333">
        <f>VLOOKUP($M$373,$R$268:$W$287,2,FALSE)</f>
        <v>980</v>
      </c>
      <c r="N378" s="333">
        <f>VLOOKUP($M$373,$R$268:$W$287,3,FALSE)</f>
        <v>4.5</v>
      </c>
      <c r="O378" s="333">
        <f>VLOOKUP($M$373,$R$268:$W$287,4,FALSE)</f>
        <v>-1.7</v>
      </c>
      <c r="P378" s="333">
        <f>VLOOKUP($M$373,$R$268:$W$287,5,FALSE)</f>
        <v>0</v>
      </c>
      <c r="Q378" s="333">
        <f>VLOOKUP($M$373,$R$268:$W$287,6,FALSE)</f>
        <v>3.1</v>
      </c>
      <c r="S378" s="339" t="s">
        <v>15</v>
      </c>
      <c r="T378" s="340">
        <f>ID!E18</f>
        <v>60.849999999999994</v>
      </c>
      <c r="U378" s="282">
        <f>T378+T386</f>
        <v>58.505862606232292</v>
      </c>
      <c r="V378" s="340">
        <f>STDEV(ID!C18:D18)</f>
        <v>0.63639610306789174</v>
      </c>
      <c r="W378" s="526">
        <f>VLOOKUP(S373,Y249:Z268,2,(FALSE))</f>
        <v>2.2999999999999998</v>
      </c>
      <c r="Z378" s="332"/>
    </row>
    <row r="379" spans="1:31" ht="13.5" thickBot="1">
      <c r="A379" s="333">
        <f>VLOOKUP($A$373,$B$289:$G$308,2,FALSE)</f>
        <v>30</v>
      </c>
      <c r="B379" s="333">
        <f>VLOOKUP($A$373,$B$289:$G$308,3,FALSE)</f>
        <v>0.6</v>
      </c>
      <c r="C379" s="333">
        <f>VLOOKUP($A$373,$B$289:$G$308,4,FALSE)</f>
        <v>0.2</v>
      </c>
      <c r="D379" s="333">
        <f>VLOOKUP($A$373,$B$289:$G$308,5,FALSE)</f>
        <v>0</v>
      </c>
      <c r="E379" s="333">
        <f>VLOOKUP($A$373,$B$289:$G$308,6,FALSE)</f>
        <v>0.19999999999999998</v>
      </c>
      <c r="G379" s="333">
        <f>VLOOKUP($G$373,$J$289:$O$308,2,FALSE)</f>
        <v>60</v>
      </c>
      <c r="H379" s="333">
        <f>VLOOKUP($G$373,$J$289:$O$308,3,FALSE)</f>
        <v>-1.9</v>
      </c>
      <c r="I379" s="333">
        <f>VLOOKUP($G$373,$J$289:$O$308,4,FALSE)</f>
        <v>-1.5</v>
      </c>
      <c r="J379" s="333">
        <f>VLOOKUP($G$373,$J$289:$O$308,5,FALSE)</f>
        <v>0</v>
      </c>
      <c r="K379" s="333">
        <f>VLOOKUP($G$373,$J$289:$O$308,6,FALSE)</f>
        <v>0.19999999999999996</v>
      </c>
      <c r="M379" s="333">
        <f>VLOOKUP($M$373,$R$289:$W$308,2,FALSE)</f>
        <v>990</v>
      </c>
      <c r="N379" s="333">
        <f>VLOOKUP($M$373,$R$289:$W$308,3,FALSE)</f>
        <v>4.4000000000000004</v>
      </c>
      <c r="O379" s="333">
        <f>VLOOKUP($M$373,$R$289:$W$308,4,FALSE)</f>
        <v>-1.1000000000000001</v>
      </c>
      <c r="P379" s="333">
        <f>VLOOKUP($M$373,$R$289:$W$308,5,FALSE)</f>
        <v>0</v>
      </c>
      <c r="Q379" s="333">
        <f>VLOOKUP($M$373,$R$289:$W$308,6,FALSE)</f>
        <v>2.75</v>
      </c>
      <c r="S379" s="386" t="s">
        <v>461</v>
      </c>
      <c r="T379" s="387">
        <v>1011.55</v>
      </c>
      <c r="U379" s="388">
        <f>T379+U386</f>
        <v>1014.2417142857142</v>
      </c>
      <c r="V379" s="387">
        <v>2.0506096654409718</v>
      </c>
      <c r="W379" s="527">
        <f>VLOOKUP(S373,Y273:Z292,2,(FALSE))</f>
        <v>2.2000000000000002</v>
      </c>
      <c r="Z379" s="332"/>
      <c r="AE379" s="528"/>
    </row>
    <row r="380" spans="1:31" ht="13.5" thickBot="1">
      <c r="A380" s="333">
        <f>VLOOKUP($A$373,$B$310:$G$329,2,FALSE)</f>
        <v>35</v>
      </c>
      <c r="B380" s="333">
        <f>VLOOKUP($A$373,$B$310:$G$329,3,FALSE)</f>
        <v>0.6</v>
      </c>
      <c r="C380" s="333">
        <f>VLOOKUP($A$373,$B$310:$G$329,4,FALSE)</f>
        <v>0.1</v>
      </c>
      <c r="D380" s="333">
        <f>VLOOKUP($A$373,$B$310:$G$329,5,FALSE)</f>
        <v>0</v>
      </c>
      <c r="E380" s="333">
        <f>VLOOKUP($A$373,$B$310:$G$329,6,FALSE)</f>
        <v>0.25</v>
      </c>
      <c r="G380" s="333">
        <f>VLOOKUP($G$373,$J$310:$O$329,2,FALSE)</f>
        <v>70</v>
      </c>
      <c r="H380" s="333">
        <f>VLOOKUP($G$373,$J$310:$O$329,3,FALSE)</f>
        <v>-2.1</v>
      </c>
      <c r="I380" s="333">
        <f>VLOOKUP($G$373,$J$310:$O$329,4,FALSE)</f>
        <v>-1.8</v>
      </c>
      <c r="J380" s="333">
        <f>VLOOKUP($G$373,$J$310:$O$329,5,FALSE)</f>
        <v>0</v>
      </c>
      <c r="K380" s="333">
        <f>VLOOKUP($G$373,$J$310:$O$329,6,FALSE)</f>
        <v>0.15000000000000002</v>
      </c>
      <c r="M380" s="333">
        <f>VLOOKUP($M$373,$R$310:$W$329,2,FALSE)</f>
        <v>1000</v>
      </c>
      <c r="N380" s="333">
        <f>VLOOKUP($M$373,$R$310:$W$329,3,FALSE)</f>
        <v>4.3</v>
      </c>
      <c r="O380" s="333">
        <f>VLOOKUP($M$373,$R$310:$W$329,4,FALSE)</f>
        <v>-0.4</v>
      </c>
      <c r="P380" s="333">
        <f>VLOOKUP($M$373,$R$310:$W$329,5,FALSE)</f>
        <v>0</v>
      </c>
      <c r="Q380" s="333">
        <f>VLOOKUP($M$373,$R$310:$W$329,6,FALSE)</f>
        <v>2.35</v>
      </c>
      <c r="S380" s="319"/>
      <c r="W380" s="323"/>
      <c r="Z380" s="332"/>
      <c r="AE380" s="529"/>
    </row>
    <row r="381" spans="1:31" ht="14">
      <c r="A381" s="333">
        <f>VLOOKUP($A$373,$B$331:$G$350,2,FALSE)</f>
        <v>37</v>
      </c>
      <c r="B381" s="333">
        <f>VLOOKUP($A$373,$B$331:$G$350,3,FALSE)</f>
        <v>0.6</v>
      </c>
      <c r="C381" s="333">
        <f>VLOOKUP($A$373,$B$331:$G$350,4,FALSE)</f>
        <v>9.9999999999999995E-7</v>
      </c>
      <c r="D381" s="333">
        <f>VLOOKUP($A$373,$B$331:$G$350,5,FALSE)</f>
        <v>0</v>
      </c>
      <c r="E381" s="333">
        <f>VLOOKUP($A$373,$B$331:$G$350,6,FALSE)</f>
        <v>0.29999949999999997</v>
      </c>
      <c r="G381" s="333">
        <f>VLOOKUP($G$373,$J$331:$O$350,2,FALSE)</f>
        <v>80</v>
      </c>
      <c r="H381" s="333">
        <f>VLOOKUP($G$373,$J$331:$O$350,3,FALSE)</f>
        <v>-2.5</v>
      </c>
      <c r="I381" s="333">
        <f>VLOOKUP($G$373,$J$331:$O$350,4,FALSE)</f>
        <v>-2.2999999999999998</v>
      </c>
      <c r="J381" s="333">
        <f>VLOOKUP($G$373,$J$331:$O$350,5,FALSE)</f>
        <v>0</v>
      </c>
      <c r="K381" s="333">
        <f>VLOOKUP($G$373,$J$331:$O$350,6,FALSE)</f>
        <v>0.10000000000000009</v>
      </c>
      <c r="M381" s="333">
        <f>VLOOKUP($M$373,$R$331:$W$350,2,FALSE)</f>
        <v>1010</v>
      </c>
      <c r="N381" s="333">
        <f>VLOOKUP($M$373,$R$331:$W$350,3,FALSE)</f>
        <v>4.3</v>
      </c>
      <c r="O381" s="333">
        <f>VLOOKUP($M$373,$R$331:$W$350,4,FALSE)</f>
        <v>-0.4</v>
      </c>
      <c r="P381" s="333">
        <f>VLOOKUP($M$373,$R$331:$W$350,5,FALSE)</f>
        <v>0</v>
      </c>
      <c r="Q381" s="333">
        <f>VLOOKUP($M$373,$R$331:$W$350,6,FALSE)</f>
        <v>2.35</v>
      </c>
      <c r="S381" s="1277" t="s">
        <v>486</v>
      </c>
      <c r="T381" s="389" t="str">
        <f>N393&amp;N390&amp;O393&amp;O390&amp;P393&amp;P390</f>
        <v>( 26.7 ± 0.5 ) °C</v>
      </c>
      <c r="U381" s="390"/>
      <c r="W381" s="323"/>
      <c r="Z381" s="332"/>
      <c r="AE381" s="530"/>
    </row>
    <row r="382" spans="1:31" ht="14">
      <c r="A382" s="333">
        <f>VLOOKUP($A$373,$B$352:$G$371,2,FALSE)</f>
        <v>40</v>
      </c>
      <c r="B382" s="333">
        <f>VLOOKUP($A$373,$B$352:$G$371,3,FALSE)</f>
        <v>0.6</v>
      </c>
      <c r="C382" s="333">
        <f>VLOOKUP($A$373,$B$352:$G$371,4,FALSE)</f>
        <v>9.9999999999999995E-7</v>
      </c>
      <c r="D382" s="333">
        <f>VLOOKUP($A$373,$B$352:$G$371,5,FALSE)</f>
        <v>0</v>
      </c>
      <c r="E382" s="333">
        <f>VLOOKUP($A$373,$B$352:$G$371,6,FALSE)</f>
        <v>0.29999949999999997</v>
      </c>
      <c r="G382" s="333">
        <f>VLOOKUP($G$373,$J$352:$O$371,2,FALSE)</f>
        <v>90</v>
      </c>
      <c r="H382" s="333">
        <f>VLOOKUP($G$373,$J$352:$O$371,3,FALSE)</f>
        <v>-3.1</v>
      </c>
      <c r="I382" s="333">
        <f>VLOOKUP($G$373,$J$352:$O$371,4,FALSE)</f>
        <v>-3</v>
      </c>
      <c r="J382" s="333">
        <f>VLOOKUP($G$373,$J$352:$O$371,5,FALSE)</f>
        <v>0</v>
      </c>
      <c r="K382" s="333">
        <f>VLOOKUP($G$373,$J$352:$O$371,6,FALSE)</f>
        <v>5.0000000000000044E-2</v>
      </c>
      <c r="M382" s="333">
        <f>VLOOKUP($M$373,$R$352:$W$371,2,FALSE)</f>
        <v>1020</v>
      </c>
      <c r="N382" s="333">
        <f>VLOOKUP($M$373,$R$352:$W$371,3,FALSE)</f>
        <v>0</v>
      </c>
      <c r="O382" s="333">
        <f>VLOOKUP($M$373,$R$352:$W$371,4,FALSE)</f>
        <v>9.9999999999999995E-7</v>
      </c>
      <c r="P382" s="333">
        <f>VLOOKUP($M$373,$R$352:$W$371,5,FALSE)</f>
        <v>0</v>
      </c>
      <c r="Q382" s="333">
        <f>VLOOKUP($M$373,$R$352:$W$371,6,FALSE)</f>
        <v>4.9999999999999998E-7</v>
      </c>
      <c r="S382" s="1278"/>
      <c r="T382" s="356" t="str">
        <f>N393&amp;N391&amp;O393&amp;O391&amp;P393&amp;P391</f>
        <v>( 58.5 ± 2.3 ) %RH</v>
      </c>
      <c r="U382" s="391"/>
      <c r="W382" s="323"/>
      <c r="Z382" s="332"/>
      <c r="AE382" s="530"/>
    </row>
    <row r="383" spans="1:31" ht="14.5" thickBot="1">
      <c r="A383" s="341"/>
      <c r="B383" s="332"/>
      <c r="C383" s="332"/>
      <c r="D383" s="332"/>
      <c r="E383" s="332"/>
      <c r="G383" s="332"/>
      <c r="H383" s="332"/>
      <c r="I383" s="332"/>
      <c r="J383" s="332"/>
      <c r="M383" s="332"/>
      <c r="N383" s="332"/>
      <c r="O383" s="332"/>
      <c r="P383" s="332"/>
      <c r="S383" s="1279"/>
      <c r="T383" s="392" t="str">
        <f>N393&amp;N392&amp;O393&amp;O392&amp;P393&amp;P392</f>
        <v>( 1014.2 ± 2.2 ) hPa</v>
      </c>
      <c r="U383" s="393"/>
      <c r="W383" s="323"/>
      <c r="Z383" s="332"/>
      <c r="AE383" s="530"/>
    </row>
    <row r="385" spans="1:21" ht="37.5">
      <c r="S385" s="394" t="s">
        <v>487</v>
      </c>
      <c r="T385" s="394" t="s">
        <v>488</v>
      </c>
      <c r="U385" s="395" t="s">
        <v>489</v>
      </c>
    </row>
    <row r="386" spans="1:21">
      <c r="S386" s="395">
        <f>FORECAST(T377,B376:B382,A376:A382)</f>
        <v>0.42093507214206444</v>
      </c>
      <c r="T386" s="395">
        <f>FORECAST(T378,H376:H382,G376:G382)</f>
        <v>-2.344137393767705</v>
      </c>
      <c r="U386" s="395">
        <f>FORECAST(T379,N376:N382,M376:M382)</f>
        <v>2.6917142857142835</v>
      </c>
    </row>
    <row r="388" spans="1:21" ht="13" thickBot="1"/>
    <row r="389" spans="1:21" ht="13">
      <c r="A389" s="1284" t="str">
        <f>ID!A116</f>
        <v>Thermohygrolight, Merek : EXTECH, Model : SD700, SN : A.100616</v>
      </c>
      <c r="B389" s="1284"/>
      <c r="C389" s="1284"/>
      <c r="D389" s="1284"/>
      <c r="E389" s="1284"/>
      <c r="F389" s="1284"/>
      <c r="G389" s="1284"/>
      <c r="H389" s="1284"/>
      <c r="I389" s="1284"/>
      <c r="J389" s="1284"/>
      <c r="K389" s="1284"/>
      <c r="L389" s="1284"/>
      <c r="N389" s="1270" t="s">
        <v>490</v>
      </c>
      <c r="O389" s="1271"/>
      <c r="P389" s="1272"/>
    </row>
    <row r="390" spans="1:21" ht="15.5">
      <c r="A390" s="396" t="s">
        <v>491</v>
      </c>
      <c r="B390" s="508"/>
      <c r="C390" s="508"/>
      <c r="D390" s="396"/>
      <c r="E390" s="396"/>
      <c r="F390" s="396"/>
      <c r="G390" s="396"/>
      <c r="H390" s="396"/>
      <c r="I390" s="397">
        <f>D4</f>
        <v>2023</v>
      </c>
      <c r="J390" s="397">
        <f>E4</f>
        <v>2021</v>
      </c>
      <c r="K390" s="397">
        <f>F4</f>
        <v>2020</v>
      </c>
      <c r="L390" s="397">
        <v>1</v>
      </c>
      <c r="N390" s="531" t="str">
        <f>TEXT(U377,"0.0")</f>
        <v>26.7</v>
      </c>
      <c r="O390" s="532" t="str">
        <f>TEXT(W377,"0.0")</f>
        <v>0.5</v>
      </c>
      <c r="P390" s="398" t="s">
        <v>203</v>
      </c>
    </row>
    <row r="391" spans="1:21" ht="15.5">
      <c r="A391" s="396" t="s">
        <v>492</v>
      </c>
      <c r="B391" s="508"/>
      <c r="C391" s="508"/>
      <c r="D391" s="396"/>
      <c r="E391" s="396"/>
      <c r="F391" s="396"/>
      <c r="G391" s="396"/>
      <c r="H391" s="396"/>
      <c r="I391" s="397">
        <f>D15</f>
        <v>2023</v>
      </c>
      <c r="J391" s="397">
        <f>E15</f>
        <v>2021</v>
      </c>
      <c r="K391" s="397">
        <f>F15</f>
        <v>2018</v>
      </c>
      <c r="L391" s="397">
        <v>2</v>
      </c>
      <c r="N391" s="533" t="str">
        <f>TEXT(U378,"0.0")</f>
        <v>58.5</v>
      </c>
      <c r="O391" s="532" t="str">
        <f>TEXT(W378,"0.0")</f>
        <v>2.3</v>
      </c>
      <c r="P391" s="398" t="s">
        <v>493</v>
      </c>
    </row>
    <row r="392" spans="1:21" ht="15.5">
      <c r="A392" s="396" t="s">
        <v>494</v>
      </c>
      <c r="B392" s="508"/>
      <c r="C392" s="508"/>
      <c r="D392" s="396"/>
      <c r="E392" s="396"/>
      <c r="F392" s="396"/>
      <c r="G392" s="396"/>
      <c r="H392" s="396"/>
      <c r="I392" s="397">
        <f>D26</f>
        <v>2023</v>
      </c>
      <c r="J392" s="397">
        <f>E26</f>
        <v>2021</v>
      </c>
      <c r="K392" s="397">
        <f>F26</f>
        <v>2018</v>
      </c>
      <c r="L392" s="397">
        <v>3</v>
      </c>
      <c r="N392" s="533" t="str">
        <f>TEXT(U379,"0.0")</f>
        <v>1014.2</v>
      </c>
      <c r="O392" s="532" t="str">
        <f>TEXT(W379,"0.0")</f>
        <v>2.2</v>
      </c>
      <c r="P392" s="399" t="s">
        <v>495</v>
      </c>
    </row>
    <row r="393" spans="1:21" ht="16" thickBot="1">
      <c r="A393" s="396" t="s">
        <v>496</v>
      </c>
      <c r="B393" s="508"/>
      <c r="C393" s="508"/>
      <c r="D393" s="396"/>
      <c r="E393" s="396"/>
      <c r="F393" s="396"/>
      <c r="G393" s="396"/>
      <c r="H393" s="396"/>
      <c r="I393" s="397">
        <f>D37</f>
        <v>2019</v>
      </c>
      <c r="J393" s="397">
        <f>E37</f>
        <v>2017</v>
      </c>
      <c r="K393" s="397">
        <f>F37</f>
        <v>2016</v>
      </c>
      <c r="L393" s="397">
        <v>4</v>
      </c>
      <c r="N393" s="400" t="s">
        <v>497</v>
      </c>
      <c r="O393" s="401" t="s">
        <v>498</v>
      </c>
      <c r="P393" s="402" t="s">
        <v>499</v>
      </c>
    </row>
    <row r="394" spans="1:21" ht="13">
      <c r="A394" s="396" t="s">
        <v>500</v>
      </c>
      <c r="B394" s="508"/>
      <c r="C394" s="508"/>
      <c r="D394" s="396"/>
      <c r="E394" s="396"/>
      <c r="F394" s="396"/>
      <c r="G394" s="396"/>
      <c r="H394" s="396"/>
      <c r="I394" s="397">
        <f>D48</f>
        <v>2023</v>
      </c>
      <c r="J394" s="397">
        <f>E48</f>
        <v>2021</v>
      </c>
      <c r="K394" s="397">
        <f>F48</f>
        <v>2020</v>
      </c>
      <c r="L394" s="397">
        <v>5</v>
      </c>
    </row>
    <row r="395" spans="1:21" ht="13">
      <c r="A395" s="396" t="s">
        <v>501</v>
      </c>
      <c r="B395" s="508"/>
      <c r="C395" s="508"/>
      <c r="D395" s="396"/>
      <c r="E395" s="396"/>
      <c r="F395" s="396"/>
      <c r="G395" s="396"/>
      <c r="H395" s="396"/>
      <c r="I395" s="397">
        <f>D59</f>
        <v>2019</v>
      </c>
      <c r="J395" s="397">
        <f>E59</f>
        <v>2018</v>
      </c>
      <c r="K395" s="397">
        <f>F59</f>
        <v>2016</v>
      </c>
      <c r="L395" s="397">
        <v>6</v>
      </c>
    </row>
    <row r="396" spans="1:21" ht="13">
      <c r="A396" s="396" t="s">
        <v>502</v>
      </c>
      <c r="B396" s="508"/>
      <c r="C396" s="508"/>
      <c r="D396" s="396"/>
      <c r="E396" s="396"/>
      <c r="F396" s="396"/>
      <c r="G396" s="396"/>
      <c r="H396" s="396"/>
      <c r="I396" s="397">
        <f>D70</f>
        <v>2021</v>
      </c>
      <c r="J396" s="397">
        <f>E70</f>
        <v>2018</v>
      </c>
      <c r="K396" s="397">
        <f>F70</f>
        <v>2016</v>
      </c>
      <c r="L396" s="397">
        <v>7</v>
      </c>
    </row>
    <row r="397" spans="1:21" ht="13">
      <c r="A397" s="396" t="s">
        <v>503</v>
      </c>
      <c r="B397" s="508"/>
      <c r="C397" s="508"/>
      <c r="D397" s="396"/>
      <c r="E397" s="396"/>
      <c r="F397" s="396"/>
      <c r="G397" s="396"/>
      <c r="H397" s="396"/>
      <c r="I397" s="397">
        <f>D81</f>
        <v>2023</v>
      </c>
      <c r="J397" s="397">
        <f>E81</f>
        <v>2021</v>
      </c>
      <c r="K397" s="397">
        <f>F81</f>
        <v>2019</v>
      </c>
      <c r="L397" s="397">
        <v>8</v>
      </c>
    </row>
    <row r="398" spans="1:21" ht="13">
      <c r="A398" s="396" t="s">
        <v>504</v>
      </c>
      <c r="B398" s="508"/>
      <c r="C398" s="508"/>
      <c r="D398" s="396"/>
      <c r="E398" s="396"/>
      <c r="F398" s="396"/>
      <c r="G398" s="396"/>
      <c r="H398" s="396"/>
      <c r="I398" s="397">
        <f>D92</f>
        <v>2019</v>
      </c>
      <c r="J398" s="397" t="str">
        <f>E92</f>
        <v>-</v>
      </c>
      <c r="K398" s="397">
        <f>F92</f>
        <v>2016</v>
      </c>
      <c r="L398" s="397">
        <v>9</v>
      </c>
    </row>
    <row r="399" spans="1:21" ht="13">
      <c r="A399" s="396" t="s">
        <v>505</v>
      </c>
      <c r="B399" s="508"/>
      <c r="C399" s="508"/>
      <c r="D399" s="396"/>
      <c r="E399" s="396"/>
      <c r="F399" s="396"/>
      <c r="G399" s="396"/>
      <c r="H399" s="396"/>
      <c r="I399" s="397">
        <f>D103</f>
        <v>2019</v>
      </c>
      <c r="J399" s="397">
        <f>E103</f>
        <v>2016</v>
      </c>
      <c r="K399" s="397">
        <f>F103</f>
        <v>2016</v>
      </c>
      <c r="L399" s="397">
        <v>10</v>
      </c>
    </row>
    <row r="400" spans="1:21" ht="13">
      <c r="A400" s="396" t="s">
        <v>506</v>
      </c>
      <c r="B400" s="508"/>
      <c r="C400" s="508"/>
      <c r="D400" s="396"/>
      <c r="E400" s="396"/>
      <c r="F400" s="396"/>
      <c r="G400" s="396"/>
      <c r="H400" s="396"/>
      <c r="I400" s="397">
        <f>D114</f>
        <v>2020</v>
      </c>
      <c r="J400" s="397">
        <f>E114</f>
        <v>2016</v>
      </c>
      <c r="K400" s="397">
        <f>F114</f>
        <v>2016</v>
      </c>
      <c r="L400" s="397">
        <v>11</v>
      </c>
    </row>
    <row r="401" spans="1:12" ht="13">
      <c r="A401" s="396" t="s">
        <v>507</v>
      </c>
      <c r="B401" s="508"/>
      <c r="C401" s="508"/>
      <c r="D401" s="396"/>
      <c r="E401" s="396"/>
      <c r="F401" s="396"/>
      <c r="G401" s="396"/>
      <c r="H401" s="396"/>
      <c r="I401" s="397">
        <f>D125</f>
        <v>2023</v>
      </c>
      <c r="J401" s="397">
        <f>E125</f>
        <v>2020</v>
      </c>
      <c r="K401" s="397">
        <f>F125</f>
        <v>2016</v>
      </c>
      <c r="L401" s="397">
        <v>12</v>
      </c>
    </row>
    <row r="402" spans="1:12" ht="13">
      <c r="A402" s="396" t="s">
        <v>508</v>
      </c>
      <c r="B402" s="508"/>
      <c r="C402" s="508"/>
      <c r="D402" s="396"/>
      <c r="E402" s="396"/>
      <c r="F402" s="396"/>
      <c r="G402" s="396"/>
      <c r="H402" s="396"/>
      <c r="I402" s="397">
        <f>D136</f>
        <v>2023</v>
      </c>
      <c r="J402" s="397">
        <f>E136</f>
        <v>2022</v>
      </c>
      <c r="K402" s="397">
        <f>F136</f>
        <v>2020</v>
      </c>
      <c r="L402" s="397">
        <v>13</v>
      </c>
    </row>
    <row r="403" spans="1:12" ht="13">
      <c r="A403" s="396" t="s">
        <v>509</v>
      </c>
      <c r="B403" s="508"/>
      <c r="C403" s="508"/>
      <c r="D403" s="396"/>
      <c r="E403" s="396"/>
      <c r="F403" s="396"/>
      <c r="G403" s="396"/>
      <c r="H403" s="396"/>
      <c r="I403" s="397">
        <f>D147</f>
        <v>2023</v>
      </c>
      <c r="J403" s="397">
        <f>E147</f>
        <v>2022</v>
      </c>
      <c r="K403" s="397">
        <f>F147</f>
        <v>2020</v>
      </c>
      <c r="L403" s="397">
        <v>14</v>
      </c>
    </row>
    <row r="404" spans="1:12" ht="13">
      <c r="A404" s="396" t="s">
        <v>510</v>
      </c>
      <c r="B404" s="508"/>
      <c r="C404" s="508"/>
      <c r="D404" s="396"/>
      <c r="E404" s="396"/>
      <c r="F404" s="396"/>
      <c r="G404" s="396"/>
      <c r="H404" s="396"/>
      <c r="I404" s="397">
        <f>D158</f>
        <v>2023</v>
      </c>
      <c r="J404" s="397">
        <f>E158</f>
        <v>2022</v>
      </c>
      <c r="K404" s="397">
        <f>F158</f>
        <v>2020</v>
      </c>
      <c r="L404" s="397">
        <v>15</v>
      </c>
    </row>
    <row r="405" spans="1:12" ht="13">
      <c r="A405" s="396" t="s">
        <v>195</v>
      </c>
      <c r="B405" s="508"/>
      <c r="C405" s="508"/>
      <c r="D405" s="396"/>
      <c r="E405" s="396"/>
      <c r="F405" s="396"/>
      <c r="G405" s="396"/>
      <c r="H405" s="396"/>
      <c r="I405" s="397">
        <f>D169</f>
        <v>2023</v>
      </c>
      <c r="J405" s="397">
        <f>E169</f>
        <v>2020</v>
      </c>
      <c r="K405" s="397">
        <f>F169</f>
        <v>2016</v>
      </c>
      <c r="L405" s="397">
        <v>16</v>
      </c>
    </row>
    <row r="406" spans="1:12" ht="13">
      <c r="A406" s="396" t="s">
        <v>511</v>
      </c>
      <c r="B406" s="508"/>
      <c r="C406" s="508"/>
      <c r="D406" s="396"/>
      <c r="E406" s="396"/>
      <c r="F406" s="396"/>
      <c r="G406" s="396"/>
      <c r="H406" s="396"/>
      <c r="I406" s="397">
        <f>D180</f>
        <v>2023</v>
      </c>
      <c r="J406" s="397">
        <f>E180</f>
        <v>2020</v>
      </c>
      <c r="K406" s="397">
        <f>F180</f>
        <v>2016</v>
      </c>
      <c r="L406" s="397">
        <v>17</v>
      </c>
    </row>
    <row r="407" spans="1:12" ht="13">
      <c r="A407" s="396" t="s">
        <v>512</v>
      </c>
      <c r="B407" s="508"/>
      <c r="C407" s="508"/>
      <c r="D407" s="396"/>
      <c r="E407" s="396"/>
      <c r="F407" s="396"/>
      <c r="G407" s="396"/>
      <c r="H407" s="396"/>
      <c r="I407" s="397">
        <f>D191</f>
        <v>2023</v>
      </c>
      <c r="J407" s="397">
        <f>E191</f>
        <v>2020</v>
      </c>
      <c r="K407" s="397">
        <f>F191</f>
        <v>2016</v>
      </c>
      <c r="L407" s="397">
        <v>18</v>
      </c>
    </row>
    <row r="408" spans="1:12" ht="13">
      <c r="A408" s="396" t="s">
        <v>513</v>
      </c>
      <c r="B408" s="508"/>
      <c r="C408" s="508"/>
      <c r="D408" s="396"/>
      <c r="E408" s="396"/>
      <c r="F408" s="396"/>
      <c r="G408" s="396"/>
      <c r="H408" s="396"/>
      <c r="I408" s="397">
        <v>2021</v>
      </c>
      <c r="J408" s="397">
        <f>E202</f>
        <v>2021</v>
      </c>
      <c r="K408" s="397">
        <f>F202</f>
        <v>2016</v>
      </c>
      <c r="L408" s="397">
        <v>19</v>
      </c>
    </row>
    <row r="409" spans="1:12" ht="13">
      <c r="A409" s="403">
        <v>20</v>
      </c>
      <c r="B409" s="508"/>
      <c r="C409" s="508"/>
      <c r="D409" s="396"/>
      <c r="E409" s="396"/>
      <c r="F409" s="396"/>
      <c r="G409" s="396"/>
      <c r="H409" s="396"/>
      <c r="I409" s="397">
        <f>D213</f>
        <v>2017</v>
      </c>
      <c r="J409" s="397" t="str">
        <f>E213</f>
        <v>-</v>
      </c>
      <c r="K409" s="397">
        <f>F213</f>
        <v>2016</v>
      </c>
      <c r="L409" s="397">
        <v>20</v>
      </c>
    </row>
    <row r="410" spans="1:12" ht="13">
      <c r="A410" s="1273">
        <f>VLOOKUP(A389,A390:L409,12,(FALSE))</f>
        <v>16</v>
      </c>
      <c r="B410" s="1273"/>
      <c r="C410" s="1273"/>
      <c r="D410" s="1273"/>
      <c r="E410" s="1273"/>
      <c r="F410" s="1273"/>
      <c r="G410" s="1273"/>
      <c r="H410" s="1273"/>
      <c r="I410" s="1273"/>
      <c r="J410" s="1273"/>
      <c r="K410" s="1273"/>
      <c r="L410" s="1273"/>
    </row>
  </sheetData>
  <mergeCells count="403"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B94F-A76B-4BAB-AA5D-4099B03BDB3D}">
  <sheetPr codeName="Sheet13"/>
  <dimension ref="A1:AB311"/>
  <sheetViews>
    <sheetView topLeftCell="A259" zoomScale="98" zoomScaleNormal="98" workbookViewId="0">
      <selection activeCell="K276" sqref="K276"/>
    </sheetView>
  </sheetViews>
  <sheetFormatPr defaultColWidth="8.7265625" defaultRowHeight="12.5"/>
  <cols>
    <col min="1" max="1" width="10.26953125" style="285" bestFit="1" customWidth="1"/>
    <col min="2" max="2" width="9.54296875" style="285" bestFit="1" customWidth="1"/>
    <col min="3" max="9" width="8.7265625" style="285"/>
    <col min="10" max="10" width="9.1796875" style="285" bestFit="1" customWidth="1"/>
    <col min="11" max="11" width="8.7265625" style="285"/>
    <col min="12" max="12" width="8.54296875" style="285" customWidth="1"/>
    <col min="13" max="13" width="12.26953125" style="285" customWidth="1"/>
    <col min="14" max="16384" width="8.7265625" style="285"/>
  </cols>
  <sheetData>
    <row r="1" spans="1:24" ht="18">
      <c r="A1" s="1285" t="s">
        <v>514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  <c r="R1" s="1286"/>
      <c r="S1" s="1286"/>
      <c r="T1" s="1286"/>
      <c r="U1" s="1286"/>
      <c r="V1" s="285" t="s">
        <v>35</v>
      </c>
    </row>
    <row r="2" spans="1:24" ht="14.5">
      <c r="A2" s="1287" t="s">
        <v>515</v>
      </c>
      <c r="B2" s="1288" t="s">
        <v>516</v>
      </c>
      <c r="C2" s="1288"/>
      <c r="D2" s="1288"/>
      <c r="E2" s="1288"/>
      <c r="F2" s="1288"/>
      <c r="G2" s="1288"/>
      <c r="H2" s="1289" t="s">
        <v>517</v>
      </c>
      <c r="I2" s="1290" t="s">
        <v>518</v>
      </c>
      <c r="J2" s="1290"/>
      <c r="K2" s="1290"/>
      <c r="L2" s="1290"/>
      <c r="M2" s="1290"/>
      <c r="N2" s="1290"/>
      <c r="O2" s="1289" t="s">
        <v>519</v>
      </c>
      <c r="P2" s="1288" t="s">
        <v>520</v>
      </c>
      <c r="Q2" s="1288"/>
      <c r="R2" s="1288"/>
      <c r="S2" s="1288"/>
      <c r="T2" s="1288"/>
      <c r="U2" s="1288"/>
    </row>
    <row r="3" spans="1:24" ht="14">
      <c r="A3" s="1287"/>
      <c r="B3" s="1291" t="s">
        <v>521</v>
      </c>
      <c r="C3" s="1291"/>
      <c r="D3" s="1291"/>
      <c r="E3" s="1291"/>
      <c r="F3" s="1291"/>
      <c r="G3" s="1291"/>
      <c r="H3" s="1289"/>
      <c r="I3" s="1291" t="s">
        <v>521</v>
      </c>
      <c r="J3" s="1291"/>
      <c r="K3" s="1291"/>
      <c r="L3" s="1291"/>
      <c r="M3" s="1291"/>
      <c r="N3" s="1291"/>
      <c r="O3" s="1289"/>
      <c r="P3" s="1292" t="s">
        <v>521</v>
      </c>
      <c r="Q3" s="1292"/>
      <c r="R3" s="1292"/>
      <c r="S3" s="1292"/>
      <c r="T3" s="1292"/>
      <c r="U3" s="1292"/>
    </row>
    <row r="4" spans="1:24" ht="13">
      <c r="A4" s="1287"/>
      <c r="B4" s="1293" t="s">
        <v>522</v>
      </c>
      <c r="C4" s="1293"/>
      <c r="D4" s="1293"/>
      <c r="E4" s="1293"/>
      <c r="F4" s="1293" t="s">
        <v>523</v>
      </c>
      <c r="G4" s="1293" t="s">
        <v>371</v>
      </c>
      <c r="H4" s="1289"/>
      <c r="I4" s="1293" t="str">
        <f>B4</f>
        <v>Setting VAC</v>
      </c>
      <c r="J4" s="1293"/>
      <c r="K4" s="1293"/>
      <c r="L4" s="1293"/>
      <c r="M4" s="1293" t="s">
        <v>523</v>
      </c>
      <c r="N4" s="1293" t="s">
        <v>371</v>
      </c>
      <c r="O4" s="1289"/>
      <c r="P4" s="1293" t="str">
        <f>B4</f>
        <v>Setting VAC</v>
      </c>
      <c r="Q4" s="1293"/>
      <c r="R4" s="1293"/>
      <c r="S4" s="1293"/>
      <c r="T4" s="1293" t="s">
        <v>523</v>
      </c>
      <c r="U4" s="1293" t="s">
        <v>371</v>
      </c>
    </row>
    <row r="5" spans="1:24" ht="14">
      <c r="A5" s="1287"/>
      <c r="B5" s="664" t="s">
        <v>524</v>
      </c>
      <c r="C5" s="663">
        <v>2020</v>
      </c>
      <c r="D5" s="663">
        <v>2019</v>
      </c>
      <c r="E5" s="663">
        <v>2016</v>
      </c>
      <c r="F5" s="1293"/>
      <c r="G5" s="1293"/>
      <c r="H5" s="1289"/>
      <c r="I5" s="664" t="s">
        <v>524</v>
      </c>
      <c r="J5" s="663">
        <v>2019</v>
      </c>
      <c r="K5" s="404">
        <v>2017</v>
      </c>
      <c r="L5" s="663">
        <v>2016</v>
      </c>
      <c r="M5" s="1293"/>
      <c r="N5" s="1293"/>
      <c r="O5" s="1289"/>
      <c r="P5" s="664" t="s">
        <v>524</v>
      </c>
      <c r="Q5" s="663">
        <v>2023</v>
      </c>
      <c r="R5" s="663">
        <v>2022</v>
      </c>
      <c r="S5" s="663">
        <v>2021</v>
      </c>
      <c r="T5" s="1293"/>
      <c r="U5" s="1293"/>
      <c r="V5" s="405"/>
      <c r="W5" s="405"/>
      <c r="X5" s="328"/>
    </row>
    <row r="6" spans="1:24">
      <c r="A6" s="1287"/>
      <c r="B6" s="1333">
        <v>150</v>
      </c>
      <c r="C6" s="1333">
        <v>0.31</v>
      </c>
      <c r="D6" s="1333">
        <v>0.76</v>
      </c>
      <c r="E6" s="1333"/>
      <c r="F6" s="1333">
        <f>0.5*(MAX(C6:E6)-MIN(C6:E6))</f>
        <v>0.22500000000000001</v>
      </c>
      <c r="G6" s="1333">
        <f t="shared" ref="G6:G11" si="0">(1.2/100)*B6</f>
        <v>1.8</v>
      </c>
      <c r="H6" s="1289"/>
      <c r="I6" s="1333">
        <v>150</v>
      </c>
      <c r="J6" s="1333">
        <v>0.15</v>
      </c>
      <c r="K6" s="1333">
        <v>0.23</v>
      </c>
      <c r="L6" s="1333"/>
      <c r="M6" s="1333">
        <f>0.5*(MAX(J6:L6)-MIN(J6:L6))</f>
        <v>4.0000000000000008E-2</v>
      </c>
      <c r="N6" s="1333">
        <f>(1.2/100)*I6</f>
        <v>1.8</v>
      </c>
      <c r="O6" s="1289"/>
      <c r="P6" s="1333">
        <v>150</v>
      </c>
      <c r="Q6" s="1333">
        <v>0.06</v>
      </c>
      <c r="R6" s="1333">
        <v>-1.43</v>
      </c>
      <c r="S6" s="1333">
        <v>-1.6</v>
      </c>
      <c r="T6" s="1333">
        <f>0.5*(MAX(Q6:S6)-MIN(Q6:S6))</f>
        <v>0.83000000000000007</v>
      </c>
      <c r="U6" s="1333">
        <f t="shared" ref="U6:U11" si="1">(1.2/100)*P6</f>
        <v>1.8</v>
      </c>
      <c r="V6" s="406"/>
      <c r="W6" s="407"/>
      <c r="X6" s="328"/>
    </row>
    <row r="7" spans="1:24">
      <c r="A7" s="1287"/>
      <c r="B7" s="1333">
        <v>180</v>
      </c>
      <c r="C7" s="1333">
        <v>0.1</v>
      </c>
      <c r="D7" s="1333">
        <v>-0.03</v>
      </c>
      <c r="E7" s="1333"/>
      <c r="F7" s="1333">
        <f t="shared" ref="F7:F11" si="2">0.5*(MAX(C7:E7)-MIN(C7:E7))</f>
        <v>6.5000000000000002E-2</v>
      </c>
      <c r="G7" s="1333">
        <f t="shared" si="0"/>
        <v>2.16</v>
      </c>
      <c r="H7" s="1289"/>
      <c r="I7" s="1333">
        <v>180</v>
      </c>
      <c r="J7" s="1333">
        <v>0.12</v>
      </c>
      <c r="K7" s="1333">
        <v>-0.06</v>
      </c>
      <c r="L7" s="1333"/>
      <c r="M7" s="1333">
        <f t="shared" ref="M7:M11" si="3">0.5*(MAX(J7:L7)-MIN(J7:L7))</f>
        <v>0.09</v>
      </c>
      <c r="N7" s="1333">
        <f>(1.2/100)*I7</f>
        <v>2.16</v>
      </c>
      <c r="O7" s="1289"/>
      <c r="P7" s="1333">
        <v>180</v>
      </c>
      <c r="Q7" s="1333">
        <v>-1.94</v>
      </c>
      <c r="R7" s="1333">
        <v>-1.81</v>
      </c>
      <c r="S7" s="1333">
        <v>-1.9</v>
      </c>
      <c r="T7" s="1333">
        <f t="shared" ref="T7:T11" si="4">0.5*(MAX(Q7:S7)-MIN(Q7:S7))</f>
        <v>6.4999999999999947E-2</v>
      </c>
      <c r="U7" s="1333">
        <f t="shared" si="1"/>
        <v>2.16</v>
      </c>
      <c r="V7" s="406"/>
      <c r="W7" s="407"/>
      <c r="X7" s="328"/>
    </row>
    <row r="8" spans="1:24">
      <c r="A8" s="1287"/>
      <c r="B8" s="1333">
        <v>200</v>
      </c>
      <c r="C8" s="1333">
        <v>-0.04</v>
      </c>
      <c r="D8" s="1333">
        <v>-0.16</v>
      </c>
      <c r="E8" s="1333"/>
      <c r="F8" s="1333">
        <f t="shared" si="2"/>
        <v>0.06</v>
      </c>
      <c r="G8" s="1333">
        <f t="shared" si="0"/>
        <v>2.4</v>
      </c>
      <c r="H8" s="1289"/>
      <c r="I8" s="1333">
        <v>200</v>
      </c>
      <c r="J8" s="1333">
        <v>0.06</v>
      </c>
      <c r="K8" s="1333">
        <v>-0.18</v>
      </c>
      <c r="L8" s="1333"/>
      <c r="M8" s="1333">
        <f t="shared" si="3"/>
        <v>0.12</v>
      </c>
      <c r="N8" s="1333">
        <f>(1.2/100)*I8</f>
        <v>2.4</v>
      </c>
      <c r="O8" s="1289"/>
      <c r="P8" s="1333">
        <v>200</v>
      </c>
      <c r="Q8" s="1333">
        <v>-1.95</v>
      </c>
      <c r="R8" s="1333">
        <v>-2.0499999999999998</v>
      </c>
      <c r="S8" s="1333">
        <v>-2.14</v>
      </c>
      <c r="T8" s="1333">
        <f t="shared" si="4"/>
        <v>9.5000000000000084E-2</v>
      </c>
      <c r="U8" s="1333">
        <f t="shared" si="1"/>
        <v>2.4</v>
      </c>
      <c r="V8" s="406"/>
      <c r="W8" s="407"/>
      <c r="X8" s="328"/>
    </row>
    <row r="9" spans="1:24">
      <c r="A9" s="1287"/>
      <c r="B9" s="1333">
        <v>220</v>
      </c>
      <c r="C9" s="1333">
        <v>-0.28000000000000003</v>
      </c>
      <c r="D9" s="1333">
        <v>-0.18</v>
      </c>
      <c r="E9" s="1333"/>
      <c r="F9" s="1333">
        <f t="shared" si="2"/>
        <v>5.0000000000000017E-2</v>
      </c>
      <c r="G9" s="1333">
        <f t="shared" si="0"/>
        <v>2.64</v>
      </c>
      <c r="H9" s="1289"/>
      <c r="I9" s="1333">
        <v>220</v>
      </c>
      <c r="J9" s="1333">
        <v>0.05</v>
      </c>
      <c r="K9" s="1333">
        <v>-0.03</v>
      </c>
      <c r="L9" s="1333"/>
      <c r="M9" s="1333">
        <f t="shared" si="3"/>
        <v>0.04</v>
      </c>
      <c r="N9" s="1333">
        <f>(1.2/100)*I9</f>
        <v>2.64</v>
      </c>
      <c r="O9" s="1289"/>
      <c r="P9" s="1333">
        <v>220</v>
      </c>
      <c r="Q9" s="1333">
        <v>-2.31</v>
      </c>
      <c r="R9" s="1333">
        <v>-2.29</v>
      </c>
      <c r="S9" s="1333">
        <v>-3.44</v>
      </c>
      <c r="T9" s="1333">
        <f t="shared" si="4"/>
        <v>0.57499999999999996</v>
      </c>
      <c r="U9" s="1333">
        <f t="shared" si="1"/>
        <v>2.64</v>
      </c>
      <c r="V9" s="406"/>
      <c r="W9" s="407"/>
      <c r="X9" s="328"/>
    </row>
    <row r="10" spans="1:24">
      <c r="A10" s="1287"/>
      <c r="B10" s="1333">
        <v>230</v>
      </c>
      <c r="C10" s="1333">
        <v>-0.2</v>
      </c>
      <c r="D10" s="1333">
        <v>-0.26</v>
      </c>
      <c r="E10" s="1333"/>
      <c r="F10" s="1333">
        <f t="shared" si="2"/>
        <v>0.03</v>
      </c>
      <c r="G10" s="1333">
        <f t="shared" si="0"/>
        <v>2.7600000000000002</v>
      </c>
      <c r="H10" s="1289"/>
      <c r="I10" s="1333">
        <v>230</v>
      </c>
      <c r="J10" s="1333">
        <v>9.9999999999999995E-7</v>
      </c>
      <c r="K10" s="1333">
        <v>0.05</v>
      </c>
      <c r="L10" s="1333"/>
      <c r="M10" s="1333">
        <f t="shared" si="3"/>
        <v>2.4999500000000001E-2</v>
      </c>
      <c r="N10" s="1333">
        <f>(1.2/100)*I10</f>
        <v>2.7600000000000002</v>
      </c>
      <c r="O10" s="1289"/>
      <c r="P10" s="1333">
        <v>230</v>
      </c>
      <c r="Q10" s="1333">
        <v>-2.38</v>
      </c>
      <c r="R10" s="1333">
        <v>-11.79</v>
      </c>
      <c r="S10" s="1333">
        <v>-2.52</v>
      </c>
      <c r="T10" s="1333">
        <f t="shared" si="4"/>
        <v>4.7050000000000001</v>
      </c>
      <c r="U10" s="1333">
        <f t="shared" si="1"/>
        <v>2.7600000000000002</v>
      </c>
      <c r="V10" s="406"/>
      <c r="W10" s="407"/>
      <c r="X10" s="328"/>
    </row>
    <row r="11" spans="1:24">
      <c r="A11" s="1287"/>
      <c r="B11" s="1333">
        <v>250</v>
      </c>
      <c r="C11" s="1333">
        <v>-0.32</v>
      </c>
      <c r="D11" s="1333">
        <v>9.9999999999999995E-7</v>
      </c>
      <c r="E11" s="1333"/>
      <c r="F11" s="1333">
        <f t="shared" si="2"/>
        <v>0.16000049999999999</v>
      </c>
      <c r="G11" s="1333">
        <f t="shared" si="0"/>
        <v>3</v>
      </c>
      <c r="H11" s="1289"/>
      <c r="I11" s="1333">
        <v>250</v>
      </c>
      <c r="J11" s="1333">
        <v>9.9999999999999995E-7</v>
      </c>
      <c r="K11" s="1333">
        <v>9.9999999999999995E-7</v>
      </c>
      <c r="L11" s="1333"/>
      <c r="M11" s="1333">
        <f t="shared" si="3"/>
        <v>0</v>
      </c>
      <c r="N11" s="1333">
        <v>2.76</v>
      </c>
      <c r="O11" s="1289"/>
      <c r="P11" s="1333">
        <v>250</v>
      </c>
      <c r="Q11" s="1333">
        <v>-2.56</v>
      </c>
      <c r="R11" s="1333">
        <v>9.9999999999999995E-7</v>
      </c>
      <c r="S11" s="1333">
        <v>9.9999999999999995E-7</v>
      </c>
      <c r="T11" s="1333">
        <f t="shared" si="4"/>
        <v>1.2800005000000001</v>
      </c>
      <c r="U11" s="1333">
        <f t="shared" si="1"/>
        <v>3</v>
      </c>
      <c r="V11" s="406"/>
      <c r="W11" s="407"/>
      <c r="X11" s="328"/>
    </row>
    <row r="12" spans="1:24" ht="13" customHeight="1">
      <c r="A12" s="1287"/>
      <c r="B12" s="1294" t="s">
        <v>525</v>
      </c>
      <c r="C12" s="1294"/>
      <c r="D12" s="1294"/>
      <c r="E12" s="1294"/>
      <c r="F12" s="1293" t="s">
        <v>523</v>
      </c>
      <c r="G12" s="1293" t="s">
        <v>371</v>
      </c>
      <c r="H12" s="1289"/>
      <c r="I12" s="1294" t="str">
        <f>B12</f>
        <v>Current Leakage</v>
      </c>
      <c r="J12" s="1294"/>
      <c r="K12" s="1294"/>
      <c r="L12" s="1294"/>
      <c r="M12" s="1293" t="s">
        <v>523</v>
      </c>
      <c r="N12" s="1293" t="s">
        <v>371</v>
      </c>
      <c r="O12" s="1289"/>
      <c r="P12" s="1294" t="str">
        <f>B12</f>
        <v>Current Leakage</v>
      </c>
      <c r="Q12" s="1294"/>
      <c r="R12" s="1294"/>
      <c r="S12" s="1294"/>
      <c r="T12" s="1293" t="s">
        <v>523</v>
      </c>
      <c r="U12" s="1293" t="s">
        <v>371</v>
      </c>
      <c r="V12" s="328"/>
      <c r="W12" s="328"/>
      <c r="X12" s="328"/>
    </row>
    <row r="13" spans="1:24" ht="14">
      <c r="A13" s="1287"/>
      <c r="B13" s="664" t="s">
        <v>526</v>
      </c>
      <c r="C13" s="663">
        <f>C5</f>
        <v>2020</v>
      </c>
      <c r="D13" s="663">
        <f>D5</f>
        <v>2019</v>
      </c>
      <c r="E13" s="663">
        <f>E5</f>
        <v>2016</v>
      </c>
      <c r="F13" s="1293"/>
      <c r="G13" s="1293"/>
      <c r="H13" s="1289"/>
      <c r="I13" s="664" t="s">
        <v>526</v>
      </c>
      <c r="J13" s="663">
        <f>J5</f>
        <v>2019</v>
      </c>
      <c r="K13" s="663">
        <f>K5</f>
        <v>2017</v>
      </c>
      <c r="L13" s="663">
        <f>L5</f>
        <v>2016</v>
      </c>
      <c r="M13" s="1293"/>
      <c r="N13" s="1293"/>
      <c r="O13" s="1289"/>
      <c r="P13" s="664" t="s">
        <v>526</v>
      </c>
      <c r="Q13" s="663">
        <f>Q5</f>
        <v>2023</v>
      </c>
      <c r="R13" s="663">
        <f>R5</f>
        <v>2022</v>
      </c>
      <c r="S13" s="663">
        <f>S5</f>
        <v>2021</v>
      </c>
      <c r="T13" s="1293"/>
      <c r="U13" s="1293"/>
      <c r="V13" s="328"/>
      <c r="W13" s="328"/>
      <c r="X13" s="328"/>
    </row>
    <row r="14" spans="1:24">
      <c r="A14" s="1287"/>
      <c r="B14" s="1333">
        <v>0</v>
      </c>
      <c r="C14" s="1333">
        <v>9.9999999999999995E-7</v>
      </c>
      <c r="D14" s="1333">
        <v>9.9999999999999995E-7</v>
      </c>
      <c r="E14" s="321"/>
      <c r="F14" s="1333">
        <f>0.5*(MAX(C14:E14)-MIN(C14:E14))</f>
        <v>0</v>
      </c>
      <c r="G14" s="1333">
        <f t="shared" ref="G14:G19" si="5">(0.59/100)*B14</f>
        <v>0</v>
      </c>
      <c r="H14" s="1289"/>
      <c r="I14" s="1333">
        <v>0</v>
      </c>
      <c r="J14" s="1333">
        <v>9.9999999999999995E-7</v>
      </c>
      <c r="K14" s="1333">
        <v>9.9999999999999995E-7</v>
      </c>
      <c r="L14" s="1333"/>
      <c r="M14" s="1333">
        <f>0.5*(MAX(J14:L14)-MIN(J14:L14))</f>
        <v>0</v>
      </c>
      <c r="N14" s="1333">
        <v>0.3</v>
      </c>
      <c r="O14" s="1289"/>
      <c r="P14" s="1333">
        <v>9.9999999999999995E-7</v>
      </c>
      <c r="Q14" s="1333">
        <v>0</v>
      </c>
      <c r="R14" s="1333">
        <v>9.9999999999999995E-7</v>
      </c>
      <c r="S14" s="1333">
        <v>9.9999999999999995E-7</v>
      </c>
      <c r="T14" s="1333">
        <f>0.5*(MAX(Q14:S14)-MIN(Q14:S14))</f>
        <v>4.9999999999999998E-7</v>
      </c>
      <c r="U14" s="1333">
        <f t="shared" ref="U14:U19" si="6">(0.59/100)*P14</f>
        <v>5.8999999999999999E-9</v>
      </c>
      <c r="V14" s="328"/>
      <c r="W14" s="328"/>
      <c r="X14" s="328"/>
    </row>
    <row r="15" spans="1:24">
      <c r="A15" s="1287"/>
      <c r="B15" s="1333">
        <v>50</v>
      </c>
      <c r="C15" s="1333">
        <v>0.1</v>
      </c>
      <c r="D15" s="1333">
        <v>-0.06</v>
      </c>
      <c r="E15" s="321"/>
      <c r="F15" s="1333">
        <f t="shared" ref="F15:F19" si="7">0.5*(MAX(C15:E15)-MIN(C15:E15))</f>
        <v>0.08</v>
      </c>
      <c r="G15" s="1333">
        <f t="shared" si="5"/>
        <v>0.29499999999999998</v>
      </c>
      <c r="H15" s="1289"/>
      <c r="I15" s="1333">
        <v>50</v>
      </c>
      <c r="J15" s="1333">
        <v>-0.08</v>
      </c>
      <c r="K15" s="1333">
        <v>0.1</v>
      </c>
      <c r="L15" s="1333"/>
      <c r="M15" s="1333">
        <f t="shared" ref="M15:M19" si="8">0.5*(MAX(J15:L15)-MIN(J15:L15))</f>
        <v>0.09</v>
      </c>
      <c r="N15" s="1333">
        <f>(0.59/100)*I15</f>
        <v>0.29499999999999998</v>
      </c>
      <c r="O15" s="1289"/>
      <c r="P15" s="1333">
        <v>50</v>
      </c>
      <c r="Q15" s="1333">
        <v>2.7</v>
      </c>
      <c r="R15" s="1333">
        <v>9.1</v>
      </c>
      <c r="S15" s="1333">
        <v>-0.62</v>
      </c>
      <c r="T15" s="1333">
        <f t="shared" ref="T15:T19" si="9">0.5*(MAX(Q15:S15)-MIN(Q15:S15))</f>
        <v>4.8599999999999994</v>
      </c>
      <c r="U15" s="1333">
        <f t="shared" si="6"/>
        <v>0.29499999999999998</v>
      </c>
      <c r="V15" s="328"/>
      <c r="W15" s="328"/>
      <c r="X15" s="328"/>
    </row>
    <row r="16" spans="1:24">
      <c r="A16" s="1287"/>
      <c r="B16" s="1333">
        <v>100</v>
      </c>
      <c r="C16" s="1333">
        <v>0.2</v>
      </c>
      <c r="D16" s="1333">
        <v>-0.06</v>
      </c>
      <c r="E16" s="321"/>
      <c r="F16" s="1333">
        <f t="shared" si="7"/>
        <v>0.13</v>
      </c>
      <c r="G16" s="1333">
        <f t="shared" si="5"/>
        <v>0.59</v>
      </c>
      <c r="H16" s="1289"/>
      <c r="I16" s="1333">
        <v>100</v>
      </c>
      <c r="J16" s="1333">
        <v>-7.0000000000000007E-2</v>
      </c>
      <c r="K16" s="1333">
        <v>2.2000000000000002</v>
      </c>
      <c r="L16" s="1333"/>
      <c r="M16" s="1333">
        <f t="shared" si="8"/>
        <v>1.135</v>
      </c>
      <c r="N16" s="1333">
        <f>(0.59/100)*I16</f>
        <v>0.59</v>
      </c>
      <c r="O16" s="1289"/>
      <c r="P16" s="1333">
        <v>100</v>
      </c>
      <c r="Q16" s="1333">
        <v>2.4</v>
      </c>
      <c r="R16" s="1333">
        <v>6</v>
      </c>
      <c r="S16" s="1333">
        <v>-0.22</v>
      </c>
      <c r="T16" s="1333">
        <f t="shared" si="9"/>
        <v>3.11</v>
      </c>
      <c r="U16" s="1333">
        <f t="shared" si="6"/>
        <v>0.59</v>
      </c>
      <c r="V16" s="328"/>
      <c r="W16" s="328"/>
      <c r="X16" s="328"/>
    </row>
    <row r="17" spans="1:28">
      <c r="A17" s="1287"/>
      <c r="B17" s="1333">
        <v>200</v>
      </c>
      <c r="C17" s="1333">
        <v>0.4</v>
      </c>
      <c r="D17" s="1333">
        <v>9.9999999999999995E-7</v>
      </c>
      <c r="E17" s="321"/>
      <c r="F17" s="1333">
        <f t="shared" si="7"/>
        <v>0.19999950000000002</v>
      </c>
      <c r="G17" s="1333">
        <f t="shared" si="5"/>
        <v>1.18</v>
      </c>
      <c r="H17" s="1289"/>
      <c r="I17" s="1333">
        <v>200</v>
      </c>
      <c r="J17" s="1333">
        <v>-0.1</v>
      </c>
      <c r="K17" s="1333">
        <v>3.3</v>
      </c>
      <c r="L17" s="1333"/>
      <c r="M17" s="1333">
        <f t="shared" si="8"/>
        <v>1.7</v>
      </c>
      <c r="N17" s="1333">
        <f>(0.59/100)*I17</f>
        <v>1.18</v>
      </c>
      <c r="O17" s="1289"/>
      <c r="P17" s="1333">
        <v>200</v>
      </c>
      <c r="Q17" s="1333">
        <v>2.7</v>
      </c>
      <c r="R17" s="1333">
        <v>-3.6</v>
      </c>
      <c r="S17" s="1333">
        <v>-0.1</v>
      </c>
      <c r="T17" s="1333">
        <f t="shared" si="9"/>
        <v>3.1500000000000004</v>
      </c>
      <c r="U17" s="1333">
        <f t="shared" si="6"/>
        <v>1.18</v>
      </c>
      <c r="V17" s="328"/>
      <c r="W17" s="328"/>
      <c r="X17" s="328"/>
    </row>
    <row r="18" spans="1:28" ht="13">
      <c r="A18" s="1287"/>
      <c r="B18" s="1333">
        <v>500</v>
      </c>
      <c r="C18" s="1333">
        <v>3.8</v>
      </c>
      <c r="D18" s="1333">
        <v>-0.9</v>
      </c>
      <c r="E18" s="321"/>
      <c r="F18" s="1333">
        <f t="shared" si="7"/>
        <v>2.35</v>
      </c>
      <c r="G18" s="1333">
        <f t="shared" si="5"/>
        <v>2.9499999999999997</v>
      </c>
      <c r="H18" s="1289"/>
      <c r="I18" s="1333">
        <v>500</v>
      </c>
      <c r="J18" s="1333">
        <v>0.8</v>
      </c>
      <c r="K18" s="1333">
        <v>2</v>
      </c>
      <c r="L18" s="1333"/>
      <c r="M18" s="1333">
        <f t="shared" si="8"/>
        <v>0.6</v>
      </c>
      <c r="N18" s="1333">
        <f>(0.59/100)*I18</f>
        <v>2.9499999999999997</v>
      </c>
      <c r="O18" s="1289"/>
      <c r="P18" s="1333">
        <v>500</v>
      </c>
      <c r="Q18" s="1333">
        <v>3</v>
      </c>
      <c r="R18" s="1333">
        <v>-18.8</v>
      </c>
      <c r="S18" s="1333">
        <v>-1.1000000000000001</v>
      </c>
      <c r="T18" s="1333">
        <f t="shared" si="9"/>
        <v>10.9</v>
      </c>
      <c r="U18" s="1333">
        <f t="shared" si="6"/>
        <v>2.9499999999999997</v>
      </c>
      <c r="V18" s="328"/>
      <c r="W18" s="328"/>
      <c r="X18" s="328"/>
      <c r="AB18" s="408"/>
    </row>
    <row r="19" spans="1:28">
      <c r="A19" s="1287"/>
      <c r="B19" s="1333">
        <v>1000</v>
      </c>
      <c r="C19" s="1333">
        <v>9</v>
      </c>
      <c r="D19" s="1333">
        <v>9.9999999999999995E-7</v>
      </c>
      <c r="E19" s="321"/>
      <c r="F19" s="1333">
        <f t="shared" si="7"/>
        <v>4.4999995000000004</v>
      </c>
      <c r="G19" s="1333">
        <f t="shared" si="5"/>
        <v>5.8999999999999995</v>
      </c>
      <c r="H19" s="1289"/>
      <c r="I19" s="1333">
        <v>1000</v>
      </c>
      <c r="J19" s="1333">
        <v>9.9999999999999995E-7</v>
      </c>
      <c r="K19" s="1333">
        <v>9.9999999999999995E-7</v>
      </c>
      <c r="L19" s="1333"/>
      <c r="M19" s="1333">
        <f t="shared" si="8"/>
        <v>0</v>
      </c>
      <c r="N19" s="1333">
        <v>2.95</v>
      </c>
      <c r="O19" s="1289"/>
      <c r="P19" s="1333">
        <v>1000</v>
      </c>
      <c r="Q19" s="1333">
        <v>-88</v>
      </c>
      <c r="R19" s="1333">
        <v>-47</v>
      </c>
      <c r="S19" s="1333">
        <v>3</v>
      </c>
      <c r="T19" s="1333">
        <f t="shared" si="9"/>
        <v>45.5</v>
      </c>
      <c r="U19" s="1333">
        <f t="shared" si="6"/>
        <v>5.8999999999999995</v>
      </c>
      <c r="V19" s="328"/>
      <c r="W19" s="328"/>
      <c r="X19" s="328"/>
    </row>
    <row r="20" spans="1:28" ht="13">
      <c r="A20" s="1287"/>
      <c r="B20" s="1294" t="s">
        <v>527</v>
      </c>
      <c r="C20" s="1294"/>
      <c r="D20" s="1294"/>
      <c r="E20" s="1294"/>
      <c r="F20" s="1293" t="s">
        <v>523</v>
      </c>
      <c r="G20" s="1293" t="s">
        <v>371</v>
      </c>
      <c r="H20" s="1289"/>
      <c r="I20" s="1294" t="str">
        <f>B20</f>
        <v>Main-PE</v>
      </c>
      <c r="J20" s="1294"/>
      <c r="K20" s="1294"/>
      <c r="L20" s="1294"/>
      <c r="M20" s="1293" t="s">
        <v>523</v>
      </c>
      <c r="N20" s="1293" t="s">
        <v>371</v>
      </c>
      <c r="O20" s="1289"/>
      <c r="P20" s="1294" t="str">
        <f>B20</f>
        <v>Main-PE</v>
      </c>
      <c r="Q20" s="1294"/>
      <c r="R20" s="1294"/>
      <c r="S20" s="1294"/>
      <c r="T20" s="1293" t="s">
        <v>523</v>
      </c>
      <c r="U20" s="1293" t="s">
        <v>371</v>
      </c>
      <c r="V20" s="328"/>
      <c r="W20" s="328"/>
      <c r="X20" s="328"/>
    </row>
    <row r="21" spans="1:28" ht="14.5">
      <c r="A21" s="1287"/>
      <c r="B21" s="664" t="s">
        <v>528</v>
      </c>
      <c r="C21" s="663">
        <f>C5</f>
        <v>2020</v>
      </c>
      <c r="D21" s="663">
        <f>D5</f>
        <v>2019</v>
      </c>
      <c r="E21" s="663">
        <f>E5</f>
        <v>2016</v>
      </c>
      <c r="F21" s="1293"/>
      <c r="G21" s="1293"/>
      <c r="H21" s="1289"/>
      <c r="I21" s="664" t="s">
        <v>528</v>
      </c>
      <c r="J21" s="663">
        <f>J5</f>
        <v>2019</v>
      </c>
      <c r="K21" s="663">
        <f>K5</f>
        <v>2017</v>
      </c>
      <c r="L21" s="663">
        <f>L5</f>
        <v>2016</v>
      </c>
      <c r="M21" s="1293"/>
      <c r="N21" s="1293"/>
      <c r="O21" s="1289"/>
      <c r="P21" s="664" t="s">
        <v>528</v>
      </c>
      <c r="Q21" s="663">
        <f>Q5</f>
        <v>2023</v>
      </c>
      <c r="R21" s="663">
        <f>R5</f>
        <v>2022</v>
      </c>
      <c r="S21" s="663">
        <f>S5</f>
        <v>2021</v>
      </c>
      <c r="T21" s="1293"/>
      <c r="U21" s="1293"/>
      <c r="V21" s="328"/>
      <c r="W21" s="328"/>
      <c r="X21" s="328"/>
    </row>
    <row r="22" spans="1:28">
      <c r="A22" s="1287"/>
      <c r="B22" s="1333">
        <v>10</v>
      </c>
      <c r="C22" s="1333">
        <v>9.9999999999999995E-7</v>
      </c>
      <c r="D22" s="1333">
        <v>9.9999999999999995E-7</v>
      </c>
      <c r="E22" s="321"/>
      <c r="F22" s="1333">
        <f>0.5*(MAX(C22:E22)-MIN(C22:E22))</f>
        <v>0</v>
      </c>
      <c r="G22" s="1333">
        <v>0</v>
      </c>
      <c r="H22" s="1289"/>
      <c r="I22" s="1333">
        <v>10</v>
      </c>
      <c r="J22" s="1333">
        <v>0.1</v>
      </c>
      <c r="K22" s="1333">
        <v>9.9999999999999995E-7</v>
      </c>
      <c r="L22" s="321"/>
      <c r="M22" s="1333">
        <f>0.5*(MAX(J22:L22)-MIN(J22:L22))</f>
        <v>4.9999500000000002E-2</v>
      </c>
      <c r="N22" s="1333">
        <f>(0.59/100)*I22</f>
        <v>5.8999999999999997E-2</v>
      </c>
      <c r="O22" s="1289"/>
      <c r="P22" s="1333">
        <v>5</v>
      </c>
      <c r="Q22" s="1333">
        <v>0</v>
      </c>
      <c r="R22" s="1333">
        <v>9.9999999999999995E-7</v>
      </c>
      <c r="S22" s="321">
        <v>9.9999999999999995E-7</v>
      </c>
      <c r="T22" s="1333">
        <f>0.5*(MAX(Q22:S22)-MIN(Q22:S22))</f>
        <v>4.9999999999999998E-7</v>
      </c>
      <c r="U22" s="1333">
        <f>(1.7/100)*P22</f>
        <v>8.5000000000000006E-2</v>
      </c>
      <c r="V22" s="328"/>
      <c r="W22" s="328"/>
      <c r="X22" s="328"/>
    </row>
    <row r="23" spans="1:28">
      <c r="A23" s="1287"/>
      <c r="B23" s="1333">
        <v>20</v>
      </c>
      <c r="C23" s="1333">
        <v>9.9999999999999995E-7</v>
      </c>
      <c r="D23" s="1333">
        <v>9.9999999999999995E-7</v>
      </c>
      <c r="E23" s="321"/>
      <c r="F23" s="1333">
        <f t="shared" ref="F23:F25" si="10">0.5*(MAX(C23:E23)-MIN(C23:E23))</f>
        <v>0</v>
      </c>
      <c r="G23" s="1333">
        <v>0</v>
      </c>
      <c r="H23" s="1289"/>
      <c r="I23" s="1333">
        <v>20</v>
      </c>
      <c r="J23" s="1333">
        <v>0.2</v>
      </c>
      <c r="K23" s="1333">
        <v>0.1</v>
      </c>
      <c r="L23" s="321"/>
      <c r="M23" s="1333">
        <f t="shared" ref="M23:M25" si="11">0.5*(MAX(J23:L23)-MIN(J23:L23))</f>
        <v>0.05</v>
      </c>
      <c r="N23" s="1333">
        <f>(0.59/100)*I23</f>
        <v>0.11799999999999999</v>
      </c>
      <c r="O23" s="1289"/>
      <c r="P23" s="1333">
        <v>10</v>
      </c>
      <c r="Q23" s="1333">
        <v>0</v>
      </c>
      <c r="R23" s="1333">
        <v>9.9999999999999995E-7</v>
      </c>
      <c r="S23" s="321">
        <v>9.9999999999999995E-7</v>
      </c>
      <c r="T23" s="1333">
        <f t="shared" ref="T23:T25" si="12">0.5*(MAX(Q23:S23)-MIN(Q23:S23))</f>
        <v>4.9999999999999998E-7</v>
      </c>
      <c r="U23" s="1333">
        <f>(1.7/100)*P23</f>
        <v>0.17</v>
      </c>
      <c r="V23" s="328"/>
      <c r="W23" s="328"/>
      <c r="X23" s="328"/>
    </row>
    <row r="24" spans="1:28">
      <c r="A24" s="1287"/>
      <c r="B24" s="1333">
        <v>50</v>
      </c>
      <c r="C24" s="1333">
        <v>9.9999999999999995E-7</v>
      </c>
      <c r="D24" s="1333">
        <v>9.9999999999999995E-7</v>
      </c>
      <c r="E24" s="321"/>
      <c r="F24" s="1333">
        <f t="shared" si="10"/>
        <v>0</v>
      </c>
      <c r="G24" s="1333">
        <v>0</v>
      </c>
      <c r="H24" s="1289"/>
      <c r="I24" s="1333">
        <v>50</v>
      </c>
      <c r="J24" s="1333">
        <v>0.3</v>
      </c>
      <c r="K24" s="1333">
        <v>0.1</v>
      </c>
      <c r="L24" s="321"/>
      <c r="M24" s="1333">
        <f t="shared" si="11"/>
        <v>9.9999999999999992E-2</v>
      </c>
      <c r="N24" s="1333">
        <f>(0.59/100)*I24</f>
        <v>0.29499999999999998</v>
      </c>
      <c r="O24" s="1289"/>
      <c r="P24" s="1333">
        <v>20</v>
      </c>
      <c r="Q24" s="1333">
        <v>0.2</v>
      </c>
      <c r="R24" s="1333">
        <v>9.9999999999999995E-7</v>
      </c>
      <c r="S24" s="321">
        <v>0.4</v>
      </c>
      <c r="T24" s="1333">
        <f t="shared" si="12"/>
        <v>0.19999950000000002</v>
      </c>
      <c r="U24" s="1333">
        <f>(1.7/100)*P24</f>
        <v>0.34</v>
      </c>
      <c r="V24" s="328"/>
      <c r="W24" s="328"/>
      <c r="X24" s="328"/>
    </row>
    <row r="25" spans="1:28">
      <c r="A25" s="1287"/>
      <c r="B25" s="1333">
        <v>100</v>
      </c>
      <c r="C25" s="1333">
        <v>9.9999999999999995E-7</v>
      </c>
      <c r="D25" s="1333">
        <v>9.9999999999999995E-7</v>
      </c>
      <c r="E25" s="321"/>
      <c r="F25" s="1333">
        <f t="shared" si="10"/>
        <v>0</v>
      </c>
      <c r="G25" s="1333">
        <v>0</v>
      </c>
      <c r="H25" s="1289"/>
      <c r="I25" s="1333">
        <v>100</v>
      </c>
      <c r="J25" s="1333">
        <v>0.3</v>
      </c>
      <c r="K25" s="1333">
        <v>9.9999999999999995E-7</v>
      </c>
      <c r="L25" s="321"/>
      <c r="M25" s="1333">
        <f t="shared" si="11"/>
        <v>0.14999950000000001</v>
      </c>
      <c r="N25" s="1333">
        <f>(0.59/100)*I25</f>
        <v>0.59</v>
      </c>
      <c r="O25" s="1289"/>
      <c r="P25" s="1333">
        <v>50</v>
      </c>
      <c r="Q25" s="1333">
        <v>0.2</v>
      </c>
      <c r="R25" s="1333">
        <v>0.1</v>
      </c>
      <c r="S25" s="321">
        <v>1.1000000000000001</v>
      </c>
      <c r="T25" s="1333">
        <f t="shared" si="12"/>
        <v>0.5</v>
      </c>
      <c r="U25" s="1333">
        <f>(1.7/100)*P25</f>
        <v>0.85000000000000009</v>
      </c>
      <c r="V25" s="328"/>
      <c r="W25" s="328"/>
      <c r="X25" s="328"/>
    </row>
    <row r="26" spans="1:28" ht="13" customHeight="1">
      <c r="A26" s="1287"/>
      <c r="B26" s="1294" t="s">
        <v>529</v>
      </c>
      <c r="C26" s="1294"/>
      <c r="D26" s="1294"/>
      <c r="E26" s="1294"/>
      <c r="F26" s="1293" t="s">
        <v>523</v>
      </c>
      <c r="G26" s="1293" t="s">
        <v>371</v>
      </c>
      <c r="H26" s="1289"/>
      <c r="I26" s="1294" t="str">
        <f>B26</f>
        <v>Resistance</v>
      </c>
      <c r="J26" s="1294"/>
      <c r="K26" s="1294"/>
      <c r="L26" s="1294"/>
      <c r="M26" s="1293" t="s">
        <v>523</v>
      </c>
      <c r="N26" s="1293" t="s">
        <v>371</v>
      </c>
      <c r="O26" s="1289"/>
      <c r="P26" s="1294" t="str">
        <f>B26</f>
        <v>Resistance</v>
      </c>
      <c r="Q26" s="1294"/>
      <c r="R26" s="1294"/>
      <c r="S26" s="1294"/>
      <c r="T26" s="1293" t="s">
        <v>523</v>
      </c>
      <c r="U26" s="1293" t="s">
        <v>371</v>
      </c>
      <c r="V26" s="328"/>
      <c r="W26" s="328"/>
      <c r="X26" s="328"/>
    </row>
    <row r="27" spans="1:28" ht="14.5">
      <c r="A27" s="1287"/>
      <c r="B27" s="664" t="s">
        <v>530</v>
      </c>
      <c r="C27" s="663">
        <f>C5</f>
        <v>2020</v>
      </c>
      <c r="D27" s="663">
        <f>D5</f>
        <v>2019</v>
      </c>
      <c r="E27" s="663">
        <f>E5</f>
        <v>2016</v>
      </c>
      <c r="F27" s="1293"/>
      <c r="G27" s="1293"/>
      <c r="H27" s="1289"/>
      <c r="I27" s="664" t="s">
        <v>530</v>
      </c>
      <c r="J27" s="663">
        <f>J5</f>
        <v>2019</v>
      </c>
      <c r="K27" s="663">
        <f>K5</f>
        <v>2017</v>
      </c>
      <c r="L27" s="663">
        <f>L5</f>
        <v>2016</v>
      </c>
      <c r="M27" s="1293"/>
      <c r="N27" s="1293"/>
      <c r="O27" s="1289"/>
      <c r="P27" s="664" t="s">
        <v>530</v>
      </c>
      <c r="Q27" s="663">
        <f>Q5</f>
        <v>2023</v>
      </c>
      <c r="R27" s="663">
        <f>R5</f>
        <v>2022</v>
      </c>
      <c r="S27" s="663">
        <f>S5</f>
        <v>2021</v>
      </c>
      <c r="T27" s="1293"/>
      <c r="U27" s="1293"/>
      <c r="V27" s="328"/>
      <c r="W27" s="328"/>
      <c r="X27" s="328"/>
    </row>
    <row r="28" spans="1:28">
      <c r="A28" s="1287"/>
      <c r="B28" s="1333">
        <v>0</v>
      </c>
      <c r="C28" s="1333">
        <v>9.9999999999999995E-7</v>
      </c>
      <c r="D28" s="1333">
        <v>9.9999999999999995E-7</v>
      </c>
      <c r="E28" s="321"/>
      <c r="F28" s="1333">
        <f>0.5*(MAX(C28:E28)-MIN(C28:E28))</f>
        <v>0</v>
      </c>
      <c r="G28" s="1333">
        <f>(1.2/100)*B28</f>
        <v>0</v>
      </c>
      <c r="H28" s="1289"/>
      <c r="I28" s="1333">
        <v>0.01</v>
      </c>
      <c r="J28" s="1333">
        <v>9.9999999999999995E-7</v>
      </c>
      <c r="K28" s="1333">
        <v>9.9999999999999995E-7</v>
      </c>
      <c r="L28" s="321"/>
      <c r="M28" s="1333">
        <f>0.5*(MAX(J28:L28)-MIN(J28:L28))</f>
        <v>0</v>
      </c>
      <c r="N28" s="1333">
        <f>(1.2/100)*I28</f>
        <v>1.2E-4</v>
      </c>
      <c r="O28" s="1289"/>
      <c r="P28" s="1334">
        <v>0</v>
      </c>
      <c r="Q28" s="1334">
        <v>0</v>
      </c>
      <c r="R28" s="1334">
        <v>-1E-3</v>
      </c>
      <c r="S28" s="1335">
        <v>9.9999999999999995E-7</v>
      </c>
      <c r="T28" s="1334">
        <f>0.5*(MAX(Q28:S28)-MIN(Q28:S28))</f>
        <v>5.0049999999999997E-4</v>
      </c>
      <c r="U28" s="1334">
        <f>(1.2/100)*P28</f>
        <v>0</v>
      </c>
      <c r="V28" s="328"/>
      <c r="W28" s="328"/>
      <c r="X28" s="328"/>
    </row>
    <row r="29" spans="1:28">
      <c r="A29" s="1287"/>
      <c r="B29" s="1333">
        <v>0.1</v>
      </c>
      <c r="C29" s="1333">
        <v>-1E-3</v>
      </c>
      <c r="D29" s="1333">
        <v>2E-3</v>
      </c>
      <c r="E29" s="321"/>
      <c r="F29" s="1333">
        <f t="shared" ref="F29:F31" si="13">0.5*(MAX(C29:E29)-MIN(C29:E29))</f>
        <v>1.5E-3</v>
      </c>
      <c r="G29" s="1333">
        <f>(1.2/100)*B29</f>
        <v>1.2000000000000001E-3</v>
      </c>
      <c r="H29" s="1289"/>
      <c r="I29" s="1333">
        <v>0.1</v>
      </c>
      <c r="J29" s="1333">
        <v>6.0000000000000001E-3</v>
      </c>
      <c r="K29" s="1333">
        <v>5.0000000000000001E-3</v>
      </c>
      <c r="L29" s="321"/>
      <c r="M29" s="1333">
        <f t="shared" ref="M29:M31" si="14">0.5*(MAX(J29:L29)-MIN(J29:L29))</f>
        <v>5.0000000000000001E-4</v>
      </c>
      <c r="N29" s="1333">
        <f>(1.2/100)*I29</f>
        <v>1.2000000000000001E-3</v>
      </c>
      <c r="O29" s="1289"/>
      <c r="P29" s="1334">
        <v>0.5</v>
      </c>
      <c r="Q29" s="1334">
        <v>5.0000000000000001E-3</v>
      </c>
      <c r="R29" s="1334">
        <v>-2E-3</v>
      </c>
      <c r="S29" s="1335">
        <v>-1E-3</v>
      </c>
      <c r="T29" s="1334">
        <f t="shared" ref="T29:T31" si="15">0.5*(MAX(Q29:S29)-MIN(Q29:S29))</f>
        <v>3.5000000000000001E-3</v>
      </c>
      <c r="U29" s="1334">
        <f>(1.2/100)*P29</f>
        <v>6.0000000000000001E-3</v>
      </c>
      <c r="V29" s="328"/>
      <c r="W29" s="328"/>
      <c r="X29" s="328"/>
    </row>
    <row r="30" spans="1:28">
      <c r="A30" s="1287"/>
      <c r="B30" s="1333">
        <v>1</v>
      </c>
      <c r="C30" s="1333">
        <v>4.0000000000000001E-3</v>
      </c>
      <c r="D30" s="1333">
        <v>1.2E-2</v>
      </c>
      <c r="E30" s="321"/>
      <c r="F30" s="1333">
        <f t="shared" si="13"/>
        <v>4.0000000000000001E-3</v>
      </c>
      <c r="G30" s="1333">
        <f>(1.2/100)*B30</f>
        <v>1.2E-2</v>
      </c>
      <c r="H30" s="1289"/>
      <c r="I30" s="1333">
        <v>1</v>
      </c>
      <c r="J30" s="1333">
        <v>4.4999999999999998E-2</v>
      </c>
      <c r="K30" s="1333">
        <v>5.5E-2</v>
      </c>
      <c r="L30" s="321"/>
      <c r="M30" s="1333">
        <f t="shared" si="14"/>
        <v>5.000000000000001E-3</v>
      </c>
      <c r="N30" s="1333">
        <f>(1.2/100)*I30</f>
        <v>1.2E-2</v>
      </c>
      <c r="O30" s="1289"/>
      <c r="P30" s="1334">
        <v>1</v>
      </c>
      <c r="Q30" s="1334">
        <v>8.0000000000000002E-3</v>
      </c>
      <c r="R30" s="1334">
        <v>-1.2E-2</v>
      </c>
      <c r="S30" s="1335">
        <v>5.0000000000000001E-3</v>
      </c>
      <c r="T30" s="1334">
        <f t="shared" si="15"/>
        <v>0.01</v>
      </c>
      <c r="U30" s="1334">
        <f>(1.2/100)*P30</f>
        <v>1.2E-2</v>
      </c>
      <c r="V30" s="328"/>
      <c r="W30" s="328"/>
      <c r="X30" s="328"/>
    </row>
    <row r="31" spans="1:28">
      <c r="A31" s="1287"/>
      <c r="B31" s="1333">
        <v>2</v>
      </c>
      <c r="C31" s="1333">
        <v>7.0000000000000001E-3</v>
      </c>
      <c r="D31" s="1333">
        <v>9.9999999999999995E-7</v>
      </c>
      <c r="E31" s="321"/>
      <c r="F31" s="1333">
        <f t="shared" si="13"/>
        <v>3.4995E-3</v>
      </c>
      <c r="G31" s="1333">
        <f>(1.2/100)*B31</f>
        <v>2.4E-2</v>
      </c>
      <c r="H31" s="1289"/>
      <c r="I31" s="1333">
        <v>2</v>
      </c>
      <c r="J31" s="1333">
        <v>9.9999999999999995E-7</v>
      </c>
      <c r="K31" s="1333">
        <v>9.9999999999999995E-7</v>
      </c>
      <c r="L31" s="321"/>
      <c r="M31" s="1333">
        <f t="shared" si="14"/>
        <v>0</v>
      </c>
      <c r="N31" s="1333">
        <f>(0/100)*I31</f>
        <v>0</v>
      </c>
      <c r="O31" s="1289"/>
      <c r="P31" s="1334">
        <v>2</v>
      </c>
      <c r="Q31" s="1334">
        <v>1.4E-2</v>
      </c>
      <c r="R31" s="1334">
        <v>-8.0000000000000002E-3</v>
      </c>
      <c r="S31" s="1335">
        <v>1.4E-2</v>
      </c>
      <c r="T31" s="1334">
        <f t="shared" si="15"/>
        <v>1.0999999999999999E-2</v>
      </c>
      <c r="U31" s="1334">
        <f>(1.2/100)*P31</f>
        <v>2.4E-2</v>
      </c>
      <c r="V31" s="328"/>
      <c r="W31" s="328"/>
      <c r="X31" s="328"/>
    </row>
    <row r="32" spans="1:28">
      <c r="A32" s="409"/>
      <c r="T32" s="323"/>
      <c r="V32" s="328"/>
      <c r="W32" s="328"/>
      <c r="X32" s="328"/>
    </row>
    <row r="33" spans="1:24" ht="14.5">
      <c r="A33" s="1287" t="s">
        <v>531</v>
      </c>
      <c r="B33" s="1295" t="s">
        <v>532</v>
      </c>
      <c r="C33" s="1295"/>
      <c r="D33" s="1295"/>
      <c r="E33" s="1295"/>
      <c r="F33" s="1295"/>
      <c r="G33" s="1295"/>
      <c r="H33" s="1289" t="s">
        <v>533</v>
      </c>
      <c r="I33" s="1288" t="s">
        <v>534</v>
      </c>
      <c r="J33" s="1288"/>
      <c r="K33" s="1288"/>
      <c r="L33" s="1288"/>
      <c r="M33" s="1288"/>
      <c r="N33" s="1288"/>
      <c r="O33" s="1289" t="s">
        <v>535</v>
      </c>
      <c r="P33" s="1295" t="s">
        <v>536</v>
      </c>
      <c r="Q33" s="1295"/>
      <c r="R33" s="1295"/>
      <c r="S33" s="1295"/>
      <c r="T33" s="1295"/>
      <c r="U33" s="1295"/>
      <c r="V33" s="328"/>
      <c r="W33" s="328"/>
      <c r="X33" s="328"/>
    </row>
    <row r="34" spans="1:24" ht="14">
      <c r="A34" s="1287"/>
      <c r="B34" s="1291" t="s">
        <v>521</v>
      </c>
      <c r="C34" s="1291"/>
      <c r="D34" s="1291"/>
      <c r="E34" s="1291"/>
      <c r="F34" s="1291"/>
      <c r="G34" s="1291"/>
      <c r="H34" s="1289"/>
      <c r="I34" s="1291" t="s">
        <v>521</v>
      </c>
      <c r="J34" s="1291"/>
      <c r="K34" s="1291"/>
      <c r="L34" s="1291"/>
      <c r="M34" s="1291"/>
      <c r="N34" s="1291"/>
      <c r="O34" s="1289"/>
      <c r="P34" s="1291" t="s">
        <v>521</v>
      </c>
      <c r="Q34" s="1291"/>
      <c r="R34" s="1291"/>
      <c r="S34" s="1291"/>
      <c r="T34" s="1291"/>
      <c r="U34" s="1291"/>
      <c r="V34" s="328"/>
      <c r="W34" s="328"/>
      <c r="X34" s="328"/>
    </row>
    <row r="35" spans="1:24" ht="13">
      <c r="A35" s="1287"/>
      <c r="B35" s="1293" t="str">
        <f>B4</f>
        <v>Setting VAC</v>
      </c>
      <c r="C35" s="1293"/>
      <c r="D35" s="1293"/>
      <c r="E35" s="1293"/>
      <c r="F35" s="1293" t="s">
        <v>523</v>
      </c>
      <c r="G35" s="1293" t="s">
        <v>371</v>
      </c>
      <c r="H35" s="1289"/>
      <c r="I35" s="1293" t="str">
        <f>B35</f>
        <v>Setting VAC</v>
      </c>
      <c r="J35" s="1293"/>
      <c r="K35" s="1293"/>
      <c r="L35" s="1293"/>
      <c r="M35" s="1293" t="s">
        <v>523</v>
      </c>
      <c r="N35" s="1293" t="s">
        <v>371</v>
      </c>
      <c r="O35" s="1289"/>
      <c r="P35" s="1293" t="str">
        <f>I35</f>
        <v>Setting VAC</v>
      </c>
      <c r="Q35" s="1293"/>
      <c r="R35" s="1293"/>
      <c r="S35" s="1293"/>
      <c r="T35" s="1293" t="s">
        <v>523</v>
      </c>
      <c r="U35" s="1293" t="s">
        <v>371</v>
      </c>
      <c r="V35" s="328"/>
      <c r="W35" s="328"/>
      <c r="X35" s="328"/>
    </row>
    <row r="36" spans="1:24" ht="14">
      <c r="A36" s="1287"/>
      <c r="B36" s="664" t="s">
        <v>524</v>
      </c>
      <c r="C36" s="663">
        <v>2021</v>
      </c>
      <c r="D36" s="663">
        <v>2019</v>
      </c>
      <c r="E36" s="663">
        <v>2016</v>
      </c>
      <c r="F36" s="1293"/>
      <c r="G36" s="1293"/>
      <c r="H36" s="1289"/>
      <c r="I36" s="664" t="s">
        <v>524</v>
      </c>
      <c r="J36" s="663">
        <v>2021</v>
      </c>
      <c r="K36" s="663">
        <v>2019</v>
      </c>
      <c r="L36" s="663">
        <v>2016</v>
      </c>
      <c r="M36" s="1293"/>
      <c r="N36" s="1293"/>
      <c r="O36" s="1289"/>
      <c r="P36" s="664" t="s">
        <v>524</v>
      </c>
      <c r="Q36" s="663">
        <v>2023</v>
      </c>
      <c r="R36" s="663">
        <v>2022</v>
      </c>
      <c r="S36" s="663">
        <v>2019</v>
      </c>
      <c r="T36" s="1293"/>
      <c r="U36" s="1293"/>
      <c r="V36" s="405"/>
      <c r="W36" s="405"/>
      <c r="X36" s="328"/>
    </row>
    <row r="37" spans="1:24">
      <c r="A37" s="1287"/>
      <c r="B37" s="1333">
        <v>150</v>
      </c>
      <c r="C37" s="1333">
        <v>-0.05</v>
      </c>
      <c r="D37" s="1333">
        <v>0.11</v>
      </c>
      <c r="E37" s="1333"/>
      <c r="F37" s="1333">
        <f>0.5*(MAX(C37:E37)-MIN(C37:E37))</f>
        <v>0.08</v>
      </c>
      <c r="G37" s="1333">
        <f t="shared" ref="G37:G42" si="16">(1.2/100)*B37</f>
        <v>1.8</v>
      </c>
      <c r="H37" s="1289"/>
      <c r="I37" s="1333">
        <v>150</v>
      </c>
      <c r="J37" s="1333">
        <v>0.25</v>
      </c>
      <c r="K37" s="1333">
        <v>0.02</v>
      </c>
      <c r="L37" s="1333"/>
      <c r="M37" s="1333">
        <f>0.5*(MAX(J37:L37)-MIN(J37:L37))</f>
        <v>0.115</v>
      </c>
      <c r="N37" s="1333">
        <f t="shared" ref="N37:N42" si="17">(1.2/100)*I37</f>
        <v>1.8</v>
      </c>
      <c r="O37" s="1289"/>
      <c r="P37" s="1333">
        <v>150</v>
      </c>
      <c r="Q37" s="1333">
        <v>0.14000000000000001</v>
      </c>
      <c r="R37" s="1333">
        <v>0.15</v>
      </c>
      <c r="S37" s="1333">
        <v>-0.15</v>
      </c>
      <c r="T37" s="1333">
        <f>0.5*(MAX(Q37:S37)-MIN(Q37:S37))</f>
        <v>0.15</v>
      </c>
      <c r="U37" s="1333">
        <f>(1.2/100)*P37</f>
        <v>1.8</v>
      </c>
      <c r="V37" s="406"/>
      <c r="W37" s="407"/>
      <c r="X37" s="328"/>
    </row>
    <row r="38" spans="1:24">
      <c r="A38" s="1287"/>
      <c r="B38" s="1333">
        <v>180</v>
      </c>
      <c r="C38" s="1333">
        <v>-0.04</v>
      </c>
      <c r="D38" s="1333">
        <v>0.03</v>
      </c>
      <c r="E38" s="1333"/>
      <c r="F38" s="1333">
        <f t="shared" ref="F38:F42" si="18">0.5*(MAX(C38:E38)-MIN(C38:E38))</f>
        <v>3.5000000000000003E-2</v>
      </c>
      <c r="G38" s="1333">
        <f t="shared" si="16"/>
        <v>2.16</v>
      </c>
      <c r="H38" s="1289"/>
      <c r="I38" s="1333">
        <v>180</v>
      </c>
      <c r="J38" s="1333">
        <v>0.09</v>
      </c>
      <c r="K38" s="1333">
        <v>0.1</v>
      </c>
      <c r="L38" s="1333"/>
      <c r="M38" s="1333">
        <f t="shared" ref="M38:M42" si="19">0.5*(MAX(J38:L38)-MIN(J38:L38))</f>
        <v>5.0000000000000044E-3</v>
      </c>
      <c r="N38" s="1333">
        <f t="shared" si="17"/>
        <v>2.16</v>
      </c>
      <c r="O38" s="1289"/>
      <c r="P38" s="1333">
        <v>180</v>
      </c>
      <c r="Q38" s="1333">
        <v>0.17</v>
      </c>
      <c r="R38" s="1333">
        <v>0.17</v>
      </c>
      <c r="S38" s="1333">
        <v>-0.11</v>
      </c>
      <c r="T38" s="1333">
        <f t="shared" ref="T38:T42" si="20">0.5*(MAX(Q38:S38)-MIN(Q38:S38))</f>
        <v>0.14000000000000001</v>
      </c>
      <c r="U38" s="1333">
        <f>(1.2/100)*P38</f>
        <v>2.16</v>
      </c>
      <c r="V38" s="406"/>
      <c r="W38" s="407"/>
      <c r="X38" s="328"/>
    </row>
    <row r="39" spans="1:24">
      <c r="A39" s="1287"/>
      <c r="B39" s="1333">
        <v>200</v>
      </c>
      <c r="C39" s="1333">
        <v>-0.67</v>
      </c>
      <c r="D39" s="1333">
        <v>0.05</v>
      </c>
      <c r="E39" s="1333"/>
      <c r="F39" s="1333">
        <f t="shared" si="18"/>
        <v>0.36000000000000004</v>
      </c>
      <c r="G39" s="1333">
        <f t="shared" si="16"/>
        <v>2.4</v>
      </c>
      <c r="H39" s="1289"/>
      <c r="I39" s="1333">
        <v>200</v>
      </c>
      <c r="J39" s="1333">
        <v>0.18</v>
      </c>
      <c r="K39" s="1333">
        <v>-0.03</v>
      </c>
      <c r="L39" s="1333"/>
      <c r="M39" s="1333">
        <f t="shared" si="19"/>
        <v>0.105</v>
      </c>
      <c r="N39" s="1333">
        <f t="shared" si="17"/>
        <v>2.4</v>
      </c>
      <c r="O39" s="1289"/>
      <c r="P39" s="1333">
        <v>200</v>
      </c>
      <c r="Q39" s="1333">
        <v>0.08</v>
      </c>
      <c r="R39" s="1333">
        <v>0.1</v>
      </c>
      <c r="S39" s="1333">
        <v>-0.1</v>
      </c>
      <c r="T39" s="1333">
        <f t="shared" si="20"/>
        <v>0.1</v>
      </c>
      <c r="U39" s="1333">
        <f>(1.2/100)*P39</f>
        <v>2.4</v>
      </c>
      <c r="V39" s="406"/>
      <c r="W39" s="407"/>
      <c r="X39" s="328"/>
    </row>
    <row r="40" spans="1:24">
      <c r="A40" s="1287"/>
      <c r="B40" s="1333">
        <v>220</v>
      </c>
      <c r="C40" s="1333">
        <v>9.9999999999999995E-7</v>
      </c>
      <c r="D40" s="1333">
        <v>0.1</v>
      </c>
      <c r="E40" s="1333"/>
      <c r="F40" s="1333">
        <f t="shared" si="18"/>
        <v>4.9999500000000002E-2</v>
      </c>
      <c r="G40" s="1333">
        <f t="shared" si="16"/>
        <v>2.64</v>
      </c>
      <c r="H40" s="1289"/>
      <c r="I40" s="1333">
        <v>220</v>
      </c>
      <c r="J40" s="1333">
        <v>0.56000000000000005</v>
      </c>
      <c r="K40" s="1333">
        <v>0.38</v>
      </c>
      <c r="L40" s="1333"/>
      <c r="M40" s="1333">
        <f t="shared" si="19"/>
        <v>9.0000000000000024E-2</v>
      </c>
      <c r="N40" s="1333">
        <f t="shared" si="17"/>
        <v>2.64</v>
      </c>
      <c r="O40" s="1289"/>
      <c r="P40" s="1333">
        <v>220</v>
      </c>
      <c r="Q40" s="1333">
        <v>0.06</v>
      </c>
      <c r="R40" s="1333">
        <v>7.0000000000000007E-2</v>
      </c>
      <c r="S40" s="1333">
        <v>-0.13</v>
      </c>
      <c r="T40" s="1333">
        <f t="shared" si="20"/>
        <v>0.1</v>
      </c>
      <c r="U40" s="1333">
        <f>(1.2/100)*P40</f>
        <v>2.64</v>
      </c>
      <c r="V40" s="406"/>
      <c r="W40" s="407"/>
      <c r="X40" s="328"/>
    </row>
    <row r="41" spans="1:24">
      <c r="A41" s="1287"/>
      <c r="B41" s="1333">
        <v>230</v>
      </c>
      <c r="C41" s="1333">
        <v>-0.11</v>
      </c>
      <c r="D41" s="1333">
        <v>1.1100000000000001</v>
      </c>
      <c r="E41" s="1333"/>
      <c r="F41" s="1333">
        <f t="shared" si="18"/>
        <v>0.6100000000000001</v>
      </c>
      <c r="G41" s="1333">
        <f t="shared" si="16"/>
        <v>2.7600000000000002</v>
      </c>
      <c r="H41" s="1289"/>
      <c r="I41" s="1333">
        <v>230</v>
      </c>
      <c r="J41" s="1333">
        <v>0.73</v>
      </c>
      <c r="K41" s="1333">
        <v>-0.16</v>
      </c>
      <c r="L41" s="1333"/>
      <c r="M41" s="1333">
        <f t="shared" si="19"/>
        <v>0.44500000000000001</v>
      </c>
      <c r="N41" s="1333">
        <f t="shared" si="17"/>
        <v>2.7600000000000002</v>
      </c>
      <c r="O41" s="1289"/>
      <c r="P41" s="1333">
        <v>230</v>
      </c>
      <c r="Q41" s="1333">
        <v>0.04</v>
      </c>
      <c r="R41" s="1333">
        <v>0.08</v>
      </c>
      <c r="S41" s="1333">
        <v>-0.15</v>
      </c>
      <c r="T41" s="1333">
        <f t="shared" si="20"/>
        <v>0.11499999999999999</v>
      </c>
      <c r="U41" s="1333">
        <f>(1.2/100)*P41</f>
        <v>2.7600000000000002</v>
      </c>
      <c r="V41" s="406"/>
      <c r="W41" s="407"/>
      <c r="X41" s="328"/>
    </row>
    <row r="42" spans="1:24">
      <c r="A42" s="1287"/>
      <c r="B42" s="1333">
        <v>250</v>
      </c>
      <c r="C42" s="1333">
        <v>9.9999999999999995E-7</v>
      </c>
      <c r="D42" s="1333">
        <v>9.9999999999999995E-7</v>
      </c>
      <c r="E42" s="1333"/>
      <c r="F42" s="1333">
        <f t="shared" si="18"/>
        <v>0</v>
      </c>
      <c r="G42" s="1333">
        <f t="shared" si="16"/>
        <v>3</v>
      </c>
      <c r="H42" s="1289"/>
      <c r="I42" s="1333">
        <v>250</v>
      </c>
      <c r="J42" s="1333">
        <v>9.9999999999999995E-7</v>
      </c>
      <c r="K42" s="1333">
        <v>9.9999999999999995E-7</v>
      </c>
      <c r="L42" s="1333"/>
      <c r="M42" s="1333">
        <f t="shared" si="19"/>
        <v>0</v>
      </c>
      <c r="N42" s="1333">
        <f t="shared" si="17"/>
        <v>3</v>
      </c>
      <c r="O42" s="1289"/>
      <c r="P42" s="1333">
        <v>250</v>
      </c>
      <c r="Q42" s="1333">
        <v>9.9999999999999995E-7</v>
      </c>
      <c r="R42" s="1333">
        <v>9.9999999999999995E-7</v>
      </c>
      <c r="S42" s="1333">
        <v>9.9999999999999995E-7</v>
      </c>
      <c r="T42" s="1333">
        <f t="shared" si="20"/>
        <v>0</v>
      </c>
      <c r="U42" s="1333">
        <f>(0/100)*P42</f>
        <v>0</v>
      </c>
      <c r="V42" s="406"/>
      <c r="W42" s="407"/>
      <c r="X42" s="328"/>
    </row>
    <row r="43" spans="1:24" ht="12.75" customHeight="1">
      <c r="A43" s="1287"/>
      <c r="B43" s="1294" t="str">
        <f>B12</f>
        <v>Current Leakage</v>
      </c>
      <c r="C43" s="1294"/>
      <c r="D43" s="1294"/>
      <c r="E43" s="1294"/>
      <c r="F43" s="1293" t="s">
        <v>523</v>
      </c>
      <c r="G43" s="1293" t="s">
        <v>371</v>
      </c>
      <c r="H43" s="1289"/>
      <c r="I43" s="1294" t="str">
        <f>B43</f>
        <v>Current Leakage</v>
      </c>
      <c r="J43" s="1294"/>
      <c r="K43" s="1294"/>
      <c r="L43" s="1294"/>
      <c r="M43" s="1293" t="s">
        <v>523</v>
      </c>
      <c r="N43" s="1293" t="s">
        <v>371</v>
      </c>
      <c r="O43" s="1289"/>
      <c r="P43" s="1294" t="str">
        <f>I43</f>
        <v>Current Leakage</v>
      </c>
      <c r="Q43" s="1294"/>
      <c r="R43" s="1294"/>
      <c r="S43" s="1294"/>
      <c r="T43" s="1293" t="s">
        <v>523</v>
      </c>
      <c r="U43" s="1293" t="s">
        <v>371</v>
      </c>
      <c r="V43" s="328"/>
      <c r="W43" s="328"/>
      <c r="X43" s="328"/>
    </row>
    <row r="44" spans="1:24" ht="14">
      <c r="A44" s="1287"/>
      <c r="B44" s="664" t="s">
        <v>526</v>
      </c>
      <c r="C44" s="663">
        <f>C36</f>
        <v>2021</v>
      </c>
      <c r="D44" s="663">
        <f>D36</f>
        <v>2019</v>
      </c>
      <c r="E44" s="663">
        <f>E36</f>
        <v>2016</v>
      </c>
      <c r="F44" s="1293"/>
      <c r="G44" s="1293"/>
      <c r="H44" s="1289"/>
      <c r="I44" s="664" t="s">
        <v>526</v>
      </c>
      <c r="J44" s="663">
        <f>J36</f>
        <v>2021</v>
      </c>
      <c r="K44" s="663">
        <f>K36</f>
        <v>2019</v>
      </c>
      <c r="L44" s="663">
        <f>L36</f>
        <v>2016</v>
      </c>
      <c r="M44" s="1293"/>
      <c r="N44" s="1293"/>
      <c r="O44" s="1289"/>
      <c r="P44" s="664" t="s">
        <v>526</v>
      </c>
      <c r="Q44" s="663">
        <f>Q36</f>
        <v>2023</v>
      </c>
      <c r="R44" s="663">
        <f>R36</f>
        <v>2022</v>
      </c>
      <c r="S44" s="663">
        <f>S36</f>
        <v>2019</v>
      </c>
      <c r="T44" s="1293"/>
      <c r="U44" s="1293"/>
      <c r="V44" s="328"/>
      <c r="W44" s="328"/>
      <c r="X44" s="328"/>
    </row>
    <row r="45" spans="1:24">
      <c r="A45" s="1287"/>
      <c r="B45" s="1333">
        <v>0</v>
      </c>
      <c r="C45" s="1333">
        <v>9.9999999999999995E-7</v>
      </c>
      <c r="D45" s="1333">
        <v>9.9999999999999995E-7</v>
      </c>
      <c r="E45" s="1333"/>
      <c r="F45" s="1333">
        <f>0.5*(MAX(C45:E45)-MIN(C45:E45))</f>
        <v>0</v>
      </c>
      <c r="G45" s="1333">
        <f t="shared" ref="G45:G50" si="21">(0.59/100)*B45</f>
        <v>0</v>
      </c>
      <c r="H45" s="1289"/>
      <c r="I45" s="1333">
        <v>0</v>
      </c>
      <c r="J45" s="1333">
        <v>9.9999999999999995E-7</v>
      </c>
      <c r="K45" s="1333">
        <v>9.9999999999999995E-7</v>
      </c>
      <c r="L45" s="1333"/>
      <c r="M45" s="1333">
        <f>0.5*(MAX(J45:L45)-MIN(J45:L45))</f>
        <v>0</v>
      </c>
      <c r="N45" s="1333">
        <f t="shared" ref="N45:N50" si="22">(0.59/100)*I45</f>
        <v>0</v>
      </c>
      <c r="O45" s="1289"/>
      <c r="P45" s="1333">
        <v>0</v>
      </c>
      <c r="Q45" s="1333">
        <v>9.9999999999999995E-7</v>
      </c>
      <c r="R45" s="1333">
        <v>9.9999999999999995E-7</v>
      </c>
      <c r="S45" s="1333">
        <v>9.9999999999999995E-7</v>
      </c>
      <c r="T45" s="1333">
        <f>0.5*(MAX(Q45:S45)-MIN(Q45:S45))</f>
        <v>0</v>
      </c>
      <c r="U45" s="1333">
        <f t="shared" ref="U45:U50" si="23">(0.59/100)*P45</f>
        <v>0</v>
      </c>
    </row>
    <row r="46" spans="1:24">
      <c r="A46" s="1287"/>
      <c r="B46" s="1333">
        <v>50</v>
      </c>
      <c r="C46" s="1333">
        <v>0.4</v>
      </c>
      <c r="D46" s="1333">
        <v>-0.28999999999999998</v>
      </c>
      <c r="E46" s="1333"/>
      <c r="F46" s="1333">
        <f t="shared" ref="F46:F50" si="24">0.5*(MAX(C46:E46)-MIN(C46:E46))</f>
        <v>0.34499999999999997</v>
      </c>
      <c r="G46" s="1333">
        <f t="shared" si="21"/>
        <v>0.29499999999999998</v>
      </c>
      <c r="H46" s="1289"/>
      <c r="I46" s="1333">
        <v>50</v>
      </c>
      <c r="J46" s="1333">
        <v>1.2</v>
      </c>
      <c r="K46" s="1333">
        <v>-0.33</v>
      </c>
      <c r="L46" s="1333"/>
      <c r="M46" s="1333">
        <f t="shared" ref="M46:M50" si="25">0.5*(MAX(J46:L46)-MIN(J46:L46))</f>
        <v>0.76500000000000001</v>
      </c>
      <c r="N46" s="1333">
        <f t="shared" si="22"/>
        <v>0.29499999999999998</v>
      </c>
      <c r="O46" s="1289"/>
      <c r="P46" s="1333">
        <v>50</v>
      </c>
      <c r="Q46" s="1333">
        <v>4.5</v>
      </c>
      <c r="R46" s="1333">
        <v>19.100000000000001</v>
      </c>
      <c r="S46" s="1333">
        <v>0.02</v>
      </c>
      <c r="T46" s="1333">
        <f t="shared" ref="T46:T50" si="26">0.5*(MAX(Q46:S46)-MIN(Q46:S46))</f>
        <v>9.5400000000000009</v>
      </c>
      <c r="U46" s="1333">
        <f t="shared" si="23"/>
        <v>0.29499999999999998</v>
      </c>
    </row>
    <row r="47" spans="1:24">
      <c r="A47" s="1287"/>
      <c r="B47" s="1333">
        <v>100</v>
      </c>
      <c r="C47" s="1333">
        <v>0.4</v>
      </c>
      <c r="D47" s="1333">
        <v>-0.35</v>
      </c>
      <c r="E47" s="1333"/>
      <c r="F47" s="1333">
        <f t="shared" si="24"/>
        <v>0.375</v>
      </c>
      <c r="G47" s="1333">
        <f t="shared" si="21"/>
        <v>0.59</v>
      </c>
      <c r="H47" s="1289"/>
      <c r="I47" s="1333">
        <v>100</v>
      </c>
      <c r="J47" s="1333">
        <v>3.9</v>
      </c>
      <c r="K47" s="1333">
        <v>-0.42</v>
      </c>
      <c r="L47" s="1333"/>
      <c r="M47" s="1333">
        <f t="shared" si="25"/>
        <v>2.16</v>
      </c>
      <c r="N47" s="1333">
        <f t="shared" si="22"/>
        <v>0.59</v>
      </c>
      <c r="O47" s="1289"/>
      <c r="P47" s="1333">
        <v>100</v>
      </c>
      <c r="Q47" s="1333">
        <v>6.2</v>
      </c>
      <c r="R47" s="1333">
        <v>18.399999999999999</v>
      </c>
      <c r="S47" s="1333">
        <v>0.22</v>
      </c>
      <c r="T47" s="1333">
        <f t="shared" si="26"/>
        <v>9.09</v>
      </c>
      <c r="U47" s="1333">
        <f t="shared" si="23"/>
        <v>0.59</v>
      </c>
    </row>
    <row r="48" spans="1:24">
      <c r="A48" s="1287"/>
      <c r="B48" s="1333">
        <v>200</v>
      </c>
      <c r="C48" s="1333">
        <v>0</v>
      </c>
      <c r="D48" s="1333">
        <v>0.8</v>
      </c>
      <c r="E48" s="1333"/>
      <c r="F48" s="1333">
        <f t="shared" si="24"/>
        <v>0.4</v>
      </c>
      <c r="G48" s="1333">
        <f t="shared" si="21"/>
        <v>1.18</v>
      </c>
      <c r="H48" s="1289"/>
      <c r="I48" s="1333">
        <v>200</v>
      </c>
      <c r="J48" s="1333">
        <v>0</v>
      </c>
      <c r="K48" s="1333">
        <v>1.3</v>
      </c>
      <c r="L48" s="1333"/>
      <c r="M48" s="1333">
        <f t="shared" si="25"/>
        <v>0.65</v>
      </c>
      <c r="N48" s="1333">
        <f t="shared" si="22"/>
        <v>1.18</v>
      </c>
      <c r="O48" s="1289"/>
      <c r="P48" s="1333">
        <v>200</v>
      </c>
      <c r="Q48" s="1333">
        <v>9.4</v>
      </c>
      <c r="R48" s="1333">
        <v>14.4</v>
      </c>
      <c r="S48" s="1333">
        <v>0.8</v>
      </c>
      <c r="T48" s="1333">
        <f t="shared" si="26"/>
        <v>6.8</v>
      </c>
      <c r="U48" s="1333">
        <f t="shared" si="23"/>
        <v>1.18</v>
      </c>
    </row>
    <row r="49" spans="1:21">
      <c r="A49" s="1287"/>
      <c r="B49" s="1333">
        <v>500</v>
      </c>
      <c r="C49" s="1333">
        <v>1.5</v>
      </c>
      <c r="D49" s="1333">
        <v>1.2</v>
      </c>
      <c r="E49" s="1333"/>
      <c r="F49" s="1333">
        <f t="shared" si="24"/>
        <v>0.15000000000000002</v>
      </c>
      <c r="G49" s="1333">
        <f t="shared" si="21"/>
        <v>2.9499999999999997</v>
      </c>
      <c r="H49" s="1289"/>
      <c r="I49" s="1333">
        <v>500</v>
      </c>
      <c r="J49" s="1333">
        <v>9.3000000000000007</v>
      </c>
      <c r="K49" s="1333">
        <v>0.7</v>
      </c>
      <c r="L49" s="1333"/>
      <c r="M49" s="1333">
        <f t="shared" si="25"/>
        <v>4.3000000000000007</v>
      </c>
      <c r="N49" s="1333">
        <f t="shared" si="22"/>
        <v>2.9499999999999997</v>
      </c>
      <c r="O49" s="1289"/>
      <c r="P49" s="1333">
        <v>500</v>
      </c>
      <c r="Q49" s="1333">
        <v>10.8</v>
      </c>
      <c r="R49" s="1333">
        <v>6.2</v>
      </c>
      <c r="S49" s="1333">
        <v>1.1000000000000001</v>
      </c>
      <c r="T49" s="1333">
        <f t="shared" si="26"/>
        <v>4.8500000000000005</v>
      </c>
      <c r="U49" s="1333">
        <f t="shared" si="23"/>
        <v>2.9499999999999997</v>
      </c>
    </row>
    <row r="50" spans="1:21">
      <c r="A50" s="1287"/>
      <c r="B50" s="1333">
        <v>1000</v>
      </c>
      <c r="C50" s="1333">
        <v>2</v>
      </c>
      <c r="D50" s="1333">
        <v>2</v>
      </c>
      <c r="E50" s="1333"/>
      <c r="F50" s="1333">
        <f t="shared" si="24"/>
        <v>0</v>
      </c>
      <c r="G50" s="1333">
        <f t="shared" si="21"/>
        <v>5.8999999999999995</v>
      </c>
      <c r="H50" s="1289"/>
      <c r="I50" s="1333">
        <v>1000</v>
      </c>
      <c r="J50" s="1333">
        <v>-110</v>
      </c>
      <c r="K50" s="1333">
        <v>9.9999999999999995E-7</v>
      </c>
      <c r="L50" s="1333"/>
      <c r="M50" s="1333">
        <f t="shared" si="25"/>
        <v>55.000000499999999</v>
      </c>
      <c r="N50" s="1333">
        <f t="shared" si="22"/>
        <v>5.8999999999999995</v>
      </c>
      <c r="O50" s="1289"/>
      <c r="P50" s="1333">
        <v>1000</v>
      </c>
      <c r="Q50" s="1333">
        <v>-88</v>
      </c>
      <c r="R50" s="1333">
        <v>-11</v>
      </c>
      <c r="S50" s="1333">
        <v>9.9999999999999995E-7</v>
      </c>
      <c r="T50" s="1333">
        <f t="shared" si="26"/>
        <v>44.000000499999999</v>
      </c>
      <c r="U50" s="1333">
        <f t="shared" si="23"/>
        <v>5.8999999999999995</v>
      </c>
    </row>
    <row r="51" spans="1:21" ht="13">
      <c r="A51" s="1287"/>
      <c r="B51" s="1294" t="str">
        <f>B20</f>
        <v>Main-PE</v>
      </c>
      <c r="C51" s="1294"/>
      <c r="D51" s="1294"/>
      <c r="E51" s="1294"/>
      <c r="F51" s="1293" t="s">
        <v>523</v>
      </c>
      <c r="G51" s="1293" t="s">
        <v>371</v>
      </c>
      <c r="H51" s="1289"/>
      <c r="I51" s="1294" t="str">
        <f>B51</f>
        <v>Main-PE</v>
      </c>
      <c r="J51" s="1294"/>
      <c r="K51" s="1294"/>
      <c r="L51" s="1294"/>
      <c r="M51" s="1293" t="s">
        <v>523</v>
      </c>
      <c r="N51" s="1293" t="s">
        <v>371</v>
      </c>
      <c r="O51" s="1289"/>
      <c r="P51" s="1294" t="str">
        <f>I51</f>
        <v>Main-PE</v>
      </c>
      <c r="Q51" s="1294"/>
      <c r="R51" s="1294"/>
      <c r="S51" s="1294"/>
      <c r="T51" s="1293" t="s">
        <v>523</v>
      </c>
      <c r="U51" s="1293" t="s">
        <v>371</v>
      </c>
    </row>
    <row r="52" spans="1:21" ht="14.5">
      <c r="A52" s="1287"/>
      <c r="B52" s="664" t="s">
        <v>528</v>
      </c>
      <c r="C52" s="663">
        <f>C36</f>
        <v>2021</v>
      </c>
      <c r="D52" s="663">
        <f>D36</f>
        <v>2019</v>
      </c>
      <c r="E52" s="663">
        <f>E36</f>
        <v>2016</v>
      </c>
      <c r="F52" s="1293"/>
      <c r="G52" s="1293"/>
      <c r="H52" s="1289"/>
      <c r="I52" s="664" t="s">
        <v>528</v>
      </c>
      <c r="J52" s="663">
        <f>J36</f>
        <v>2021</v>
      </c>
      <c r="K52" s="663">
        <f>K36</f>
        <v>2019</v>
      </c>
      <c r="L52" s="663">
        <f>L36</f>
        <v>2016</v>
      </c>
      <c r="M52" s="1293"/>
      <c r="N52" s="1293"/>
      <c r="O52" s="1289"/>
      <c r="P52" s="664" t="s">
        <v>528</v>
      </c>
      <c r="Q52" s="663">
        <f>Q36</f>
        <v>2023</v>
      </c>
      <c r="R52" s="663">
        <f>R36</f>
        <v>2022</v>
      </c>
      <c r="S52" s="663">
        <f>S36</f>
        <v>2019</v>
      </c>
      <c r="T52" s="1293"/>
      <c r="U52" s="1293"/>
    </row>
    <row r="53" spans="1:21">
      <c r="A53" s="1287"/>
      <c r="B53" s="1333">
        <v>10</v>
      </c>
      <c r="C53" s="1333">
        <v>9.9999999999999995E-7</v>
      </c>
      <c r="D53" s="1333">
        <v>0.1</v>
      </c>
      <c r="E53" s="1333"/>
      <c r="F53" s="1333">
        <f>0.5*(MAX(C53:E53)-MIN(C53:E53))</f>
        <v>4.9999500000000002E-2</v>
      </c>
      <c r="G53" s="1333">
        <f>(1.7/100)*B53</f>
        <v>0.17</v>
      </c>
      <c r="H53" s="1289"/>
      <c r="I53" s="1333">
        <v>10</v>
      </c>
      <c r="J53" s="1333">
        <v>9.9999999999999995E-7</v>
      </c>
      <c r="K53" s="1333">
        <v>0.1</v>
      </c>
      <c r="L53" s="1333"/>
      <c r="M53" s="1333">
        <f>0.5*(MAX(J53:L53)-MIN(J53:L53))</f>
        <v>4.9999500000000002E-2</v>
      </c>
      <c r="N53" s="1333">
        <f>(1.7/100)*I53</f>
        <v>0.17</v>
      </c>
      <c r="O53" s="1289"/>
      <c r="P53" s="1333">
        <v>10</v>
      </c>
      <c r="Q53" s="1333">
        <v>0</v>
      </c>
      <c r="R53" s="1333">
        <v>0.1</v>
      </c>
      <c r="S53" s="1333">
        <v>0.1</v>
      </c>
      <c r="T53" s="1333">
        <f>0.5*(MAX(Q53:S53)-MIN(Q53:S53))</f>
        <v>0.05</v>
      </c>
      <c r="U53" s="1333">
        <f>(1.7/100)*P53</f>
        <v>0.17</v>
      </c>
    </row>
    <row r="54" spans="1:21">
      <c r="A54" s="1287"/>
      <c r="B54" s="1333">
        <v>20</v>
      </c>
      <c r="C54" s="1333">
        <v>0.1</v>
      </c>
      <c r="D54" s="1333">
        <v>0.2</v>
      </c>
      <c r="E54" s="1333"/>
      <c r="F54" s="1333">
        <f t="shared" ref="F54:F56" si="27">0.5*(MAX(C54:E54)-MIN(C54:E54))</f>
        <v>0.05</v>
      </c>
      <c r="G54" s="1333">
        <f>(1.7/100)*B54</f>
        <v>0.34</v>
      </c>
      <c r="H54" s="1289"/>
      <c r="I54" s="1333">
        <v>20</v>
      </c>
      <c r="J54" s="1333">
        <v>0.1</v>
      </c>
      <c r="K54" s="1333">
        <v>0.1</v>
      </c>
      <c r="L54" s="1333"/>
      <c r="M54" s="1333">
        <f t="shared" ref="M54:M56" si="28">0.5*(MAX(J54:L54)-MIN(J54:L54))</f>
        <v>0</v>
      </c>
      <c r="N54" s="1333">
        <f>(1.7/100)*I54</f>
        <v>0.34</v>
      </c>
      <c r="O54" s="1289"/>
      <c r="P54" s="1333">
        <v>20</v>
      </c>
      <c r="Q54" s="1333">
        <v>0.1</v>
      </c>
      <c r="R54" s="1333">
        <v>0.1</v>
      </c>
      <c r="S54" s="1333">
        <v>0.1</v>
      </c>
      <c r="T54" s="1333">
        <f t="shared" ref="T54:T56" si="29">0.5*(MAX(Q54:S54)-MIN(Q54:S54))</f>
        <v>0</v>
      </c>
      <c r="U54" s="1333">
        <f>(1.7/100)*P54</f>
        <v>0.34</v>
      </c>
    </row>
    <row r="55" spans="1:21">
      <c r="A55" s="1287"/>
      <c r="B55" s="1333">
        <v>50</v>
      </c>
      <c r="C55" s="1333">
        <v>0.4</v>
      </c>
      <c r="D55" s="1333">
        <v>0.5</v>
      </c>
      <c r="E55" s="1333"/>
      <c r="F55" s="1333">
        <f t="shared" si="27"/>
        <v>4.9999999999999989E-2</v>
      </c>
      <c r="G55" s="1333">
        <f>(1.7/100)*B55</f>
        <v>0.85000000000000009</v>
      </c>
      <c r="H55" s="1289"/>
      <c r="I55" s="1333">
        <v>50</v>
      </c>
      <c r="J55" s="1333">
        <v>0.6</v>
      </c>
      <c r="K55" s="1333">
        <v>0.4</v>
      </c>
      <c r="L55" s="1333"/>
      <c r="M55" s="1333">
        <f t="shared" si="28"/>
        <v>9.9999999999999978E-2</v>
      </c>
      <c r="N55" s="1333">
        <f>(1.7/100)*I55</f>
        <v>0.85000000000000009</v>
      </c>
      <c r="O55" s="1289"/>
      <c r="P55" s="1333">
        <v>50</v>
      </c>
      <c r="Q55" s="1333">
        <v>0.1</v>
      </c>
      <c r="R55" s="1333">
        <v>0.3</v>
      </c>
      <c r="S55" s="1333">
        <v>0.3</v>
      </c>
      <c r="T55" s="1333">
        <f t="shared" si="29"/>
        <v>9.9999999999999992E-2</v>
      </c>
      <c r="U55" s="1333">
        <f>(1.7/100)*P55</f>
        <v>0.85000000000000009</v>
      </c>
    </row>
    <row r="56" spans="1:21">
      <c r="A56" s="1287"/>
      <c r="B56" s="1333">
        <v>100</v>
      </c>
      <c r="C56" s="1333">
        <v>1.4</v>
      </c>
      <c r="D56" s="1333">
        <v>1</v>
      </c>
      <c r="E56" s="1333"/>
      <c r="F56" s="1333">
        <f t="shared" si="27"/>
        <v>0.19999999999999996</v>
      </c>
      <c r="G56" s="1333">
        <f>(1.7/100)*B56</f>
        <v>1.7000000000000002</v>
      </c>
      <c r="H56" s="1289"/>
      <c r="I56" s="1333">
        <v>100</v>
      </c>
      <c r="J56" s="1333">
        <v>1.5</v>
      </c>
      <c r="K56" s="1333">
        <v>0.8</v>
      </c>
      <c r="L56" s="1333"/>
      <c r="M56" s="1333">
        <f t="shared" si="28"/>
        <v>0.35</v>
      </c>
      <c r="N56" s="1333">
        <f>(1.7/100)*I56</f>
        <v>1.7000000000000002</v>
      </c>
      <c r="O56" s="1289"/>
      <c r="P56" s="1333">
        <v>100</v>
      </c>
      <c r="Q56" s="1333">
        <v>2</v>
      </c>
      <c r="R56" s="1333">
        <v>0.6</v>
      </c>
      <c r="S56" s="1333">
        <v>0.6</v>
      </c>
      <c r="T56" s="1333">
        <f t="shared" si="29"/>
        <v>0.7</v>
      </c>
      <c r="U56" s="1333">
        <f>(1.7/100)*P56</f>
        <v>1.7000000000000002</v>
      </c>
    </row>
    <row r="57" spans="1:21" ht="12.75" customHeight="1">
      <c r="A57" s="1287"/>
      <c r="B57" s="1294" t="str">
        <f>B26</f>
        <v>Resistance</v>
      </c>
      <c r="C57" s="1294"/>
      <c r="D57" s="1294"/>
      <c r="E57" s="1294"/>
      <c r="F57" s="1293" t="s">
        <v>523</v>
      </c>
      <c r="G57" s="1293" t="s">
        <v>371</v>
      </c>
      <c r="H57" s="1289"/>
      <c r="I57" s="1294" t="str">
        <f>B57</f>
        <v>Resistance</v>
      </c>
      <c r="J57" s="1294"/>
      <c r="K57" s="1294"/>
      <c r="L57" s="1294"/>
      <c r="M57" s="1293" t="s">
        <v>523</v>
      </c>
      <c r="N57" s="1293" t="s">
        <v>371</v>
      </c>
      <c r="O57" s="1289"/>
      <c r="P57" s="1294" t="str">
        <f>I57</f>
        <v>Resistance</v>
      </c>
      <c r="Q57" s="1294"/>
      <c r="R57" s="1294"/>
      <c r="S57" s="1294"/>
      <c r="T57" s="1293" t="s">
        <v>523</v>
      </c>
      <c r="U57" s="1293" t="s">
        <v>371</v>
      </c>
    </row>
    <row r="58" spans="1:21" ht="14.5">
      <c r="A58" s="1287"/>
      <c r="B58" s="664" t="s">
        <v>530</v>
      </c>
      <c r="C58" s="663">
        <f>C36</f>
        <v>2021</v>
      </c>
      <c r="D58" s="663">
        <f>D36</f>
        <v>2019</v>
      </c>
      <c r="E58" s="663">
        <f>E36</f>
        <v>2016</v>
      </c>
      <c r="F58" s="1293"/>
      <c r="G58" s="1293"/>
      <c r="H58" s="1289"/>
      <c r="I58" s="664" t="s">
        <v>530</v>
      </c>
      <c r="J58" s="663">
        <f>J36</f>
        <v>2021</v>
      </c>
      <c r="K58" s="663">
        <f>K36</f>
        <v>2019</v>
      </c>
      <c r="L58" s="663">
        <f>L36</f>
        <v>2016</v>
      </c>
      <c r="M58" s="1293"/>
      <c r="N58" s="1293"/>
      <c r="O58" s="1289"/>
      <c r="P58" s="664" t="s">
        <v>530</v>
      </c>
      <c r="Q58" s="663">
        <f>Q36</f>
        <v>2023</v>
      </c>
      <c r="R58" s="663">
        <f>R36</f>
        <v>2022</v>
      </c>
      <c r="S58" s="663">
        <f>S36</f>
        <v>2019</v>
      </c>
      <c r="T58" s="1293"/>
      <c r="U58" s="1293"/>
    </row>
    <row r="59" spans="1:21">
      <c r="A59" s="1287"/>
      <c r="B59" s="1333">
        <v>0.01</v>
      </c>
      <c r="C59" s="1333">
        <v>9.9999999999999995E-7</v>
      </c>
      <c r="D59" s="1333">
        <v>9.9999999999999995E-7</v>
      </c>
      <c r="E59" s="1333"/>
      <c r="F59" s="1333">
        <f>0.5*(MAX(C59:E59)-MIN(C59:E59))</f>
        <v>0</v>
      </c>
      <c r="G59" s="1333">
        <f>(1.2/100)*B59</f>
        <v>1.2E-4</v>
      </c>
      <c r="H59" s="1289"/>
      <c r="I59" s="1334">
        <v>0</v>
      </c>
      <c r="J59" s="1334">
        <v>9.9999999999999995E-7</v>
      </c>
      <c r="K59" s="1334">
        <v>9.9999999999999995E-7</v>
      </c>
      <c r="L59" s="1334"/>
      <c r="M59" s="1334">
        <f>0.5*(MAX(J59:L59)-MIN(J59:L59))</f>
        <v>0</v>
      </c>
      <c r="N59" s="1334">
        <f>(1.2/100)*I59</f>
        <v>0</v>
      </c>
      <c r="O59" s="1289"/>
      <c r="P59" s="1333">
        <v>0</v>
      </c>
      <c r="Q59" s="1333">
        <v>0</v>
      </c>
      <c r="R59" s="1333">
        <v>-3.0000000000000001E-3</v>
      </c>
      <c r="S59" s="1333">
        <v>9.9999999999999995E-7</v>
      </c>
      <c r="T59" s="1333">
        <f>0.5*(MAX(Q59:S59)-MIN(Q59:S59))</f>
        <v>1.5005000000000001E-3</v>
      </c>
      <c r="U59" s="1333">
        <f>(1.2/100)*P59</f>
        <v>0</v>
      </c>
    </row>
    <row r="60" spans="1:21">
      <c r="A60" s="1287"/>
      <c r="B60" s="1333">
        <v>0.1</v>
      </c>
      <c r="C60" s="1333">
        <v>-2E-3</v>
      </c>
      <c r="D60" s="1333">
        <v>9.9999999999999995E-7</v>
      </c>
      <c r="E60" s="1333"/>
      <c r="F60" s="1333">
        <f t="shared" ref="F60:F62" si="30">0.5*(MAX(C60:E60)-MIN(C60:E60))</f>
        <v>1.0005000000000001E-3</v>
      </c>
      <c r="G60" s="1333">
        <f>(1.2/100)*B60</f>
        <v>1.2000000000000001E-3</v>
      </c>
      <c r="H60" s="1289"/>
      <c r="I60" s="1334">
        <v>0.1</v>
      </c>
      <c r="J60" s="1334">
        <v>-2E-3</v>
      </c>
      <c r="K60" s="1334">
        <v>2E-3</v>
      </c>
      <c r="L60" s="1334"/>
      <c r="M60" s="1334">
        <f t="shared" ref="M60:M62" si="31">0.5*(MAX(J60:L60)-MIN(J60:L60))</f>
        <v>2E-3</v>
      </c>
      <c r="N60" s="1334">
        <f>(1.2/100)*I60</f>
        <v>1.2000000000000001E-3</v>
      </c>
      <c r="O60" s="1289"/>
      <c r="P60" s="1333">
        <v>0.1</v>
      </c>
      <c r="Q60" s="1333">
        <v>0</v>
      </c>
      <c r="R60" s="1333">
        <v>-3.0000000000000001E-3</v>
      </c>
      <c r="S60" s="1333">
        <v>-2E-3</v>
      </c>
      <c r="T60" s="1333">
        <f t="shared" ref="T60:T62" si="32">0.5*(MAX(Q60:S60)-MIN(Q60:S60))</f>
        <v>1.5E-3</v>
      </c>
      <c r="U60" s="1333">
        <f>(1.2/100)*P60</f>
        <v>1.2000000000000001E-3</v>
      </c>
    </row>
    <row r="61" spans="1:21">
      <c r="A61" s="1287"/>
      <c r="B61" s="1333">
        <v>1</v>
      </c>
      <c r="C61" s="1333">
        <v>-8.0000000000000002E-3</v>
      </c>
      <c r="D61" s="1333">
        <v>-1E-3</v>
      </c>
      <c r="E61" s="1333"/>
      <c r="F61" s="1333">
        <f t="shared" si="30"/>
        <v>3.5000000000000001E-3</v>
      </c>
      <c r="G61" s="1333">
        <f>(1.2/100)*B61</f>
        <v>1.2E-2</v>
      </c>
      <c r="H61" s="1289"/>
      <c r="I61" s="1334">
        <v>1</v>
      </c>
      <c r="J61" s="1334">
        <v>6.3E-2</v>
      </c>
      <c r="K61" s="1334">
        <v>1.2E-2</v>
      </c>
      <c r="L61" s="1334"/>
      <c r="M61" s="1334">
        <f t="shared" si="31"/>
        <v>2.5500000000000002E-2</v>
      </c>
      <c r="N61" s="1334">
        <f>(1.2/100)*I61</f>
        <v>1.2E-2</v>
      </c>
      <c r="O61" s="1289"/>
      <c r="P61" s="1333">
        <v>1</v>
      </c>
      <c r="Q61" s="1333">
        <v>-6.0000000000000001E-3</v>
      </c>
      <c r="R61" s="1333">
        <v>-7.0000000000000001E-3</v>
      </c>
      <c r="S61" s="1333">
        <v>-1E-3</v>
      </c>
      <c r="T61" s="1333">
        <f t="shared" si="32"/>
        <v>3.0000000000000001E-3</v>
      </c>
      <c r="U61" s="1333">
        <f>(1.2/100)*P61</f>
        <v>1.2E-2</v>
      </c>
    </row>
    <row r="62" spans="1:21">
      <c r="A62" s="1287"/>
      <c r="B62" s="1333">
        <v>2</v>
      </c>
      <c r="C62" s="1333">
        <v>-7.0000000000000001E-3</v>
      </c>
      <c r="D62" s="1333">
        <v>9.9999999999999995E-7</v>
      </c>
      <c r="E62" s="1333"/>
      <c r="F62" s="1333">
        <f t="shared" si="30"/>
        <v>3.5005000000000001E-3</v>
      </c>
      <c r="G62" s="1333">
        <f>(1.2/100)*B62</f>
        <v>2.4E-2</v>
      </c>
      <c r="H62" s="1289"/>
      <c r="I62" s="1334">
        <v>2</v>
      </c>
      <c r="J62" s="1334">
        <v>9.0999999999999998E-2</v>
      </c>
      <c r="K62" s="1334">
        <v>9.9999999999999995E-7</v>
      </c>
      <c r="L62" s="1334"/>
      <c r="M62" s="1334">
        <f t="shared" si="31"/>
        <v>4.5499499999999998E-2</v>
      </c>
      <c r="N62" s="1334">
        <f>(1.2/100)*I62</f>
        <v>2.4E-2</v>
      </c>
      <c r="O62" s="1289"/>
      <c r="P62" s="1333">
        <v>2</v>
      </c>
      <c r="Q62" s="1333">
        <v>-7.0000000000000001E-3</v>
      </c>
      <c r="R62" s="1333">
        <v>-7.0000000000000001E-3</v>
      </c>
      <c r="S62" s="1333">
        <v>9.9999999999999995E-7</v>
      </c>
      <c r="T62" s="1333">
        <f t="shared" si="32"/>
        <v>3.5005000000000001E-3</v>
      </c>
      <c r="U62" s="1333">
        <f>(0/100)*P62</f>
        <v>0</v>
      </c>
    </row>
    <row r="63" spans="1:21" ht="15.5">
      <c r="A63" s="410"/>
      <c r="B63" s="279"/>
      <c r="C63" s="279"/>
      <c r="D63" s="411"/>
      <c r="E63" s="411"/>
      <c r="F63" s="411"/>
      <c r="H63" s="412"/>
      <c r="I63" s="413"/>
      <c r="J63" s="279"/>
      <c r="K63" s="411"/>
      <c r="L63" s="411"/>
      <c r="M63" s="411"/>
      <c r="O63" s="412"/>
      <c r="P63" s="279"/>
      <c r="Q63" s="279"/>
      <c r="T63" s="323"/>
    </row>
    <row r="64" spans="1:21" ht="14.5" customHeight="1">
      <c r="A64" s="1287" t="s">
        <v>142</v>
      </c>
      <c r="B64" s="1295" t="s">
        <v>537</v>
      </c>
      <c r="C64" s="1295"/>
      <c r="D64" s="1295"/>
      <c r="E64" s="1295"/>
      <c r="F64" s="1295"/>
      <c r="G64" s="1295"/>
      <c r="H64" s="1289" t="s">
        <v>538</v>
      </c>
      <c r="I64" s="1295" t="s">
        <v>539</v>
      </c>
      <c r="J64" s="1295"/>
      <c r="K64" s="1295"/>
      <c r="L64" s="1295"/>
      <c r="M64" s="1295"/>
      <c r="N64" s="1295"/>
      <c r="O64" s="1289" t="s">
        <v>540</v>
      </c>
      <c r="P64" s="1295" t="s">
        <v>541</v>
      </c>
      <c r="Q64" s="1295"/>
      <c r="R64" s="1295"/>
      <c r="S64" s="1295"/>
      <c r="T64" s="1295"/>
      <c r="U64" s="1295"/>
    </row>
    <row r="65" spans="1:21" ht="14">
      <c r="A65" s="1287"/>
      <c r="B65" s="1291" t="s">
        <v>521</v>
      </c>
      <c r="C65" s="1291"/>
      <c r="D65" s="1291"/>
      <c r="E65" s="1291"/>
      <c r="F65" s="1291"/>
      <c r="G65" s="1291"/>
      <c r="H65" s="1289"/>
      <c r="I65" s="1292" t="s">
        <v>521</v>
      </c>
      <c r="J65" s="1292"/>
      <c r="K65" s="1292"/>
      <c r="L65" s="1292"/>
      <c r="M65" s="1292"/>
      <c r="N65" s="1292"/>
      <c r="O65" s="1289"/>
      <c r="P65" s="1292" t="s">
        <v>521</v>
      </c>
      <c r="Q65" s="1292"/>
      <c r="R65" s="1292"/>
      <c r="S65" s="1292"/>
      <c r="T65" s="1292"/>
      <c r="U65" s="1292"/>
    </row>
    <row r="66" spans="1:21" ht="13">
      <c r="A66" s="1287"/>
      <c r="B66" s="1293" t="s">
        <v>522</v>
      </c>
      <c r="C66" s="1293"/>
      <c r="D66" s="1293"/>
      <c r="E66" s="1293"/>
      <c r="F66" s="1293" t="s">
        <v>523</v>
      </c>
      <c r="G66" s="1293" t="s">
        <v>371</v>
      </c>
      <c r="H66" s="1289"/>
      <c r="I66" s="1293" t="str">
        <f>B66</f>
        <v>Setting VAC</v>
      </c>
      <c r="J66" s="1293"/>
      <c r="K66" s="1293"/>
      <c r="L66" s="1293"/>
      <c r="M66" s="1293" t="s">
        <v>523</v>
      </c>
      <c r="N66" s="1293" t="s">
        <v>371</v>
      </c>
      <c r="O66" s="1289"/>
      <c r="P66" s="1293" t="str">
        <f>B66</f>
        <v>Setting VAC</v>
      </c>
      <c r="Q66" s="1293"/>
      <c r="R66" s="1293"/>
      <c r="S66" s="1293"/>
      <c r="T66" s="1293" t="s">
        <v>523</v>
      </c>
      <c r="U66" s="1293" t="s">
        <v>371</v>
      </c>
    </row>
    <row r="67" spans="1:21" ht="14">
      <c r="A67" s="1287"/>
      <c r="B67" s="664" t="s">
        <v>524</v>
      </c>
      <c r="C67" s="663">
        <v>2023</v>
      </c>
      <c r="D67" s="663">
        <v>2022</v>
      </c>
      <c r="E67" s="663">
        <v>2020</v>
      </c>
      <c r="F67" s="1293"/>
      <c r="G67" s="1293"/>
      <c r="H67" s="1289"/>
      <c r="I67" s="664" t="s">
        <v>524</v>
      </c>
      <c r="J67" s="663">
        <v>2023</v>
      </c>
      <c r="K67" s="663">
        <v>2022</v>
      </c>
      <c r="L67" s="663">
        <v>2020</v>
      </c>
      <c r="M67" s="1293"/>
      <c r="N67" s="1293"/>
      <c r="O67" s="1289"/>
      <c r="P67" s="664" t="s">
        <v>524</v>
      </c>
      <c r="Q67" s="663">
        <v>2023</v>
      </c>
      <c r="R67" s="663">
        <v>2022</v>
      </c>
      <c r="S67" s="663">
        <v>2020</v>
      </c>
      <c r="T67" s="1293"/>
      <c r="U67" s="1293"/>
    </row>
    <row r="68" spans="1:21">
      <c r="A68" s="1287"/>
      <c r="B68" s="1333">
        <v>150</v>
      </c>
      <c r="C68" s="1333">
        <v>0.14000000000000001</v>
      </c>
      <c r="D68" s="1333">
        <v>0.36</v>
      </c>
      <c r="E68" s="1333">
        <v>0.21</v>
      </c>
      <c r="F68" s="1333">
        <f>0.5*(MAX(C68:E68)-MIN(C68:E68))</f>
        <v>0.10999999999999999</v>
      </c>
      <c r="G68" s="1333">
        <f t="shared" ref="G68:G73" si="33">(1.2/100)*B68</f>
        <v>1.8</v>
      </c>
      <c r="H68" s="1289"/>
      <c r="I68" s="1333">
        <v>150</v>
      </c>
      <c r="J68" s="1333">
        <v>-0.5</v>
      </c>
      <c r="K68" s="1333">
        <v>-0.17</v>
      </c>
      <c r="L68" s="1333">
        <v>-0.24</v>
      </c>
      <c r="M68" s="1333">
        <f>0.5*(MAX(J68:L68)-MIN(J68:L68))</f>
        <v>0.16499999999999998</v>
      </c>
      <c r="N68" s="1333">
        <f t="shared" ref="N68:N73" si="34">(1.2/100)*I68</f>
        <v>1.8</v>
      </c>
      <c r="O68" s="1289"/>
      <c r="P68" s="1333">
        <v>150</v>
      </c>
      <c r="Q68" s="1333">
        <v>-0.08</v>
      </c>
      <c r="R68" s="1333">
        <v>-0.08</v>
      </c>
      <c r="S68" s="1333">
        <v>-0.17</v>
      </c>
      <c r="T68" s="1333">
        <f>0.5*(MAX(Q68:S68)-MIN(Q68:S68))</f>
        <v>4.5000000000000005E-2</v>
      </c>
      <c r="U68" s="1333">
        <f t="shared" ref="U68:U73" si="35">(1.2/100)*P68</f>
        <v>1.8</v>
      </c>
    </row>
    <row r="69" spans="1:21">
      <c r="A69" s="1287"/>
      <c r="B69" s="1333">
        <v>180</v>
      </c>
      <c r="C69" s="1333">
        <v>0.34</v>
      </c>
      <c r="D69" s="1333">
        <v>0.46</v>
      </c>
      <c r="E69" s="1333">
        <v>0.33</v>
      </c>
      <c r="F69" s="1333">
        <f t="shared" ref="F69:F73" si="36">0.5*(MAX(C69:E69)-MIN(C69:E69))</f>
        <v>6.5000000000000002E-2</v>
      </c>
      <c r="G69" s="1333">
        <f t="shared" si="33"/>
        <v>2.16</v>
      </c>
      <c r="H69" s="1289"/>
      <c r="I69" s="1333">
        <v>180</v>
      </c>
      <c r="J69" s="1333">
        <v>-0.19</v>
      </c>
      <c r="K69" s="1333">
        <v>-0.39</v>
      </c>
      <c r="L69" s="1333">
        <v>-0.14000000000000001</v>
      </c>
      <c r="M69" s="1333">
        <f t="shared" ref="M69:M73" si="37">0.5*(MAX(J69:L69)-MIN(J69:L69))</f>
        <v>0.125</v>
      </c>
      <c r="N69" s="1333">
        <f t="shared" si="34"/>
        <v>2.16</v>
      </c>
      <c r="O69" s="1289"/>
      <c r="P69" s="1333">
        <v>180</v>
      </c>
      <c r="Q69" s="1333">
        <v>-0.2</v>
      </c>
      <c r="R69" s="1333">
        <v>-0.2</v>
      </c>
      <c r="S69" s="1333">
        <v>-0.22</v>
      </c>
      <c r="T69" s="1333">
        <f t="shared" ref="T69:T73" si="38">0.5*(MAX(Q69:S69)-MIN(Q69:S69))</f>
        <v>9.999999999999995E-3</v>
      </c>
      <c r="U69" s="1333">
        <f t="shared" si="35"/>
        <v>2.16</v>
      </c>
    </row>
    <row r="70" spans="1:21">
      <c r="A70" s="1287"/>
      <c r="B70" s="1333">
        <v>200</v>
      </c>
      <c r="C70" s="1333">
        <v>0.42</v>
      </c>
      <c r="D70" s="1333">
        <v>0.52</v>
      </c>
      <c r="E70" s="1333">
        <v>0.34</v>
      </c>
      <c r="F70" s="1333">
        <f t="shared" si="36"/>
        <v>0.09</v>
      </c>
      <c r="G70" s="1333">
        <f t="shared" si="33"/>
        <v>2.4</v>
      </c>
      <c r="H70" s="1289"/>
      <c r="I70" s="1333">
        <v>200</v>
      </c>
      <c r="J70" s="1333">
        <v>-7.0000000000000007E-2</v>
      </c>
      <c r="K70" s="1333">
        <v>-0.23</v>
      </c>
      <c r="L70" s="1333">
        <v>-0.33</v>
      </c>
      <c r="M70" s="1333">
        <f t="shared" si="37"/>
        <v>0.13</v>
      </c>
      <c r="N70" s="1333">
        <f t="shared" si="34"/>
        <v>2.4</v>
      </c>
      <c r="O70" s="1289"/>
      <c r="P70" s="1333">
        <v>200</v>
      </c>
      <c r="Q70" s="1333">
        <v>-0.25</v>
      </c>
      <c r="R70" s="1333">
        <v>-0.25</v>
      </c>
      <c r="S70" s="1333">
        <v>-0.33</v>
      </c>
      <c r="T70" s="1333">
        <f t="shared" si="38"/>
        <v>4.0000000000000008E-2</v>
      </c>
      <c r="U70" s="1333">
        <f t="shared" si="35"/>
        <v>2.4</v>
      </c>
    </row>
    <row r="71" spans="1:21">
      <c r="A71" s="1287"/>
      <c r="B71" s="1333">
        <v>220</v>
      </c>
      <c r="C71" s="1333">
        <v>0.32</v>
      </c>
      <c r="D71" s="1333">
        <v>0.57999999999999996</v>
      </c>
      <c r="E71" s="1333">
        <v>0.37</v>
      </c>
      <c r="F71" s="1333">
        <f t="shared" si="36"/>
        <v>0.12999999999999998</v>
      </c>
      <c r="G71" s="1333">
        <f t="shared" si="33"/>
        <v>2.64</v>
      </c>
      <c r="H71" s="1289"/>
      <c r="I71" s="1333">
        <v>220</v>
      </c>
      <c r="J71" s="1333">
        <v>-0.39</v>
      </c>
      <c r="K71" s="1333">
        <v>-0.16</v>
      </c>
      <c r="L71" s="1333">
        <v>-0.45</v>
      </c>
      <c r="M71" s="1333">
        <f t="shared" si="37"/>
        <v>0.14500000000000002</v>
      </c>
      <c r="N71" s="1333">
        <f t="shared" si="34"/>
        <v>2.64</v>
      </c>
      <c r="O71" s="1289"/>
      <c r="P71" s="1333">
        <v>220</v>
      </c>
      <c r="Q71" s="1333">
        <v>-0.28999999999999998</v>
      </c>
      <c r="R71" s="1333">
        <v>-0.28999999999999998</v>
      </c>
      <c r="S71" s="1333">
        <v>-0.39</v>
      </c>
      <c r="T71" s="1333">
        <f t="shared" si="38"/>
        <v>5.0000000000000017E-2</v>
      </c>
      <c r="U71" s="1333">
        <f t="shared" si="35"/>
        <v>2.64</v>
      </c>
    </row>
    <row r="72" spans="1:21">
      <c r="A72" s="1287"/>
      <c r="B72" s="1333">
        <v>230</v>
      </c>
      <c r="C72" s="1333">
        <v>0.38</v>
      </c>
      <c r="D72" s="1333">
        <v>0.47</v>
      </c>
      <c r="E72" s="1333">
        <v>0.47</v>
      </c>
      <c r="F72" s="1333">
        <f t="shared" si="36"/>
        <v>4.4999999999999984E-2</v>
      </c>
      <c r="G72" s="1333">
        <f t="shared" si="33"/>
        <v>2.7600000000000002</v>
      </c>
      <c r="H72" s="1289"/>
      <c r="I72" s="1333">
        <v>230</v>
      </c>
      <c r="J72" s="1333">
        <v>-0.3</v>
      </c>
      <c r="K72" s="1333">
        <v>-0.15</v>
      </c>
      <c r="L72" s="1333">
        <v>-0.54</v>
      </c>
      <c r="M72" s="1333">
        <f t="shared" si="37"/>
        <v>0.19500000000000001</v>
      </c>
      <c r="N72" s="1333">
        <f t="shared" si="34"/>
        <v>2.7600000000000002</v>
      </c>
      <c r="O72" s="1289"/>
      <c r="P72" s="1333">
        <v>230</v>
      </c>
      <c r="Q72" s="1333">
        <v>-0.34</v>
      </c>
      <c r="R72" s="1333">
        <v>-0.34</v>
      </c>
      <c r="S72" s="1333">
        <v>-0.39</v>
      </c>
      <c r="T72" s="1333">
        <f t="shared" si="38"/>
        <v>2.4999999999999994E-2</v>
      </c>
      <c r="U72" s="1333">
        <f t="shared" si="35"/>
        <v>2.7600000000000002</v>
      </c>
    </row>
    <row r="73" spans="1:21">
      <c r="A73" s="1287"/>
      <c r="B73" s="1333">
        <v>250</v>
      </c>
      <c r="C73" s="1333">
        <v>1.0000000000000001E-5</v>
      </c>
      <c r="D73" s="1333">
        <v>1.0000000000000001E-5</v>
      </c>
      <c r="E73" s="1333">
        <v>0.38</v>
      </c>
      <c r="F73" s="1333">
        <f t="shared" si="36"/>
        <v>0.189995</v>
      </c>
      <c r="G73" s="1333">
        <f t="shared" si="33"/>
        <v>3</v>
      </c>
      <c r="H73" s="1289"/>
      <c r="I73" s="1333">
        <v>250</v>
      </c>
      <c r="J73" s="1333">
        <v>0</v>
      </c>
      <c r="K73" s="1333">
        <v>9.9999999999999995E-7</v>
      </c>
      <c r="L73" s="1333">
        <v>-0.49</v>
      </c>
      <c r="M73" s="1333">
        <f t="shared" si="37"/>
        <v>0.24500049999999998</v>
      </c>
      <c r="N73" s="1333">
        <f t="shared" si="34"/>
        <v>3</v>
      </c>
      <c r="O73" s="1289"/>
      <c r="P73" s="1333">
        <v>250</v>
      </c>
      <c r="Q73" s="1333">
        <v>0</v>
      </c>
      <c r="R73" s="1333">
        <v>0</v>
      </c>
      <c r="S73" s="1333">
        <v>-0.39</v>
      </c>
      <c r="T73" s="1333">
        <f t="shared" si="38"/>
        <v>0.19500000000000001</v>
      </c>
      <c r="U73" s="1333">
        <f t="shared" si="35"/>
        <v>3</v>
      </c>
    </row>
    <row r="74" spans="1:21" ht="12.75" customHeight="1">
      <c r="A74" s="1287"/>
      <c r="B74" s="1294" t="s">
        <v>525</v>
      </c>
      <c r="C74" s="1294"/>
      <c r="D74" s="1294"/>
      <c r="E74" s="1294"/>
      <c r="F74" s="1293" t="s">
        <v>523</v>
      </c>
      <c r="G74" s="1293" t="s">
        <v>371</v>
      </c>
      <c r="H74" s="1289"/>
      <c r="I74" s="1294" t="str">
        <f>B74</f>
        <v>Current Leakage</v>
      </c>
      <c r="J74" s="1294"/>
      <c r="K74" s="1294"/>
      <c r="L74" s="1294"/>
      <c r="M74" s="1293" t="s">
        <v>523</v>
      </c>
      <c r="N74" s="1293" t="s">
        <v>371</v>
      </c>
      <c r="O74" s="1289"/>
      <c r="P74" s="1294" t="str">
        <f>B74</f>
        <v>Current Leakage</v>
      </c>
      <c r="Q74" s="1294"/>
      <c r="R74" s="1294"/>
      <c r="S74" s="1294"/>
      <c r="T74" s="1293" t="s">
        <v>523</v>
      </c>
      <c r="U74" s="1293" t="s">
        <v>371</v>
      </c>
    </row>
    <row r="75" spans="1:21" ht="14">
      <c r="A75" s="1287"/>
      <c r="B75" s="664" t="s">
        <v>526</v>
      </c>
      <c r="C75" s="663">
        <f>C67</f>
        <v>2023</v>
      </c>
      <c r="D75" s="663">
        <f>D67</f>
        <v>2022</v>
      </c>
      <c r="E75" s="663">
        <f>E67</f>
        <v>2020</v>
      </c>
      <c r="F75" s="1293"/>
      <c r="G75" s="1293"/>
      <c r="H75" s="1289"/>
      <c r="I75" s="664" t="s">
        <v>526</v>
      </c>
      <c r="J75" s="663">
        <f>J67</f>
        <v>2023</v>
      </c>
      <c r="K75" s="663">
        <f>K67</f>
        <v>2022</v>
      </c>
      <c r="L75" s="663">
        <f>L67</f>
        <v>2020</v>
      </c>
      <c r="M75" s="1293"/>
      <c r="N75" s="1293"/>
      <c r="O75" s="1289"/>
      <c r="P75" s="664" t="s">
        <v>526</v>
      </c>
      <c r="Q75" s="663">
        <f>Q67</f>
        <v>2023</v>
      </c>
      <c r="R75" s="663">
        <f>R67</f>
        <v>2022</v>
      </c>
      <c r="S75" s="663">
        <f>S67</f>
        <v>2020</v>
      </c>
      <c r="T75" s="1293"/>
      <c r="U75" s="1293"/>
    </row>
    <row r="76" spans="1:21">
      <c r="A76" s="1287"/>
      <c r="B76" s="1333">
        <v>0</v>
      </c>
      <c r="C76" s="1333">
        <v>9.9999999999999995E-7</v>
      </c>
      <c r="D76" s="1333">
        <v>9.9999999999999995E-7</v>
      </c>
      <c r="E76" s="1333">
        <v>9.9999999999999995E-7</v>
      </c>
      <c r="F76" s="1333">
        <f>0.5*(MAX(C76:E76)-MIN(C76:E76))</f>
        <v>0</v>
      </c>
      <c r="G76" s="1333">
        <f t="shared" ref="G76:G81" si="39">(0.59/100)*B76</f>
        <v>0</v>
      </c>
      <c r="H76" s="1289"/>
      <c r="I76" s="1333">
        <v>0</v>
      </c>
      <c r="J76" s="1333">
        <v>0</v>
      </c>
      <c r="K76" s="1333">
        <v>9.9999999999999995E-7</v>
      </c>
      <c r="L76" s="1333">
        <v>9.9999999999999995E-7</v>
      </c>
      <c r="M76" s="1333">
        <f>0.5*(MAX(J76:L76)-MIN(J76:L76))</f>
        <v>4.9999999999999998E-7</v>
      </c>
      <c r="N76" s="1333">
        <f t="shared" ref="N76:N81" si="40">(0.59/100)*I76</f>
        <v>0</v>
      </c>
      <c r="O76" s="1289"/>
      <c r="P76" s="1333">
        <v>0</v>
      </c>
      <c r="Q76" s="1333">
        <v>9.9999999999999995E-7</v>
      </c>
      <c r="R76" s="1333">
        <v>9.9999999999999995E-7</v>
      </c>
      <c r="S76" s="1333">
        <v>9.9999999999999995E-7</v>
      </c>
      <c r="T76" s="1333">
        <f>0.5*(MAX(Q76:S76)-MIN(Q76:S76))</f>
        <v>0</v>
      </c>
      <c r="U76" s="1333">
        <f t="shared" ref="U76:U81" si="41">(0.59/100)*P76</f>
        <v>0</v>
      </c>
    </row>
    <row r="77" spans="1:21">
      <c r="A77" s="1287"/>
      <c r="B77" s="1333">
        <v>50</v>
      </c>
      <c r="C77" s="1333">
        <v>5</v>
      </c>
      <c r="D77" s="1333">
        <v>1.9</v>
      </c>
      <c r="E77" s="1333">
        <v>1.7</v>
      </c>
      <c r="F77" s="1333">
        <f t="shared" ref="F77:F81" si="42">0.5*(MAX(C77:E77)-MIN(C77:E77))</f>
        <v>1.65</v>
      </c>
      <c r="G77" s="1333">
        <f t="shared" si="39"/>
        <v>0.29499999999999998</v>
      </c>
      <c r="H77" s="1289"/>
      <c r="I77" s="1333">
        <v>20</v>
      </c>
      <c r="J77" s="1333">
        <v>4.7</v>
      </c>
      <c r="K77" s="1333">
        <v>6.6</v>
      </c>
      <c r="L77" s="1333">
        <v>0.9</v>
      </c>
      <c r="M77" s="1333">
        <f t="shared" ref="M77:M81" si="43">0.5*(MAX(J77:L77)-MIN(J77:L77))</f>
        <v>2.8499999999999996</v>
      </c>
      <c r="N77" s="1333">
        <f t="shared" si="40"/>
        <v>0.11799999999999999</v>
      </c>
      <c r="O77" s="1289"/>
      <c r="P77" s="1333">
        <v>25</v>
      </c>
      <c r="Q77" s="1333">
        <v>3</v>
      </c>
      <c r="R77" s="1333">
        <v>4.9000000000000004</v>
      </c>
      <c r="S77" s="1333">
        <v>0.8</v>
      </c>
      <c r="T77" s="1333">
        <f t="shared" ref="T77:T81" si="44">0.5*(MAX(Q77:S77)-MIN(Q77:S77))</f>
        <v>2.0500000000000003</v>
      </c>
      <c r="U77" s="1333">
        <f t="shared" si="41"/>
        <v>0.14749999999999999</v>
      </c>
    </row>
    <row r="78" spans="1:21">
      <c r="A78" s="1287"/>
      <c r="B78" s="1333">
        <v>100</v>
      </c>
      <c r="C78" s="1333">
        <v>6.2</v>
      </c>
      <c r="D78" s="1333">
        <v>1.7</v>
      </c>
      <c r="E78" s="1333">
        <v>1.7</v>
      </c>
      <c r="F78" s="1333">
        <f t="shared" si="42"/>
        <v>2.25</v>
      </c>
      <c r="G78" s="1333">
        <f t="shared" si="39"/>
        <v>0.59</v>
      </c>
      <c r="H78" s="1289"/>
      <c r="I78" s="1333">
        <v>50</v>
      </c>
      <c r="J78" s="1333">
        <v>4.7</v>
      </c>
      <c r="K78" s="1333">
        <v>5</v>
      </c>
      <c r="L78" s="1333">
        <v>2.1</v>
      </c>
      <c r="M78" s="1333">
        <f t="shared" si="43"/>
        <v>1.45</v>
      </c>
      <c r="N78" s="1333">
        <f t="shared" si="40"/>
        <v>0.29499999999999998</v>
      </c>
      <c r="O78" s="1289"/>
      <c r="P78" s="1333">
        <v>50</v>
      </c>
      <c r="Q78" s="1333">
        <v>4.0999999999999996</v>
      </c>
      <c r="R78" s="1333">
        <v>9.1999999999999993</v>
      </c>
      <c r="S78" s="1333">
        <v>1.7</v>
      </c>
      <c r="T78" s="1333">
        <f t="shared" si="44"/>
        <v>3.7499999999999996</v>
      </c>
      <c r="U78" s="1333">
        <f t="shared" si="41"/>
        <v>0.29499999999999998</v>
      </c>
    </row>
    <row r="79" spans="1:21">
      <c r="A79" s="1287"/>
      <c r="B79" s="1333">
        <v>200</v>
      </c>
      <c r="C79" s="1333">
        <v>8.6</v>
      </c>
      <c r="D79" s="1333">
        <v>1.5</v>
      </c>
      <c r="E79" s="1333">
        <v>0.4</v>
      </c>
      <c r="F79" s="1333">
        <f t="shared" si="42"/>
        <v>4.0999999999999996</v>
      </c>
      <c r="G79" s="1333">
        <f t="shared" si="39"/>
        <v>1.18</v>
      </c>
      <c r="H79" s="1289"/>
      <c r="I79" s="1333">
        <v>200</v>
      </c>
      <c r="J79" s="1333">
        <v>7.7</v>
      </c>
      <c r="K79" s="1333">
        <v>-8.1999999999999993</v>
      </c>
      <c r="L79" s="1333">
        <v>3.7</v>
      </c>
      <c r="M79" s="1333">
        <f t="shared" si="43"/>
        <v>7.9499999999999993</v>
      </c>
      <c r="N79" s="1333">
        <f t="shared" si="40"/>
        <v>1.18</v>
      </c>
      <c r="O79" s="1289"/>
      <c r="P79" s="1333">
        <v>100</v>
      </c>
      <c r="Q79" s="1333">
        <v>6</v>
      </c>
      <c r="R79" s="1333">
        <v>7.7</v>
      </c>
      <c r="S79" s="1333">
        <v>3.4</v>
      </c>
      <c r="T79" s="1333">
        <f t="shared" si="44"/>
        <v>2.1500000000000004</v>
      </c>
      <c r="U79" s="1333">
        <f t="shared" si="41"/>
        <v>0.59</v>
      </c>
    </row>
    <row r="80" spans="1:21">
      <c r="A80" s="1287"/>
      <c r="B80" s="1333">
        <v>500</v>
      </c>
      <c r="C80" s="1333">
        <v>9.3000000000000007</v>
      </c>
      <c r="D80" s="1333">
        <v>0.9</v>
      </c>
      <c r="E80" s="1333">
        <v>3</v>
      </c>
      <c r="F80" s="1333">
        <f t="shared" si="42"/>
        <v>4.2</v>
      </c>
      <c r="G80" s="1333">
        <f t="shared" si="39"/>
        <v>2.9499999999999997</v>
      </c>
      <c r="H80" s="1289"/>
      <c r="I80" s="1333">
        <v>500</v>
      </c>
      <c r="J80" s="1333">
        <v>6</v>
      </c>
      <c r="K80" s="1333">
        <v>-31.8</v>
      </c>
      <c r="L80" s="1333">
        <v>8.3000000000000007</v>
      </c>
      <c r="M80" s="1333">
        <f t="shared" si="43"/>
        <v>20.05</v>
      </c>
      <c r="N80" s="1333">
        <f t="shared" si="40"/>
        <v>2.9499999999999997</v>
      </c>
      <c r="O80" s="1289"/>
      <c r="P80" s="1333">
        <v>500</v>
      </c>
      <c r="Q80" s="1333">
        <v>9.5</v>
      </c>
      <c r="R80" s="1333">
        <v>-25.1</v>
      </c>
      <c r="S80" s="1333">
        <v>7.2</v>
      </c>
      <c r="T80" s="1333">
        <f t="shared" si="44"/>
        <v>17.3</v>
      </c>
      <c r="U80" s="1333">
        <f t="shared" si="41"/>
        <v>2.9499999999999997</v>
      </c>
    </row>
    <row r="81" spans="1:21">
      <c r="A81" s="1287"/>
      <c r="B81" s="1333">
        <v>1000</v>
      </c>
      <c r="C81" s="1333">
        <v>-88</v>
      </c>
      <c r="D81" s="1333">
        <v>1</v>
      </c>
      <c r="E81" s="1333">
        <v>9.9999999999999995E-7</v>
      </c>
      <c r="F81" s="1333">
        <f t="shared" si="42"/>
        <v>44.5</v>
      </c>
      <c r="G81" s="1333">
        <f t="shared" si="39"/>
        <v>5.8999999999999995</v>
      </c>
      <c r="H81" s="1289"/>
      <c r="I81" s="1333">
        <v>1000</v>
      </c>
      <c r="J81" s="1333">
        <v>-88</v>
      </c>
      <c r="K81" s="1333">
        <v>-74</v>
      </c>
      <c r="L81" s="1333">
        <v>9.9999999999999995E-7</v>
      </c>
      <c r="M81" s="1333">
        <f t="shared" si="43"/>
        <v>44.000000499999999</v>
      </c>
      <c r="N81" s="1333">
        <f t="shared" si="40"/>
        <v>5.8999999999999995</v>
      </c>
      <c r="O81" s="1289"/>
      <c r="P81" s="1333">
        <v>1000</v>
      </c>
      <c r="Q81" s="1333">
        <v>-88</v>
      </c>
      <c r="R81" s="1333">
        <v>-66</v>
      </c>
      <c r="S81" s="1333">
        <v>9.9999999999999995E-7</v>
      </c>
      <c r="T81" s="1333">
        <f t="shared" si="44"/>
        <v>44.000000499999999</v>
      </c>
      <c r="U81" s="1333">
        <f t="shared" si="41"/>
        <v>5.8999999999999995</v>
      </c>
    </row>
    <row r="82" spans="1:21" ht="13">
      <c r="A82" s="1287"/>
      <c r="B82" s="1294" t="s">
        <v>527</v>
      </c>
      <c r="C82" s="1294"/>
      <c r="D82" s="1294"/>
      <c r="E82" s="1294"/>
      <c r="F82" s="1293" t="s">
        <v>523</v>
      </c>
      <c r="G82" s="1293" t="s">
        <v>371</v>
      </c>
      <c r="H82" s="1289"/>
      <c r="I82" s="1294" t="s">
        <v>527</v>
      </c>
      <c r="J82" s="1294"/>
      <c r="K82" s="1294"/>
      <c r="L82" s="1294"/>
      <c r="M82" s="1293" t="s">
        <v>523</v>
      </c>
      <c r="N82" s="1293" t="s">
        <v>371</v>
      </c>
      <c r="O82" s="1289"/>
      <c r="P82" s="1294" t="str">
        <f>B82</f>
        <v>Main-PE</v>
      </c>
      <c r="Q82" s="1294"/>
      <c r="R82" s="1294"/>
      <c r="S82" s="1294"/>
      <c r="T82" s="1293" t="s">
        <v>523</v>
      </c>
      <c r="U82" s="1293" t="s">
        <v>371</v>
      </c>
    </row>
    <row r="83" spans="1:21" ht="14.5">
      <c r="A83" s="1287"/>
      <c r="B83" s="664" t="s">
        <v>528</v>
      </c>
      <c r="C83" s="663">
        <f>C67</f>
        <v>2023</v>
      </c>
      <c r="D83" s="663">
        <f>D67</f>
        <v>2022</v>
      </c>
      <c r="E83" s="663">
        <f>E67</f>
        <v>2020</v>
      </c>
      <c r="F83" s="1293"/>
      <c r="G83" s="1293"/>
      <c r="H83" s="1289"/>
      <c r="I83" s="664" t="s">
        <v>528</v>
      </c>
      <c r="J83" s="663">
        <f>J67</f>
        <v>2023</v>
      </c>
      <c r="K83" s="663">
        <f>K67</f>
        <v>2022</v>
      </c>
      <c r="L83" s="663">
        <f>L67</f>
        <v>2020</v>
      </c>
      <c r="M83" s="1293"/>
      <c r="N83" s="1293"/>
      <c r="O83" s="1289"/>
      <c r="P83" s="664" t="s">
        <v>528</v>
      </c>
      <c r="Q83" s="663">
        <f>Q67</f>
        <v>2023</v>
      </c>
      <c r="R83" s="663">
        <f>R67</f>
        <v>2022</v>
      </c>
      <c r="S83" s="663">
        <f>S67</f>
        <v>2020</v>
      </c>
      <c r="T83" s="1293"/>
      <c r="U83" s="1293"/>
    </row>
    <row r="84" spans="1:21">
      <c r="A84" s="1287"/>
      <c r="B84" s="1333">
        <v>10</v>
      </c>
      <c r="C84" s="1333">
        <v>0</v>
      </c>
      <c r="D84" s="1333">
        <v>9.9999999999999995E-7</v>
      </c>
      <c r="E84" s="1333">
        <v>9.9999999999999995E-7</v>
      </c>
      <c r="F84" s="1333">
        <f>0.5*(MAX(C84:E84)-MIN(C84:E84))</f>
        <v>4.9999999999999998E-7</v>
      </c>
      <c r="G84" s="1333">
        <f>(1.7/100)*B84</f>
        <v>0.17</v>
      </c>
      <c r="H84" s="1289"/>
      <c r="I84" s="1333">
        <v>10</v>
      </c>
      <c r="J84" s="1333">
        <v>0</v>
      </c>
      <c r="K84" s="1333">
        <v>9.9999999999999995E-7</v>
      </c>
      <c r="L84" s="1333">
        <v>9.9999999999999995E-7</v>
      </c>
      <c r="M84" s="1333">
        <f>0.5*(MAX(J84:L84)-MIN(J84:L84))</f>
        <v>4.9999999999999998E-7</v>
      </c>
      <c r="N84" s="1333">
        <f>(1.7/100)*I84</f>
        <v>0.17</v>
      </c>
      <c r="O84" s="1289"/>
      <c r="P84" s="1333">
        <v>10</v>
      </c>
      <c r="Q84" s="1333">
        <v>9.9999999999999995E-7</v>
      </c>
      <c r="R84" s="1333">
        <v>9.9999999999999995E-7</v>
      </c>
      <c r="S84" s="1333">
        <v>9.9999999999999995E-7</v>
      </c>
      <c r="T84" s="1333">
        <f>0.5*(MAX(Q84:S84)-MIN(Q84:S84))</f>
        <v>0</v>
      </c>
      <c r="U84" s="1333">
        <f>(1.7/100)*P84</f>
        <v>0.17</v>
      </c>
    </row>
    <row r="85" spans="1:21">
      <c r="A85" s="1287"/>
      <c r="B85" s="1333">
        <v>20</v>
      </c>
      <c r="C85" s="1333">
        <v>0.1</v>
      </c>
      <c r="D85" s="1333">
        <v>0.1</v>
      </c>
      <c r="E85" s="1333">
        <v>9.9999999999999995E-7</v>
      </c>
      <c r="F85" s="1333">
        <f t="shared" ref="F85:F87" si="45">0.5*(MAX(C85:E85)-MIN(C85:E85))</f>
        <v>4.9999500000000002E-2</v>
      </c>
      <c r="G85" s="1333">
        <f>(1.7/100)*B85</f>
        <v>0.34</v>
      </c>
      <c r="H85" s="1289"/>
      <c r="I85" s="1333">
        <v>20</v>
      </c>
      <c r="J85" s="1333">
        <v>0.1</v>
      </c>
      <c r="K85" s="1333">
        <v>9.9999999999999995E-7</v>
      </c>
      <c r="L85" s="1333">
        <v>9.9999999999999995E-7</v>
      </c>
      <c r="M85" s="1333">
        <f t="shared" ref="M85:M87" si="46">0.5*(MAX(J85:L85)-MIN(J85:L85))</f>
        <v>4.9999500000000002E-2</v>
      </c>
      <c r="N85" s="1333">
        <f t="shared" ref="N85:N87" si="47">(1.7/100)*I85</f>
        <v>0.34</v>
      </c>
      <c r="O85" s="1289"/>
      <c r="P85" s="1333">
        <v>20</v>
      </c>
      <c r="Q85" s="1333">
        <v>9.9999999999999995E-7</v>
      </c>
      <c r="R85" s="1333">
        <v>9.9999999999999995E-7</v>
      </c>
      <c r="S85" s="1333">
        <v>9.9999999999999995E-7</v>
      </c>
      <c r="T85" s="1333">
        <f t="shared" ref="T85:T87" si="48">0.5*(MAX(Q85:S85)-MIN(Q85:S85))</f>
        <v>0</v>
      </c>
      <c r="U85" s="1333">
        <f t="shared" ref="U85:U87" si="49">(1.7/100)*P85</f>
        <v>0.34</v>
      </c>
    </row>
    <row r="86" spans="1:21">
      <c r="A86" s="1287"/>
      <c r="B86" s="1333">
        <v>50</v>
      </c>
      <c r="C86" s="1333">
        <v>0.3</v>
      </c>
      <c r="D86" s="1333">
        <v>0.5</v>
      </c>
      <c r="E86" s="1333">
        <v>9.9999999999999995E-7</v>
      </c>
      <c r="F86" s="1333">
        <f t="shared" si="45"/>
        <v>0.24999950000000001</v>
      </c>
      <c r="G86" s="1333">
        <f>(1.7/100)*B86</f>
        <v>0.85000000000000009</v>
      </c>
      <c r="H86" s="1289"/>
      <c r="I86" s="1333">
        <v>50</v>
      </c>
      <c r="J86" s="1333">
        <v>0.3</v>
      </c>
      <c r="K86" s="1333">
        <v>0.2</v>
      </c>
      <c r="L86" s="1333">
        <v>9.9999999999999995E-7</v>
      </c>
      <c r="M86" s="1333">
        <f t="shared" si="46"/>
        <v>0.14999950000000001</v>
      </c>
      <c r="N86" s="1333">
        <f t="shared" si="47"/>
        <v>0.85000000000000009</v>
      </c>
      <c r="O86" s="1289"/>
      <c r="P86" s="1333">
        <v>50</v>
      </c>
      <c r="Q86" s="1333">
        <v>0.2</v>
      </c>
      <c r="R86" s="1333">
        <v>0.2</v>
      </c>
      <c r="S86" s="1333">
        <v>9.9999999999999995E-7</v>
      </c>
      <c r="T86" s="1333">
        <f t="shared" si="48"/>
        <v>9.9999500000000005E-2</v>
      </c>
      <c r="U86" s="1333">
        <f t="shared" si="49"/>
        <v>0.85000000000000009</v>
      </c>
    </row>
    <row r="87" spans="1:21">
      <c r="A87" s="1287"/>
      <c r="B87" s="1333">
        <v>100</v>
      </c>
      <c r="C87" s="1333">
        <v>0.8</v>
      </c>
      <c r="D87" s="1333">
        <v>0.9</v>
      </c>
      <c r="E87" s="1333">
        <v>9.9999999999999995E-7</v>
      </c>
      <c r="F87" s="1333">
        <f t="shared" si="45"/>
        <v>0.4499995</v>
      </c>
      <c r="G87" s="1333">
        <f>(1.7/100)*B87</f>
        <v>1.7000000000000002</v>
      </c>
      <c r="H87" s="1289"/>
      <c r="I87" s="1333">
        <v>100</v>
      </c>
      <c r="J87" s="1333">
        <v>0.7</v>
      </c>
      <c r="K87" s="1333">
        <v>0.4</v>
      </c>
      <c r="L87" s="1333">
        <v>9.9999999999999995E-7</v>
      </c>
      <c r="M87" s="1333">
        <f t="shared" si="46"/>
        <v>0.34999949999999996</v>
      </c>
      <c r="N87" s="1333">
        <f t="shared" si="47"/>
        <v>1.7000000000000002</v>
      </c>
      <c r="O87" s="1289"/>
      <c r="P87" s="1333">
        <v>100</v>
      </c>
      <c r="Q87" s="1333">
        <v>1.1000000000000001</v>
      </c>
      <c r="R87" s="1333">
        <v>0.6</v>
      </c>
      <c r="S87" s="1333">
        <v>9.9999999999999995E-7</v>
      </c>
      <c r="T87" s="1333">
        <f t="shared" si="48"/>
        <v>0.54999950000000009</v>
      </c>
      <c r="U87" s="1333">
        <f t="shared" si="49"/>
        <v>1.7000000000000002</v>
      </c>
    </row>
    <row r="88" spans="1:21" ht="12.75" customHeight="1">
      <c r="A88" s="1287"/>
      <c r="B88" s="1294" t="s">
        <v>529</v>
      </c>
      <c r="C88" s="1294"/>
      <c r="D88" s="1294"/>
      <c r="E88" s="1294"/>
      <c r="F88" s="1293" t="s">
        <v>523</v>
      </c>
      <c r="G88" s="1293" t="s">
        <v>371</v>
      </c>
      <c r="H88" s="1289"/>
      <c r="I88" s="1294" t="s">
        <v>529</v>
      </c>
      <c r="J88" s="1294"/>
      <c r="K88" s="1294"/>
      <c r="L88" s="1294"/>
      <c r="M88" s="1293" t="s">
        <v>523</v>
      </c>
      <c r="N88" s="1293" t="s">
        <v>371</v>
      </c>
      <c r="O88" s="1289"/>
      <c r="P88" s="1294" t="str">
        <f>B88</f>
        <v>Resistance</v>
      </c>
      <c r="Q88" s="1294"/>
      <c r="R88" s="1294"/>
      <c r="S88" s="1294"/>
      <c r="T88" s="1293" t="s">
        <v>523</v>
      </c>
      <c r="U88" s="1293" t="s">
        <v>371</v>
      </c>
    </row>
    <row r="89" spans="1:21" ht="14.5">
      <c r="A89" s="1287"/>
      <c r="B89" s="664" t="s">
        <v>530</v>
      </c>
      <c r="C89" s="663">
        <f>C67</f>
        <v>2023</v>
      </c>
      <c r="D89" s="663">
        <f>D67</f>
        <v>2022</v>
      </c>
      <c r="E89" s="663">
        <f>E67</f>
        <v>2020</v>
      </c>
      <c r="F89" s="1293"/>
      <c r="G89" s="1293"/>
      <c r="H89" s="1289"/>
      <c r="I89" s="664" t="s">
        <v>530</v>
      </c>
      <c r="J89" s="663">
        <f>J67</f>
        <v>2023</v>
      </c>
      <c r="K89" s="663">
        <f>K67</f>
        <v>2022</v>
      </c>
      <c r="L89" s="663">
        <f>L67</f>
        <v>2020</v>
      </c>
      <c r="M89" s="1293"/>
      <c r="N89" s="1293"/>
      <c r="O89" s="1289"/>
      <c r="P89" s="664" t="s">
        <v>530</v>
      </c>
      <c r="Q89" s="663">
        <f>Q67</f>
        <v>2023</v>
      </c>
      <c r="R89" s="663">
        <f>R67</f>
        <v>2022</v>
      </c>
      <c r="S89" s="663">
        <f>S67</f>
        <v>2020</v>
      </c>
      <c r="T89" s="1293"/>
      <c r="U89" s="1293"/>
    </row>
    <row r="90" spans="1:21">
      <c r="A90" s="1287"/>
      <c r="B90" s="1333">
        <v>0.1</v>
      </c>
      <c r="C90" s="1334">
        <v>3.0000000000000001E-3</v>
      </c>
      <c r="D90" s="1334">
        <v>9.9999999999999995E-7</v>
      </c>
      <c r="E90" s="1334">
        <v>9.9999999999999995E-7</v>
      </c>
      <c r="F90" s="1333">
        <f>0.5*(MAX(C90:E90)-MIN(C90:E90))</f>
        <v>1.4995E-3</v>
      </c>
      <c r="G90" s="1333">
        <f>(1.2/100)*B90</f>
        <v>1.2000000000000001E-3</v>
      </c>
      <c r="H90" s="1289"/>
      <c r="I90" s="1334">
        <v>0.1</v>
      </c>
      <c r="J90" s="1334">
        <v>-3.0000000000000001E-3</v>
      </c>
      <c r="K90" s="1334">
        <v>-1E-3</v>
      </c>
      <c r="L90" s="1334">
        <v>-1E-3</v>
      </c>
      <c r="M90" s="1334">
        <f>0.5*(MAX(J90:L90)-MIN(J90:L90))</f>
        <v>1E-3</v>
      </c>
      <c r="N90" s="1334">
        <f>(1.2/100)*I90</f>
        <v>1.2000000000000001E-3</v>
      </c>
      <c r="O90" s="1289"/>
      <c r="P90" s="1334">
        <v>1E-3</v>
      </c>
      <c r="Q90" s="1334">
        <v>0</v>
      </c>
      <c r="R90" s="1334">
        <v>-2E-3</v>
      </c>
      <c r="S90" s="1334">
        <v>-1E-3</v>
      </c>
      <c r="T90" s="1334">
        <f>0.5*(MAX(Q90:S90)-MIN(Q90:S90))</f>
        <v>1E-3</v>
      </c>
      <c r="U90" s="1334">
        <f>(1.2/100)*P90</f>
        <v>1.2E-5</v>
      </c>
    </row>
    <row r="91" spans="1:21">
      <c r="A91" s="1287"/>
      <c r="B91" s="1333">
        <v>0.5</v>
      </c>
      <c r="C91" s="1334">
        <v>8.0000000000000002E-3</v>
      </c>
      <c r="D91" s="1334">
        <v>3.0000000000000001E-3</v>
      </c>
      <c r="E91" s="1334">
        <v>9.9999999999999995E-7</v>
      </c>
      <c r="F91" s="1333">
        <f t="shared" ref="F91:F93" si="50">0.5*(MAX(C91:E91)-MIN(C91:E91))</f>
        <v>3.9995000000000005E-3</v>
      </c>
      <c r="G91" s="1333">
        <f>(1.2/100)*B91</f>
        <v>6.0000000000000001E-3</v>
      </c>
      <c r="H91" s="1289"/>
      <c r="I91" s="1334">
        <v>0.5</v>
      </c>
      <c r="J91" s="1334">
        <v>1E-3</v>
      </c>
      <c r="K91" s="1334">
        <v>4.0000000000000001E-3</v>
      </c>
      <c r="L91" s="1334">
        <v>-3.0000000000000001E-3</v>
      </c>
      <c r="M91" s="1334">
        <f t="shared" ref="M91:M93" si="51">0.5*(MAX(J91:L91)-MIN(J91:L91))</f>
        <v>3.5000000000000001E-3</v>
      </c>
      <c r="N91" s="1334">
        <f>(1.2/100)*I91</f>
        <v>6.0000000000000001E-3</v>
      </c>
      <c r="O91" s="1289"/>
      <c r="P91" s="1334">
        <v>0.10199999999999999</v>
      </c>
      <c r="Q91" s="1334">
        <v>0</v>
      </c>
      <c r="R91" s="1334">
        <v>1E-3</v>
      </c>
      <c r="S91" s="1334">
        <v>-2E-3</v>
      </c>
      <c r="T91" s="1334">
        <f t="shared" ref="T91:T93" si="52">0.5*(MAX(Q91:S91)-MIN(Q91:S91))</f>
        <v>1.5E-3</v>
      </c>
      <c r="U91" s="1334">
        <f>(1.2/100)*P91</f>
        <v>1.224E-3</v>
      </c>
    </row>
    <row r="92" spans="1:21">
      <c r="A92" s="1287"/>
      <c r="B92" s="1333">
        <v>1</v>
      </c>
      <c r="C92" s="1334">
        <v>-6.0000000000000001E-3</v>
      </c>
      <c r="D92" s="1334">
        <v>2E-3</v>
      </c>
      <c r="E92" s="1334">
        <v>-2E-3</v>
      </c>
      <c r="F92" s="1333">
        <f t="shared" si="50"/>
        <v>4.0000000000000001E-3</v>
      </c>
      <c r="G92" s="1333">
        <f>(1.2/100)*B92</f>
        <v>1.2E-2</v>
      </c>
      <c r="H92" s="1289"/>
      <c r="I92" s="1334">
        <v>1</v>
      </c>
      <c r="J92" s="1334">
        <v>-1E-3</v>
      </c>
      <c r="K92" s="1334">
        <v>5.0000000000000001E-3</v>
      </c>
      <c r="L92" s="1334">
        <v>1E-3</v>
      </c>
      <c r="M92" s="1334">
        <f t="shared" si="51"/>
        <v>3.0000000000000001E-3</v>
      </c>
      <c r="N92" s="1334">
        <f>(1.2/100)*I92</f>
        <v>1.2E-2</v>
      </c>
      <c r="O92" s="1289"/>
      <c r="P92" s="1334">
        <v>0.5</v>
      </c>
      <c r="Q92" s="1334">
        <v>2E-3</v>
      </c>
      <c r="R92" s="1334">
        <v>4.0000000000000001E-3</v>
      </c>
      <c r="S92" s="1334">
        <v>9.9999999999999995E-7</v>
      </c>
      <c r="T92" s="1334">
        <f t="shared" si="52"/>
        <v>1.9995E-3</v>
      </c>
      <c r="U92" s="1334">
        <f>(1.2/100)*P92</f>
        <v>6.0000000000000001E-3</v>
      </c>
    </row>
    <row r="93" spans="1:21">
      <c r="A93" s="1287"/>
      <c r="B93" s="1333">
        <v>2</v>
      </c>
      <c r="C93" s="1334">
        <v>-8.0000000000000002E-3</v>
      </c>
      <c r="D93" s="1334">
        <v>-1E-3</v>
      </c>
      <c r="E93" s="1334">
        <v>9.9999999999999995E-7</v>
      </c>
      <c r="F93" s="1333">
        <f t="shared" si="50"/>
        <v>4.0004999999999997E-3</v>
      </c>
      <c r="G93" s="1333">
        <f>(1.2/100)*B93</f>
        <v>2.4E-2</v>
      </c>
      <c r="H93" s="1289"/>
      <c r="I93" s="1334">
        <v>2</v>
      </c>
      <c r="J93" s="1334">
        <v>-6.0000000000000001E-3</v>
      </c>
      <c r="K93" s="1334">
        <v>5.0000000000000001E-3</v>
      </c>
      <c r="L93" s="1334">
        <v>-1E-3</v>
      </c>
      <c r="M93" s="1334">
        <f t="shared" si="51"/>
        <v>5.4999999999999997E-3</v>
      </c>
      <c r="N93" s="1334">
        <f>(1.2/100)*I93</f>
        <v>2.4E-2</v>
      </c>
      <c r="O93" s="1289"/>
      <c r="P93" s="1334">
        <v>1</v>
      </c>
      <c r="Q93" s="1334">
        <v>-5.0000000000000001E-3</v>
      </c>
      <c r="R93" s="1334">
        <v>9.9999999999999995E-7</v>
      </c>
      <c r="S93" s="1334">
        <v>-1E-3</v>
      </c>
      <c r="T93" s="1334">
        <f t="shared" si="52"/>
        <v>2.5005000000000001E-3</v>
      </c>
      <c r="U93" s="1334">
        <f>(1.2/100)*P93</f>
        <v>1.2E-2</v>
      </c>
    </row>
    <row r="94" spans="1:21" ht="15.5">
      <c r="A94" s="415"/>
      <c r="B94" s="279"/>
      <c r="C94" s="279"/>
      <c r="D94" s="411"/>
      <c r="E94" s="363"/>
      <c r="F94" s="416"/>
      <c r="H94" s="412"/>
      <c r="I94" s="279"/>
      <c r="J94" s="279"/>
      <c r="K94" s="411"/>
      <c r="L94" s="411"/>
      <c r="M94" s="411"/>
      <c r="O94" s="412"/>
      <c r="P94" s="279"/>
      <c r="Q94" s="279"/>
      <c r="R94" s="411"/>
      <c r="S94" s="411"/>
      <c r="T94" s="411"/>
    </row>
    <row r="95" spans="1:21" ht="14.5">
      <c r="A95" s="1287" t="s">
        <v>542</v>
      </c>
      <c r="B95" s="1296">
        <v>10</v>
      </c>
      <c r="C95" s="1296"/>
      <c r="D95" s="1296"/>
      <c r="E95" s="1296"/>
      <c r="F95" s="1296"/>
      <c r="G95" s="1296"/>
      <c r="H95" s="1289" t="s">
        <v>543</v>
      </c>
      <c r="I95" s="1290">
        <v>11</v>
      </c>
      <c r="J95" s="1290"/>
      <c r="K95" s="1290"/>
      <c r="L95" s="1290"/>
      <c r="M95" s="1290"/>
      <c r="N95" s="1290"/>
      <c r="O95" s="1289" t="s">
        <v>544</v>
      </c>
      <c r="P95" s="1290">
        <v>12</v>
      </c>
      <c r="Q95" s="1290"/>
      <c r="R95" s="1290"/>
      <c r="S95" s="1290"/>
      <c r="T95" s="1290"/>
      <c r="U95" s="1290"/>
    </row>
    <row r="96" spans="1:21" ht="14">
      <c r="A96" s="1287"/>
      <c r="B96" s="1291" t="s">
        <v>521</v>
      </c>
      <c r="C96" s="1291"/>
      <c r="D96" s="1291"/>
      <c r="E96" s="1291"/>
      <c r="F96" s="1291"/>
      <c r="G96" s="1291"/>
      <c r="H96" s="1289"/>
      <c r="I96" s="1292" t="s">
        <v>521</v>
      </c>
      <c r="J96" s="1292"/>
      <c r="K96" s="1292"/>
      <c r="L96" s="1292"/>
      <c r="M96" s="1292"/>
      <c r="N96" s="1292"/>
      <c r="O96" s="1289"/>
      <c r="P96" s="1292" t="s">
        <v>521</v>
      </c>
      <c r="Q96" s="1292"/>
      <c r="R96" s="1292"/>
      <c r="S96" s="1292"/>
      <c r="T96" s="1292"/>
      <c r="U96" s="1292"/>
    </row>
    <row r="97" spans="1:21" ht="13">
      <c r="A97" s="1287"/>
      <c r="B97" s="1293" t="s">
        <v>522</v>
      </c>
      <c r="C97" s="1293"/>
      <c r="D97" s="1293"/>
      <c r="E97" s="1293"/>
      <c r="F97" s="1293" t="s">
        <v>523</v>
      </c>
      <c r="G97" s="1293" t="s">
        <v>371</v>
      </c>
      <c r="H97" s="1289"/>
      <c r="I97" s="1293" t="str">
        <f>B97</f>
        <v>Setting VAC</v>
      </c>
      <c r="J97" s="1293"/>
      <c r="K97" s="1293"/>
      <c r="L97" s="1293"/>
      <c r="M97" s="1293" t="s">
        <v>523</v>
      </c>
      <c r="N97" s="1293" t="s">
        <v>371</v>
      </c>
      <c r="O97" s="1289"/>
      <c r="P97" s="1293" t="str">
        <f>B97</f>
        <v>Setting VAC</v>
      </c>
      <c r="Q97" s="1293"/>
      <c r="R97" s="1293"/>
      <c r="S97" s="1293"/>
      <c r="T97" s="1293" t="s">
        <v>523</v>
      </c>
      <c r="U97" s="1293" t="s">
        <v>371</v>
      </c>
    </row>
    <row r="98" spans="1:21" ht="14">
      <c r="A98" s="1287"/>
      <c r="B98" s="664" t="s">
        <v>524</v>
      </c>
      <c r="C98" s="404">
        <v>2021</v>
      </c>
      <c r="D98" s="404" t="s">
        <v>101</v>
      </c>
      <c r="E98" s="663">
        <v>2016</v>
      </c>
      <c r="F98" s="1293"/>
      <c r="G98" s="1293"/>
      <c r="H98" s="1289"/>
      <c r="I98" s="664" t="s">
        <v>524</v>
      </c>
      <c r="J98" s="404" t="s">
        <v>101</v>
      </c>
      <c r="K98" s="404" t="s">
        <v>101</v>
      </c>
      <c r="L98" s="663">
        <v>2016</v>
      </c>
      <c r="M98" s="1293"/>
      <c r="N98" s="1293"/>
      <c r="O98" s="1289"/>
      <c r="P98" s="664" t="s">
        <v>524</v>
      </c>
      <c r="Q98" s="404" t="s">
        <v>101</v>
      </c>
      <c r="R98" s="404" t="s">
        <v>101</v>
      </c>
      <c r="S98" s="663">
        <v>2016</v>
      </c>
      <c r="T98" s="1293"/>
      <c r="U98" s="1293"/>
    </row>
    <row r="99" spans="1:21">
      <c r="A99" s="1287"/>
      <c r="B99" s="1333">
        <v>150</v>
      </c>
      <c r="C99" s="1333">
        <v>-0.05</v>
      </c>
      <c r="D99" s="1333" t="s">
        <v>101</v>
      </c>
      <c r="E99" s="1333"/>
      <c r="F99" s="1333">
        <f>0.5*(MAX(C99:E99)-MIN(C99:E99))</f>
        <v>0</v>
      </c>
      <c r="G99" s="1333" t="s">
        <v>101</v>
      </c>
      <c r="H99" s="1289"/>
      <c r="I99" s="1333">
        <v>150</v>
      </c>
      <c r="J99" s="1333">
        <v>9.9999999999999995E-7</v>
      </c>
      <c r="K99" s="1333" t="s">
        <v>101</v>
      </c>
      <c r="L99" s="1333"/>
      <c r="M99" s="1333">
        <f>0.5*(MAX(J99:L99)-MIN(J99:L99))</f>
        <v>0</v>
      </c>
      <c r="N99" s="1333" t="s">
        <v>101</v>
      </c>
      <c r="O99" s="1289"/>
      <c r="P99" s="1333">
        <v>150</v>
      </c>
      <c r="Q99" s="1333">
        <v>9.9999999999999995E-7</v>
      </c>
      <c r="R99" s="1333" t="s">
        <v>101</v>
      </c>
      <c r="S99" s="1333"/>
      <c r="T99" s="1333">
        <f>0.5*(MAX(Q99:S99)-MIN(Q99:S99))</f>
        <v>0</v>
      </c>
      <c r="U99" s="1333" t="s">
        <v>101</v>
      </c>
    </row>
    <row r="100" spans="1:21">
      <c r="A100" s="1287"/>
      <c r="B100" s="1333">
        <v>180</v>
      </c>
      <c r="C100" s="1333">
        <v>-0.04</v>
      </c>
      <c r="D100" s="1333" t="s">
        <v>101</v>
      </c>
      <c r="E100" s="1333"/>
      <c r="F100" s="1333">
        <f t="shared" ref="F100:F104" si="53">0.5*(MAX(C100:E100)-MIN(C100:E100))</f>
        <v>0</v>
      </c>
      <c r="G100" s="1333" t="s">
        <v>101</v>
      </c>
      <c r="H100" s="1289"/>
      <c r="I100" s="1333">
        <v>180</v>
      </c>
      <c r="J100" s="1333">
        <v>9.9999999999999995E-7</v>
      </c>
      <c r="K100" s="1333" t="s">
        <v>101</v>
      </c>
      <c r="L100" s="1333"/>
      <c r="M100" s="1333">
        <f t="shared" ref="M100:M104" si="54">0.5*(MAX(J100:L100)-MIN(J100:L100))</f>
        <v>0</v>
      </c>
      <c r="N100" s="1333" t="s">
        <v>101</v>
      </c>
      <c r="O100" s="1289"/>
      <c r="P100" s="1333">
        <v>180</v>
      </c>
      <c r="Q100" s="1333">
        <v>9.9999999999999995E-7</v>
      </c>
      <c r="R100" s="1333" t="s">
        <v>101</v>
      </c>
      <c r="S100" s="1333"/>
      <c r="T100" s="1333">
        <f t="shared" ref="T100:T104" si="55">0.5*(MAX(Q100:S100)-MIN(Q100:S100))</f>
        <v>0</v>
      </c>
      <c r="U100" s="1333" t="s">
        <v>101</v>
      </c>
    </row>
    <row r="101" spans="1:21">
      <c r="A101" s="1287"/>
      <c r="B101" s="1333">
        <v>200</v>
      </c>
      <c r="C101" s="1333">
        <v>-0.67</v>
      </c>
      <c r="D101" s="1333" t="s">
        <v>101</v>
      </c>
      <c r="E101" s="1333"/>
      <c r="F101" s="1333">
        <f t="shared" si="53"/>
        <v>0</v>
      </c>
      <c r="G101" s="1333" t="s">
        <v>101</v>
      </c>
      <c r="H101" s="1289"/>
      <c r="I101" s="1333">
        <v>200</v>
      </c>
      <c r="J101" s="1333">
        <v>9.9999999999999995E-7</v>
      </c>
      <c r="K101" s="1333" t="s">
        <v>101</v>
      </c>
      <c r="L101" s="1333"/>
      <c r="M101" s="1333">
        <f t="shared" si="54"/>
        <v>0</v>
      </c>
      <c r="N101" s="1333" t="s">
        <v>101</v>
      </c>
      <c r="O101" s="1289"/>
      <c r="P101" s="1333">
        <v>200</v>
      </c>
      <c r="Q101" s="1333">
        <v>9.9999999999999995E-7</v>
      </c>
      <c r="R101" s="1333" t="s">
        <v>101</v>
      </c>
      <c r="S101" s="1333"/>
      <c r="T101" s="1333">
        <f t="shared" si="55"/>
        <v>0</v>
      </c>
      <c r="U101" s="1333" t="s">
        <v>101</v>
      </c>
    </row>
    <row r="102" spans="1:21">
      <c r="A102" s="1287"/>
      <c r="B102" s="1333">
        <v>220</v>
      </c>
      <c r="C102" s="1333">
        <v>9.9999999999999995E-7</v>
      </c>
      <c r="D102" s="1333" t="s">
        <v>101</v>
      </c>
      <c r="E102" s="1333"/>
      <c r="F102" s="1333">
        <f t="shared" si="53"/>
        <v>0</v>
      </c>
      <c r="G102" s="1333" t="s">
        <v>101</v>
      </c>
      <c r="H102" s="1289"/>
      <c r="I102" s="1333">
        <v>220</v>
      </c>
      <c r="J102" s="1333">
        <v>9.9999999999999995E-7</v>
      </c>
      <c r="K102" s="1333" t="s">
        <v>101</v>
      </c>
      <c r="L102" s="1333"/>
      <c r="M102" s="1333">
        <f t="shared" si="54"/>
        <v>0</v>
      </c>
      <c r="N102" s="1333" t="s">
        <v>101</v>
      </c>
      <c r="O102" s="1289"/>
      <c r="P102" s="1333">
        <v>220</v>
      </c>
      <c r="Q102" s="1333">
        <v>9.9999999999999995E-7</v>
      </c>
      <c r="R102" s="1333" t="s">
        <v>101</v>
      </c>
      <c r="S102" s="1333"/>
      <c r="T102" s="1333">
        <f t="shared" si="55"/>
        <v>0</v>
      </c>
      <c r="U102" s="1333" t="s">
        <v>101</v>
      </c>
    </row>
    <row r="103" spans="1:21">
      <c r="A103" s="1287"/>
      <c r="B103" s="1333">
        <v>230</v>
      </c>
      <c r="C103" s="1333">
        <v>-0.11</v>
      </c>
      <c r="D103" s="1333" t="s">
        <v>101</v>
      </c>
      <c r="E103" s="1333"/>
      <c r="F103" s="1333">
        <f t="shared" si="53"/>
        <v>0</v>
      </c>
      <c r="G103" s="1333" t="s">
        <v>101</v>
      </c>
      <c r="H103" s="1289"/>
      <c r="I103" s="1333">
        <v>230</v>
      </c>
      <c r="J103" s="1333">
        <v>9.9999999999999995E-7</v>
      </c>
      <c r="K103" s="1333" t="s">
        <v>101</v>
      </c>
      <c r="L103" s="1333"/>
      <c r="M103" s="1333">
        <f t="shared" si="54"/>
        <v>0</v>
      </c>
      <c r="N103" s="1333" t="s">
        <v>101</v>
      </c>
      <c r="O103" s="1289"/>
      <c r="P103" s="1333">
        <v>230</v>
      </c>
      <c r="Q103" s="1333">
        <v>9.9999999999999995E-7</v>
      </c>
      <c r="R103" s="1333" t="s">
        <v>101</v>
      </c>
      <c r="S103" s="1333"/>
      <c r="T103" s="1333">
        <f t="shared" si="55"/>
        <v>0</v>
      </c>
      <c r="U103" s="1333" t="s">
        <v>101</v>
      </c>
    </row>
    <row r="104" spans="1:21">
      <c r="A104" s="1287"/>
      <c r="B104" s="1333">
        <v>250</v>
      </c>
      <c r="C104" s="1333">
        <v>-0.11</v>
      </c>
      <c r="D104" s="1333" t="s">
        <v>101</v>
      </c>
      <c r="E104" s="1333"/>
      <c r="F104" s="1333">
        <f t="shared" si="53"/>
        <v>0</v>
      </c>
      <c r="G104" s="1333" t="s">
        <v>101</v>
      </c>
      <c r="H104" s="1289"/>
      <c r="I104" s="1333">
        <v>250</v>
      </c>
      <c r="J104" s="1333">
        <v>9.9999999999999995E-7</v>
      </c>
      <c r="K104" s="1333" t="s">
        <v>101</v>
      </c>
      <c r="L104" s="1333"/>
      <c r="M104" s="1333">
        <f t="shared" si="54"/>
        <v>0</v>
      </c>
      <c r="N104" s="1333" t="s">
        <v>101</v>
      </c>
      <c r="O104" s="1289"/>
      <c r="P104" s="1333">
        <v>250</v>
      </c>
      <c r="Q104" s="1333">
        <v>9.9999999999999995E-7</v>
      </c>
      <c r="R104" s="1333" t="s">
        <v>101</v>
      </c>
      <c r="S104" s="1333"/>
      <c r="T104" s="1333">
        <f t="shared" si="55"/>
        <v>0</v>
      </c>
      <c r="U104" s="1333" t="s">
        <v>101</v>
      </c>
    </row>
    <row r="105" spans="1:21" ht="13" customHeight="1">
      <c r="A105" s="1287"/>
      <c r="B105" s="1294" t="s">
        <v>525</v>
      </c>
      <c r="C105" s="1294"/>
      <c r="D105" s="1294"/>
      <c r="E105" s="1294"/>
      <c r="F105" s="1293" t="s">
        <v>523</v>
      </c>
      <c r="G105" s="1293" t="s">
        <v>371</v>
      </c>
      <c r="H105" s="1289"/>
      <c r="I105" s="1294" t="str">
        <f>B105</f>
        <v>Current Leakage</v>
      </c>
      <c r="J105" s="1294"/>
      <c r="K105" s="1294"/>
      <c r="L105" s="1294"/>
      <c r="M105" s="1293" t="s">
        <v>523</v>
      </c>
      <c r="N105" s="1293" t="s">
        <v>371</v>
      </c>
      <c r="O105" s="1289"/>
      <c r="P105" s="1294" t="str">
        <f>B105</f>
        <v>Current Leakage</v>
      </c>
      <c r="Q105" s="1294"/>
      <c r="R105" s="1294"/>
      <c r="S105" s="1294"/>
      <c r="T105" s="1293" t="s">
        <v>523</v>
      </c>
      <c r="U105" s="1293" t="s">
        <v>371</v>
      </c>
    </row>
    <row r="106" spans="1:21" ht="14">
      <c r="A106" s="1287"/>
      <c r="B106" s="664" t="s">
        <v>526</v>
      </c>
      <c r="C106" s="663">
        <f>C98</f>
        <v>2021</v>
      </c>
      <c r="D106" s="663" t="str">
        <f>D98</f>
        <v>-</v>
      </c>
      <c r="E106" s="663">
        <f>E98</f>
        <v>2016</v>
      </c>
      <c r="F106" s="1293"/>
      <c r="G106" s="1293"/>
      <c r="H106" s="1289"/>
      <c r="I106" s="664" t="s">
        <v>526</v>
      </c>
      <c r="J106" s="663" t="str">
        <f>J98</f>
        <v>-</v>
      </c>
      <c r="K106" s="663" t="str">
        <f>K98</f>
        <v>-</v>
      </c>
      <c r="L106" s="663">
        <f>L98</f>
        <v>2016</v>
      </c>
      <c r="M106" s="1293"/>
      <c r="N106" s="1293"/>
      <c r="O106" s="1289"/>
      <c r="P106" s="664" t="s">
        <v>526</v>
      </c>
      <c r="Q106" s="663" t="str">
        <f>Q98</f>
        <v>-</v>
      </c>
      <c r="R106" s="663" t="str">
        <f>R98</f>
        <v>-</v>
      </c>
      <c r="S106" s="663">
        <f>S98</f>
        <v>2016</v>
      </c>
      <c r="T106" s="1293"/>
      <c r="U106" s="1293"/>
    </row>
    <row r="107" spans="1:21">
      <c r="A107" s="1287"/>
      <c r="B107" s="1333">
        <v>0</v>
      </c>
      <c r="C107" s="1333">
        <v>9.9999999999999995E-7</v>
      </c>
      <c r="D107" s="1333" t="s">
        <v>101</v>
      </c>
      <c r="E107" s="1333"/>
      <c r="F107" s="1333">
        <f>0.5*(MAX(C107:E107)-MIN(C107:E107))</f>
        <v>0</v>
      </c>
      <c r="G107" s="1333" t="s">
        <v>101</v>
      </c>
      <c r="H107" s="1289"/>
      <c r="I107" s="1333">
        <v>0</v>
      </c>
      <c r="J107" s="1333">
        <v>9.9999999999999995E-7</v>
      </c>
      <c r="K107" s="1333" t="s">
        <v>101</v>
      </c>
      <c r="L107" s="1333"/>
      <c r="M107" s="1333">
        <f>0.5*(MAX(J107:L107)-MIN(J107:L107))</f>
        <v>0</v>
      </c>
      <c r="N107" s="1333" t="s">
        <v>101</v>
      </c>
      <c r="O107" s="1289"/>
      <c r="P107" s="1333">
        <v>0</v>
      </c>
      <c r="Q107" s="1333">
        <v>9.9999999999999995E-7</v>
      </c>
      <c r="R107" s="1333" t="s">
        <v>101</v>
      </c>
      <c r="S107" s="1333"/>
      <c r="T107" s="1333">
        <f>0.5*(MAX(Q107:S107)-MIN(Q107:S107))</f>
        <v>0</v>
      </c>
      <c r="U107" s="1333" t="s">
        <v>101</v>
      </c>
    </row>
    <row r="108" spans="1:21">
      <c r="A108" s="1287"/>
      <c r="B108" s="1333">
        <v>50</v>
      </c>
      <c r="C108" s="1333">
        <v>0.4</v>
      </c>
      <c r="D108" s="1333" t="s">
        <v>101</v>
      </c>
      <c r="E108" s="1333"/>
      <c r="F108" s="1333">
        <f t="shared" ref="F108:F112" si="56">0.5*(MAX(C108:E108)-MIN(C108:E108))</f>
        <v>0</v>
      </c>
      <c r="G108" s="1333" t="s">
        <v>101</v>
      </c>
      <c r="H108" s="1289"/>
      <c r="I108" s="1333">
        <v>50</v>
      </c>
      <c r="J108" s="1333">
        <v>9.9999999999999995E-7</v>
      </c>
      <c r="K108" s="1333" t="s">
        <v>101</v>
      </c>
      <c r="L108" s="1333"/>
      <c r="M108" s="1333">
        <f t="shared" ref="M108:M112" si="57">0.5*(MAX(J108:L108)-MIN(J108:L108))</f>
        <v>0</v>
      </c>
      <c r="N108" s="1333" t="s">
        <v>101</v>
      </c>
      <c r="O108" s="1289"/>
      <c r="P108" s="1333">
        <v>50</v>
      </c>
      <c r="Q108" s="1333">
        <v>9.9999999999999995E-7</v>
      </c>
      <c r="R108" s="1333" t="s">
        <v>101</v>
      </c>
      <c r="S108" s="1333"/>
      <c r="T108" s="1333">
        <f t="shared" ref="T108:T112" si="58">0.5*(MAX(Q108:S108)-MIN(Q108:S108))</f>
        <v>0</v>
      </c>
      <c r="U108" s="1333" t="s">
        <v>101</v>
      </c>
    </row>
    <row r="109" spans="1:21">
      <c r="A109" s="1287"/>
      <c r="B109" s="1333">
        <v>100</v>
      </c>
      <c r="C109" s="1333">
        <v>0.4</v>
      </c>
      <c r="D109" s="1333" t="s">
        <v>101</v>
      </c>
      <c r="E109" s="1333"/>
      <c r="F109" s="1333">
        <f t="shared" si="56"/>
        <v>0</v>
      </c>
      <c r="G109" s="1333" t="s">
        <v>101</v>
      </c>
      <c r="H109" s="1289"/>
      <c r="I109" s="1333">
        <v>100</v>
      </c>
      <c r="J109" s="1333">
        <v>9.9999999999999995E-7</v>
      </c>
      <c r="K109" s="1333" t="s">
        <v>101</v>
      </c>
      <c r="L109" s="1333"/>
      <c r="M109" s="1333">
        <f t="shared" si="57"/>
        <v>0</v>
      </c>
      <c r="N109" s="1333" t="s">
        <v>101</v>
      </c>
      <c r="O109" s="1289"/>
      <c r="P109" s="1333">
        <v>100</v>
      </c>
      <c r="Q109" s="1333">
        <v>9.9999999999999995E-7</v>
      </c>
      <c r="R109" s="1333" t="s">
        <v>101</v>
      </c>
      <c r="S109" s="1333"/>
      <c r="T109" s="1333">
        <f t="shared" si="58"/>
        <v>0</v>
      </c>
      <c r="U109" s="1333" t="s">
        <v>101</v>
      </c>
    </row>
    <row r="110" spans="1:21">
      <c r="A110" s="1287"/>
      <c r="B110" s="1333">
        <v>200</v>
      </c>
      <c r="C110" s="1333">
        <v>0.4</v>
      </c>
      <c r="D110" s="1333" t="s">
        <v>101</v>
      </c>
      <c r="E110" s="1333"/>
      <c r="F110" s="1333">
        <f t="shared" si="56"/>
        <v>0</v>
      </c>
      <c r="G110" s="1333" t="s">
        <v>101</v>
      </c>
      <c r="H110" s="1289"/>
      <c r="I110" s="1333">
        <v>200</v>
      </c>
      <c r="J110" s="1333">
        <v>9.9999999999999995E-7</v>
      </c>
      <c r="K110" s="1333" t="s">
        <v>101</v>
      </c>
      <c r="L110" s="1333"/>
      <c r="M110" s="1333">
        <f t="shared" si="57"/>
        <v>0</v>
      </c>
      <c r="N110" s="1333" t="s">
        <v>101</v>
      </c>
      <c r="O110" s="1289"/>
      <c r="P110" s="1333">
        <v>200</v>
      </c>
      <c r="Q110" s="1333">
        <v>9.9999999999999995E-7</v>
      </c>
      <c r="R110" s="1333" t="s">
        <v>101</v>
      </c>
      <c r="S110" s="1333"/>
      <c r="T110" s="1333">
        <f t="shared" si="58"/>
        <v>0</v>
      </c>
      <c r="U110" s="1333" t="s">
        <v>101</v>
      </c>
    </row>
    <row r="111" spans="1:21">
      <c r="A111" s="1287"/>
      <c r="B111" s="1333">
        <v>500</v>
      </c>
      <c r="C111" s="1333">
        <v>1.5</v>
      </c>
      <c r="D111" s="1333" t="s">
        <v>101</v>
      </c>
      <c r="E111" s="1333"/>
      <c r="F111" s="1333">
        <f t="shared" si="56"/>
        <v>0</v>
      </c>
      <c r="G111" s="1333" t="s">
        <v>101</v>
      </c>
      <c r="H111" s="1289"/>
      <c r="I111" s="1333">
        <v>500</v>
      </c>
      <c r="J111" s="1333">
        <v>9.9999999999999995E-7</v>
      </c>
      <c r="K111" s="1333" t="s">
        <v>101</v>
      </c>
      <c r="L111" s="1333"/>
      <c r="M111" s="1333">
        <f t="shared" si="57"/>
        <v>0</v>
      </c>
      <c r="N111" s="1333" t="s">
        <v>101</v>
      </c>
      <c r="O111" s="1289"/>
      <c r="P111" s="1333">
        <v>500</v>
      </c>
      <c r="Q111" s="1333">
        <v>9.9999999999999995E-7</v>
      </c>
      <c r="R111" s="1333" t="s">
        <v>101</v>
      </c>
      <c r="S111" s="1333"/>
      <c r="T111" s="1333">
        <f t="shared" si="58"/>
        <v>0</v>
      </c>
      <c r="U111" s="1333" t="s">
        <v>101</v>
      </c>
    </row>
    <row r="112" spans="1:21">
      <c r="A112" s="1287"/>
      <c r="B112" s="1333">
        <v>1000</v>
      </c>
      <c r="C112" s="1333">
        <v>2</v>
      </c>
      <c r="D112" s="1333" t="s">
        <v>101</v>
      </c>
      <c r="E112" s="1333"/>
      <c r="F112" s="1333">
        <f t="shared" si="56"/>
        <v>0</v>
      </c>
      <c r="G112" s="1333" t="s">
        <v>101</v>
      </c>
      <c r="H112" s="1289"/>
      <c r="I112" s="1333">
        <v>1000</v>
      </c>
      <c r="J112" s="1333">
        <v>9.9999999999999995E-7</v>
      </c>
      <c r="K112" s="1333" t="s">
        <v>101</v>
      </c>
      <c r="L112" s="1333"/>
      <c r="M112" s="1333">
        <f t="shared" si="57"/>
        <v>0</v>
      </c>
      <c r="N112" s="1333" t="s">
        <v>101</v>
      </c>
      <c r="O112" s="1289"/>
      <c r="P112" s="1333">
        <v>1000</v>
      </c>
      <c r="Q112" s="1333">
        <v>9.9999999999999995E-7</v>
      </c>
      <c r="R112" s="1333" t="s">
        <v>101</v>
      </c>
      <c r="S112" s="1333"/>
      <c r="T112" s="1333">
        <f t="shared" si="58"/>
        <v>0</v>
      </c>
      <c r="U112" s="1333" t="s">
        <v>101</v>
      </c>
    </row>
    <row r="113" spans="1:21" ht="13">
      <c r="A113" s="1287"/>
      <c r="B113" s="1294" t="s">
        <v>527</v>
      </c>
      <c r="C113" s="1294"/>
      <c r="D113" s="1294"/>
      <c r="E113" s="1294"/>
      <c r="F113" s="1293" t="s">
        <v>523</v>
      </c>
      <c r="G113" s="1293" t="s">
        <v>371</v>
      </c>
      <c r="H113" s="1289"/>
      <c r="I113" s="1294" t="s">
        <v>527</v>
      </c>
      <c r="J113" s="1294"/>
      <c r="K113" s="1294"/>
      <c r="L113" s="1294"/>
      <c r="M113" s="1293" t="s">
        <v>523</v>
      </c>
      <c r="N113" s="1293" t="s">
        <v>371</v>
      </c>
      <c r="O113" s="1289"/>
      <c r="P113" s="1294" t="str">
        <f>B113</f>
        <v>Main-PE</v>
      </c>
      <c r="Q113" s="1294"/>
      <c r="R113" s="1294"/>
      <c r="S113" s="1294"/>
      <c r="T113" s="1293" t="s">
        <v>523</v>
      </c>
      <c r="U113" s="1293" t="s">
        <v>371</v>
      </c>
    </row>
    <row r="114" spans="1:21" ht="14.5">
      <c r="A114" s="1287"/>
      <c r="B114" s="664" t="s">
        <v>528</v>
      </c>
      <c r="C114" s="663">
        <f>C98</f>
        <v>2021</v>
      </c>
      <c r="D114" s="663" t="str">
        <f>D98</f>
        <v>-</v>
      </c>
      <c r="E114" s="663">
        <f>E98</f>
        <v>2016</v>
      </c>
      <c r="F114" s="1293"/>
      <c r="G114" s="1293"/>
      <c r="H114" s="1289"/>
      <c r="I114" s="664" t="s">
        <v>528</v>
      </c>
      <c r="J114" s="663" t="str">
        <f>J98</f>
        <v>-</v>
      </c>
      <c r="K114" s="663" t="str">
        <f>K98</f>
        <v>-</v>
      </c>
      <c r="L114" s="663">
        <f>L98</f>
        <v>2016</v>
      </c>
      <c r="M114" s="1293"/>
      <c r="N114" s="1293"/>
      <c r="O114" s="1289"/>
      <c r="P114" s="664" t="s">
        <v>528</v>
      </c>
      <c r="Q114" s="663" t="str">
        <f>Q98</f>
        <v>-</v>
      </c>
      <c r="R114" s="663" t="str">
        <f>R98</f>
        <v>-</v>
      </c>
      <c r="S114" s="663">
        <f>S98</f>
        <v>2016</v>
      </c>
      <c r="T114" s="1293"/>
      <c r="U114" s="1293"/>
    </row>
    <row r="115" spans="1:21">
      <c r="A115" s="1287"/>
      <c r="B115" s="1333">
        <v>10</v>
      </c>
      <c r="C115" s="1333">
        <v>9.9999999999999995E-7</v>
      </c>
      <c r="D115" s="1333" t="s">
        <v>101</v>
      </c>
      <c r="E115" s="1333"/>
      <c r="F115" s="1333">
        <f>0.5*(MAX(C115:E115)-MIN(C115:E115))</f>
        <v>0</v>
      </c>
      <c r="G115" s="1333" t="s">
        <v>101</v>
      </c>
      <c r="H115" s="1289"/>
      <c r="I115" s="1333">
        <v>10</v>
      </c>
      <c r="J115" s="1333">
        <v>9.9999999999999995E-7</v>
      </c>
      <c r="K115" s="1333" t="s">
        <v>101</v>
      </c>
      <c r="L115" s="1333"/>
      <c r="M115" s="1333">
        <f>0.5*(MAX(J115:L115)-MIN(J115:L115))</f>
        <v>0</v>
      </c>
      <c r="N115" s="1333" t="s">
        <v>101</v>
      </c>
      <c r="O115" s="1289"/>
      <c r="P115" s="1333">
        <v>10</v>
      </c>
      <c r="Q115" s="1333">
        <v>9.9999999999999995E-7</v>
      </c>
      <c r="R115" s="1333" t="s">
        <v>101</v>
      </c>
      <c r="S115" s="1333"/>
      <c r="T115" s="1333">
        <f>0.5*(MAX(Q115:S115)-MIN(Q115:S115))</f>
        <v>0</v>
      </c>
      <c r="U115" s="1333" t="s">
        <v>101</v>
      </c>
    </row>
    <row r="116" spans="1:21">
      <c r="A116" s="1287"/>
      <c r="B116" s="1333">
        <v>20</v>
      </c>
      <c r="C116" s="1333">
        <v>0.1</v>
      </c>
      <c r="D116" s="1333" t="s">
        <v>101</v>
      </c>
      <c r="E116" s="1333"/>
      <c r="F116" s="1333">
        <f t="shared" ref="F116:F118" si="59">0.5*(MAX(C116:E116)-MIN(C116:E116))</f>
        <v>0</v>
      </c>
      <c r="G116" s="1333" t="s">
        <v>101</v>
      </c>
      <c r="H116" s="1289"/>
      <c r="I116" s="1333">
        <v>20</v>
      </c>
      <c r="J116" s="1333">
        <v>9.9999999999999995E-7</v>
      </c>
      <c r="K116" s="1333" t="s">
        <v>101</v>
      </c>
      <c r="L116" s="1333"/>
      <c r="M116" s="1333">
        <f t="shared" ref="M116:M118" si="60">0.5*(MAX(J116:L116)-MIN(J116:L116))</f>
        <v>0</v>
      </c>
      <c r="N116" s="1333" t="s">
        <v>101</v>
      </c>
      <c r="O116" s="1289"/>
      <c r="P116" s="1333">
        <v>20</v>
      </c>
      <c r="Q116" s="1333">
        <v>9.9999999999999995E-7</v>
      </c>
      <c r="R116" s="1333" t="s">
        <v>101</v>
      </c>
      <c r="S116" s="1333"/>
      <c r="T116" s="1333">
        <f t="shared" ref="T116:T118" si="61">0.5*(MAX(Q116:S116)-MIN(Q116:S116))</f>
        <v>0</v>
      </c>
      <c r="U116" s="1333" t="s">
        <v>101</v>
      </c>
    </row>
    <row r="117" spans="1:21">
      <c r="A117" s="1287"/>
      <c r="B117" s="1333">
        <v>50</v>
      </c>
      <c r="C117" s="1333">
        <v>0.4</v>
      </c>
      <c r="D117" s="1333" t="s">
        <v>101</v>
      </c>
      <c r="E117" s="1333"/>
      <c r="F117" s="1333">
        <f t="shared" si="59"/>
        <v>0</v>
      </c>
      <c r="G117" s="1333" t="s">
        <v>101</v>
      </c>
      <c r="H117" s="1289"/>
      <c r="I117" s="1333">
        <v>50</v>
      </c>
      <c r="J117" s="1333">
        <v>9.9999999999999995E-7</v>
      </c>
      <c r="K117" s="1333" t="s">
        <v>101</v>
      </c>
      <c r="L117" s="1333"/>
      <c r="M117" s="1333">
        <f t="shared" si="60"/>
        <v>0</v>
      </c>
      <c r="N117" s="1333" t="s">
        <v>101</v>
      </c>
      <c r="O117" s="1289"/>
      <c r="P117" s="1333">
        <v>50</v>
      </c>
      <c r="Q117" s="1333">
        <v>9.9999999999999995E-7</v>
      </c>
      <c r="R117" s="1333" t="s">
        <v>101</v>
      </c>
      <c r="S117" s="1333"/>
      <c r="T117" s="1333">
        <f t="shared" si="61"/>
        <v>0</v>
      </c>
      <c r="U117" s="1333" t="s">
        <v>101</v>
      </c>
    </row>
    <row r="118" spans="1:21">
      <c r="A118" s="1287"/>
      <c r="B118" s="1333">
        <v>100</v>
      </c>
      <c r="C118" s="1333">
        <v>1.4</v>
      </c>
      <c r="D118" s="1333" t="s">
        <v>101</v>
      </c>
      <c r="E118" s="1333"/>
      <c r="F118" s="1333">
        <f t="shared" si="59"/>
        <v>0</v>
      </c>
      <c r="G118" s="1333" t="s">
        <v>101</v>
      </c>
      <c r="H118" s="1289"/>
      <c r="I118" s="1333">
        <v>100</v>
      </c>
      <c r="J118" s="1333">
        <v>9.9999999999999995E-7</v>
      </c>
      <c r="K118" s="1333" t="s">
        <v>101</v>
      </c>
      <c r="L118" s="1333"/>
      <c r="M118" s="1333">
        <f t="shared" si="60"/>
        <v>0</v>
      </c>
      <c r="N118" s="1333" t="s">
        <v>101</v>
      </c>
      <c r="O118" s="1289"/>
      <c r="P118" s="1333">
        <v>100</v>
      </c>
      <c r="Q118" s="1333">
        <v>9.9999999999999995E-7</v>
      </c>
      <c r="R118" s="1333" t="s">
        <v>101</v>
      </c>
      <c r="S118" s="1333"/>
      <c r="T118" s="1333">
        <f t="shared" si="61"/>
        <v>0</v>
      </c>
      <c r="U118" s="1333" t="s">
        <v>101</v>
      </c>
    </row>
    <row r="119" spans="1:21" ht="13" customHeight="1">
      <c r="A119" s="1287"/>
      <c r="B119" s="1294" t="s">
        <v>529</v>
      </c>
      <c r="C119" s="1294"/>
      <c r="D119" s="1294"/>
      <c r="E119" s="1294"/>
      <c r="F119" s="1293" t="s">
        <v>523</v>
      </c>
      <c r="G119" s="1293" t="s">
        <v>371</v>
      </c>
      <c r="H119" s="1289"/>
      <c r="I119" s="1294" t="s">
        <v>529</v>
      </c>
      <c r="J119" s="1294"/>
      <c r="K119" s="1294"/>
      <c r="L119" s="1294"/>
      <c r="M119" s="1293" t="s">
        <v>523</v>
      </c>
      <c r="N119" s="1293" t="s">
        <v>371</v>
      </c>
      <c r="O119" s="1289"/>
      <c r="P119" s="1294" t="str">
        <f>B119</f>
        <v>Resistance</v>
      </c>
      <c r="Q119" s="1294"/>
      <c r="R119" s="1294"/>
      <c r="S119" s="1294"/>
      <c r="T119" s="1293" t="s">
        <v>523</v>
      </c>
      <c r="U119" s="1293" t="s">
        <v>371</v>
      </c>
    </row>
    <row r="120" spans="1:21" ht="14.5">
      <c r="A120" s="1287"/>
      <c r="B120" s="664" t="s">
        <v>530</v>
      </c>
      <c r="C120" s="663">
        <f>C98</f>
        <v>2021</v>
      </c>
      <c r="D120" s="663" t="str">
        <f>D98</f>
        <v>-</v>
      </c>
      <c r="E120" s="663">
        <f>E98</f>
        <v>2016</v>
      </c>
      <c r="F120" s="1293"/>
      <c r="G120" s="1293"/>
      <c r="H120" s="1289"/>
      <c r="I120" s="664" t="s">
        <v>530</v>
      </c>
      <c r="J120" s="663" t="str">
        <f>J98</f>
        <v>-</v>
      </c>
      <c r="K120" s="663" t="str">
        <f>K98</f>
        <v>-</v>
      </c>
      <c r="L120" s="663">
        <f>L98</f>
        <v>2016</v>
      </c>
      <c r="M120" s="1293"/>
      <c r="N120" s="1293"/>
      <c r="O120" s="1289"/>
      <c r="P120" s="664" t="s">
        <v>530</v>
      </c>
      <c r="Q120" s="663" t="str">
        <f>Q98</f>
        <v>-</v>
      </c>
      <c r="R120" s="663" t="str">
        <f>R98</f>
        <v>-</v>
      </c>
      <c r="S120" s="663">
        <f>S98</f>
        <v>2016</v>
      </c>
      <c r="T120" s="1293"/>
      <c r="U120" s="1293"/>
    </row>
    <row r="121" spans="1:21">
      <c r="A121" s="1287"/>
      <c r="B121" s="1333">
        <v>0</v>
      </c>
      <c r="C121" s="1333">
        <v>9.9999999999999995E-7</v>
      </c>
      <c r="D121" s="1333" t="s">
        <v>101</v>
      </c>
      <c r="E121" s="1333"/>
      <c r="F121" s="1333">
        <f>0.5*(MAX(C121:E121)-MIN(C121:E121))</f>
        <v>0</v>
      </c>
      <c r="G121" s="1333" t="s">
        <v>101</v>
      </c>
      <c r="H121" s="1289"/>
      <c r="I121" s="1333">
        <v>0.01</v>
      </c>
      <c r="J121" s="1333">
        <v>9.9999999999999995E-7</v>
      </c>
      <c r="K121" s="1333" t="s">
        <v>101</v>
      </c>
      <c r="L121" s="1333"/>
      <c r="M121" s="1333">
        <f>0.5*(MAX(J121:L121)-MIN(J121:L121))</f>
        <v>0</v>
      </c>
      <c r="N121" s="1333" t="s">
        <v>101</v>
      </c>
      <c r="O121" s="1289"/>
      <c r="P121" s="1333">
        <v>0.01</v>
      </c>
      <c r="Q121" s="1333">
        <v>9.9999999999999995E-7</v>
      </c>
      <c r="R121" s="1333" t="s">
        <v>101</v>
      </c>
      <c r="S121" s="1333"/>
      <c r="T121" s="1333">
        <f>0.5*(MAX(Q121:S121)-MIN(Q121:S121))</f>
        <v>0</v>
      </c>
      <c r="U121" s="1333" t="s">
        <v>101</v>
      </c>
    </row>
    <row r="122" spans="1:21">
      <c r="A122" s="1287"/>
      <c r="B122" s="1333">
        <v>0.1</v>
      </c>
      <c r="C122" s="1333">
        <v>-2E-3</v>
      </c>
      <c r="D122" s="1333" t="s">
        <v>101</v>
      </c>
      <c r="E122" s="1333"/>
      <c r="F122" s="1333">
        <f t="shared" ref="F122:F124" si="62">0.5*(MAX(C122:E122)-MIN(C122:E122))</f>
        <v>0</v>
      </c>
      <c r="G122" s="1333" t="s">
        <v>101</v>
      </c>
      <c r="H122" s="1289"/>
      <c r="I122" s="1333">
        <v>0.1</v>
      </c>
      <c r="J122" s="1333">
        <v>9.9999999999999995E-7</v>
      </c>
      <c r="K122" s="1333" t="s">
        <v>101</v>
      </c>
      <c r="L122" s="1333"/>
      <c r="M122" s="1333">
        <f t="shared" ref="M122:M124" si="63">0.5*(MAX(J122:L122)-MIN(J122:L122))</f>
        <v>0</v>
      </c>
      <c r="N122" s="1333" t="s">
        <v>101</v>
      </c>
      <c r="O122" s="1289"/>
      <c r="P122" s="1333">
        <v>0.1</v>
      </c>
      <c r="Q122" s="1333">
        <v>9.9999999999999995E-7</v>
      </c>
      <c r="R122" s="1333" t="s">
        <v>101</v>
      </c>
      <c r="S122" s="1333"/>
      <c r="T122" s="1333">
        <f t="shared" ref="T122:T124" si="64">0.5*(MAX(Q122:S122)-MIN(Q122:S122))</f>
        <v>0</v>
      </c>
      <c r="U122" s="1333" t="s">
        <v>101</v>
      </c>
    </row>
    <row r="123" spans="1:21">
      <c r="A123" s="1287"/>
      <c r="B123" s="1333">
        <v>1</v>
      </c>
      <c r="C123" s="1333">
        <v>-8.0000000000000002E-3</v>
      </c>
      <c r="D123" s="1333" t="s">
        <v>101</v>
      </c>
      <c r="E123" s="1333"/>
      <c r="F123" s="1333">
        <f t="shared" si="62"/>
        <v>0</v>
      </c>
      <c r="G123" s="1333" t="s">
        <v>101</v>
      </c>
      <c r="H123" s="1289"/>
      <c r="I123" s="1333">
        <v>1</v>
      </c>
      <c r="J123" s="1333">
        <v>9.9999999999999995E-7</v>
      </c>
      <c r="K123" s="1333" t="s">
        <v>101</v>
      </c>
      <c r="L123" s="1333"/>
      <c r="M123" s="1333">
        <f t="shared" si="63"/>
        <v>0</v>
      </c>
      <c r="N123" s="1333" t="s">
        <v>101</v>
      </c>
      <c r="O123" s="1289"/>
      <c r="P123" s="1333">
        <v>1</v>
      </c>
      <c r="Q123" s="1333">
        <v>9.9999999999999995E-7</v>
      </c>
      <c r="R123" s="1333" t="s">
        <v>101</v>
      </c>
      <c r="S123" s="1333"/>
      <c r="T123" s="1333">
        <f t="shared" si="64"/>
        <v>0</v>
      </c>
      <c r="U123" s="1333" t="s">
        <v>101</v>
      </c>
    </row>
    <row r="124" spans="1:21">
      <c r="A124" s="1287"/>
      <c r="B124" s="1333">
        <v>2</v>
      </c>
      <c r="C124" s="1333">
        <v>-7.0000000000000001E-3</v>
      </c>
      <c r="D124" s="1333" t="s">
        <v>101</v>
      </c>
      <c r="E124" s="1333"/>
      <c r="F124" s="1333">
        <f t="shared" si="62"/>
        <v>0</v>
      </c>
      <c r="G124" s="1333" t="s">
        <v>101</v>
      </c>
      <c r="H124" s="1289"/>
      <c r="I124" s="1333">
        <v>2</v>
      </c>
      <c r="J124" s="1333">
        <v>9.9999999999999995E-7</v>
      </c>
      <c r="K124" s="1333" t="s">
        <v>101</v>
      </c>
      <c r="L124" s="1333"/>
      <c r="M124" s="1333">
        <f t="shared" si="63"/>
        <v>0</v>
      </c>
      <c r="N124" s="1333" t="s">
        <v>101</v>
      </c>
      <c r="O124" s="1289"/>
      <c r="P124" s="1333">
        <v>2</v>
      </c>
      <c r="Q124" s="1333">
        <v>9.9999999999999995E-7</v>
      </c>
      <c r="R124" s="1333" t="s">
        <v>101</v>
      </c>
      <c r="S124" s="1333"/>
      <c r="T124" s="1333">
        <f t="shared" si="64"/>
        <v>0</v>
      </c>
      <c r="U124" s="1333" t="s">
        <v>101</v>
      </c>
    </row>
    <row r="125" spans="1:21" ht="15.5">
      <c r="A125" s="1299"/>
      <c r="B125" s="1300"/>
      <c r="C125" s="1300"/>
      <c r="D125" s="1300"/>
      <c r="E125" s="1300"/>
      <c r="F125" s="1300"/>
      <c r="G125" s="1300"/>
      <c r="H125" s="1300"/>
      <c r="I125" s="1300"/>
      <c r="J125" s="1300"/>
      <c r="K125" s="1300"/>
      <c r="L125" s="1300"/>
      <c r="M125" s="1300"/>
      <c r="N125" s="1300"/>
      <c r="O125" s="1300"/>
      <c r="P125" s="1300"/>
      <c r="Q125" s="1300"/>
      <c r="R125" s="1300"/>
      <c r="S125" s="1300"/>
      <c r="T125" s="1300"/>
      <c r="U125" s="1300"/>
    </row>
    <row r="126" spans="1:21" ht="15.5">
      <c r="A126" s="1299"/>
      <c r="B126" s="1300"/>
      <c r="C126" s="1300"/>
      <c r="D126" s="1300"/>
      <c r="E126" s="1300"/>
      <c r="F126" s="1300"/>
      <c r="G126" s="1300"/>
      <c r="H126" s="1300"/>
      <c r="I126" s="1300"/>
      <c r="J126" s="1300"/>
      <c r="K126" s="1300"/>
      <c r="L126" s="1300"/>
      <c r="M126" s="1300"/>
      <c r="N126" s="1300"/>
      <c r="O126" s="1300"/>
      <c r="P126" s="1300"/>
      <c r="Q126" s="1300"/>
      <c r="R126" s="1300"/>
      <c r="S126" s="1300"/>
      <c r="T126" s="1300"/>
      <c r="U126" s="1300"/>
    </row>
    <row r="127" spans="1:21">
      <c r="A127" s="417"/>
      <c r="B127" s="280"/>
      <c r="C127" s="280"/>
      <c r="D127" s="418"/>
      <c r="E127" s="418"/>
      <c r="F127" s="418"/>
      <c r="G127" s="418"/>
      <c r="H127" s="418"/>
      <c r="I127" s="418"/>
      <c r="J127" s="418"/>
      <c r="K127" s="418"/>
      <c r="L127" s="418"/>
      <c r="M127" s="418"/>
      <c r="N127" s="418"/>
      <c r="O127" s="418"/>
      <c r="P127" s="418"/>
      <c r="Q127" s="418"/>
    </row>
    <row r="128" spans="1:21" ht="14">
      <c r="A128" s="1301" t="s">
        <v>545</v>
      </c>
      <c r="B128" s="1302"/>
      <c r="C128" s="1303" t="s">
        <v>521</v>
      </c>
      <c r="D128" s="1303"/>
      <c r="E128" s="1303"/>
      <c r="F128" s="1303"/>
      <c r="G128" s="1303"/>
      <c r="H128" s="1303"/>
      <c r="J128" s="1301" t="str">
        <f>A128</f>
        <v>No. Urut</v>
      </c>
      <c r="K128" s="1302"/>
      <c r="L128" s="1304" t="s">
        <v>521</v>
      </c>
      <c r="M128" s="1305"/>
      <c r="N128" s="1305"/>
      <c r="O128" s="1306"/>
      <c r="P128" s="534"/>
      <c r="Q128" s="534"/>
    </row>
    <row r="129" spans="1:17" ht="13" customHeight="1">
      <c r="A129" s="1301"/>
      <c r="B129" s="1302"/>
      <c r="C129" s="1307" t="str">
        <f>B4</f>
        <v>Setting VAC</v>
      </c>
      <c r="D129" s="1307"/>
      <c r="E129" s="1307"/>
      <c r="F129" s="1307"/>
      <c r="G129" s="514" t="s">
        <v>523</v>
      </c>
      <c r="H129" s="514" t="s">
        <v>371</v>
      </c>
      <c r="J129" s="1301"/>
      <c r="K129" s="1302"/>
      <c r="L129" s="1297" t="str">
        <f>B12</f>
        <v>Current Leakage</v>
      </c>
      <c r="M129" s="1297"/>
      <c r="N129" s="1297"/>
      <c r="O129" s="1297"/>
      <c r="P129" s="514" t="s">
        <v>523</v>
      </c>
      <c r="Q129" s="514" t="s">
        <v>371</v>
      </c>
    </row>
    <row r="130" spans="1:17" ht="14">
      <c r="A130" s="1301"/>
      <c r="B130" s="1302"/>
      <c r="C130" s="535" t="s">
        <v>524</v>
      </c>
      <c r="D130" s="514"/>
      <c r="E130" s="514"/>
      <c r="F130" s="321"/>
      <c r="G130" s="514"/>
      <c r="H130" s="514"/>
      <c r="J130" s="1301"/>
      <c r="K130" s="1302"/>
      <c r="L130" s="535" t="s">
        <v>526</v>
      </c>
      <c r="M130" s="514"/>
      <c r="N130" s="514"/>
      <c r="O130" s="321"/>
      <c r="P130" s="514"/>
      <c r="Q130" s="514"/>
    </row>
    <row r="131" spans="1:17">
      <c r="A131" s="1298" t="s">
        <v>540</v>
      </c>
      <c r="B131" s="513">
        <v>1</v>
      </c>
      <c r="C131" s="513">
        <f t="shared" ref="C131:H131" si="65">B6</f>
        <v>150</v>
      </c>
      <c r="D131" s="513">
        <f t="shared" si="65"/>
        <v>0.31</v>
      </c>
      <c r="E131" s="513">
        <f t="shared" si="65"/>
        <v>0.76</v>
      </c>
      <c r="F131" s="513">
        <f t="shared" si="65"/>
        <v>0</v>
      </c>
      <c r="G131" s="513">
        <f t="shared" si="65"/>
        <v>0.22500000000000001</v>
      </c>
      <c r="H131" s="513">
        <f t="shared" si="65"/>
        <v>1.8</v>
      </c>
      <c r="J131" s="1298" t="s">
        <v>540</v>
      </c>
      <c r="K131" s="513">
        <v>1</v>
      </c>
      <c r="L131" s="513">
        <f t="shared" ref="L131:Q131" si="66">B14</f>
        <v>0</v>
      </c>
      <c r="M131" s="513">
        <f t="shared" si="66"/>
        <v>9.9999999999999995E-7</v>
      </c>
      <c r="N131" s="513">
        <f t="shared" si="66"/>
        <v>9.9999999999999995E-7</v>
      </c>
      <c r="O131" s="513">
        <f t="shared" si="66"/>
        <v>0</v>
      </c>
      <c r="P131" s="513">
        <f t="shared" si="66"/>
        <v>0</v>
      </c>
      <c r="Q131" s="513">
        <f t="shared" si="66"/>
        <v>0</v>
      </c>
    </row>
    <row r="132" spans="1:17">
      <c r="A132" s="1298"/>
      <c r="B132" s="513">
        <v>2</v>
      </c>
      <c r="C132" s="513">
        <f t="shared" ref="C132:H132" si="67">I6</f>
        <v>150</v>
      </c>
      <c r="D132" s="513">
        <f t="shared" si="67"/>
        <v>0.15</v>
      </c>
      <c r="E132" s="513">
        <f t="shared" si="67"/>
        <v>0.23</v>
      </c>
      <c r="F132" s="513">
        <f t="shared" si="67"/>
        <v>0</v>
      </c>
      <c r="G132" s="513">
        <f t="shared" si="67"/>
        <v>4.0000000000000008E-2</v>
      </c>
      <c r="H132" s="513">
        <f t="shared" si="67"/>
        <v>1.8</v>
      </c>
      <c r="J132" s="1298"/>
      <c r="K132" s="513">
        <v>2</v>
      </c>
      <c r="L132" s="513">
        <f t="shared" ref="L132:Q132" si="68">I14</f>
        <v>0</v>
      </c>
      <c r="M132" s="513">
        <f t="shared" si="68"/>
        <v>9.9999999999999995E-7</v>
      </c>
      <c r="N132" s="513">
        <f t="shared" si="68"/>
        <v>9.9999999999999995E-7</v>
      </c>
      <c r="O132" s="513">
        <f t="shared" si="68"/>
        <v>0</v>
      </c>
      <c r="P132" s="513">
        <f t="shared" si="68"/>
        <v>0</v>
      </c>
      <c r="Q132" s="513">
        <f t="shared" si="68"/>
        <v>0.3</v>
      </c>
    </row>
    <row r="133" spans="1:17">
      <c r="A133" s="1298"/>
      <c r="B133" s="513">
        <v>3</v>
      </c>
      <c r="C133" s="513">
        <f t="shared" ref="C133:H133" si="69">P6</f>
        <v>150</v>
      </c>
      <c r="D133" s="513">
        <f t="shared" si="69"/>
        <v>0.06</v>
      </c>
      <c r="E133" s="513">
        <f t="shared" si="69"/>
        <v>-1.43</v>
      </c>
      <c r="F133" s="513">
        <f t="shared" si="69"/>
        <v>-1.6</v>
      </c>
      <c r="G133" s="513">
        <f t="shared" si="69"/>
        <v>0.83000000000000007</v>
      </c>
      <c r="H133" s="513">
        <f t="shared" si="69"/>
        <v>1.8</v>
      </c>
      <c r="J133" s="1298"/>
      <c r="K133" s="513">
        <v>3</v>
      </c>
      <c r="L133" s="513">
        <f t="shared" ref="L133:Q133" si="70">P14</f>
        <v>9.9999999999999995E-7</v>
      </c>
      <c r="M133" s="513">
        <f t="shared" si="70"/>
        <v>0</v>
      </c>
      <c r="N133" s="513">
        <f t="shared" si="70"/>
        <v>9.9999999999999995E-7</v>
      </c>
      <c r="O133" s="513">
        <f t="shared" si="70"/>
        <v>9.9999999999999995E-7</v>
      </c>
      <c r="P133" s="513">
        <f t="shared" si="70"/>
        <v>4.9999999999999998E-7</v>
      </c>
      <c r="Q133" s="513">
        <f t="shared" si="70"/>
        <v>5.8999999999999999E-9</v>
      </c>
    </row>
    <row r="134" spans="1:17">
      <c r="A134" s="1298"/>
      <c r="B134" s="513">
        <v>4</v>
      </c>
      <c r="C134" s="513">
        <f t="shared" ref="C134:H134" si="71">B37</f>
        <v>150</v>
      </c>
      <c r="D134" s="513">
        <f t="shared" si="71"/>
        <v>-0.05</v>
      </c>
      <c r="E134" s="513">
        <f t="shared" si="71"/>
        <v>0.11</v>
      </c>
      <c r="F134" s="513">
        <f t="shared" si="71"/>
        <v>0</v>
      </c>
      <c r="G134" s="513">
        <f t="shared" si="71"/>
        <v>0.08</v>
      </c>
      <c r="H134" s="513">
        <f t="shared" si="71"/>
        <v>1.8</v>
      </c>
      <c r="J134" s="1298"/>
      <c r="K134" s="513">
        <v>4</v>
      </c>
      <c r="L134" s="513">
        <f t="shared" ref="L134:Q134" si="72">B45</f>
        <v>0</v>
      </c>
      <c r="M134" s="513">
        <f t="shared" si="72"/>
        <v>9.9999999999999995E-7</v>
      </c>
      <c r="N134" s="513">
        <f t="shared" si="72"/>
        <v>9.9999999999999995E-7</v>
      </c>
      <c r="O134" s="513">
        <f t="shared" si="72"/>
        <v>0</v>
      </c>
      <c r="P134" s="513">
        <f t="shared" si="72"/>
        <v>0</v>
      </c>
      <c r="Q134" s="513">
        <f t="shared" si="72"/>
        <v>0</v>
      </c>
    </row>
    <row r="135" spans="1:17">
      <c r="A135" s="1298"/>
      <c r="B135" s="513">
        <v>5</v>
      </c>
      <c r="C135" s="513">
        <f t="shared" ref="C135:H135" si="73">I37</f>
        <v>150</v>
      </c>
      <c r="D135" s="513">
        <f t="shared" si="73"/>
        <v>0.25</v>
      </c>
      <c r="E135" s="513">
        <f t="shared" si="73"/>
        <v>0.02</v>
      </c>
      <c r="F135" s="513">
        <f t="shared" si="73"/>
        <v>0</v>
      </c>
      <c r="G135" s="513">
        <f t="shared" si="73"/>
        <v>0.115</v>
      </c>
      <c r="H135" s="513">
        <f t="shared" si="73"/>
        <v>1.8</v>
      </c>
      <c r="J135" s="1298"/>
      <c r="K135" s="513">
        <v>5</v>
      </c>
      <c r="L135" s="513">
        <f t="shared" ref="L135:Q135" si="74">I45</f>
        <v>0</v>
      </c>
      <c r="M135" s="513">
        <f t="shared" si="74"/>
        <v>9.9999999999999995E-7</v>
      </c>
      <c r="N135" s="513">
        <f t="shared" si="74"/>
        <v>9.9999999999999995E-7</v>
      </c>
      <c r="O135" s="513">
        <f t="shared" si="74"/>
        <v>0</v>
      </c>
      <c r="P135" s="513">
        <f t="shared" si="74"/>
        <v>0</v>
      </c>
      <c r="Q135" s="513">
        <f t="shared" si="74"/>
        <v>0</v>
      </c>
    </row>
    <row r="136" spans="1:17">
      <c r="A136" s="1298"/>
      <c r="B136" s="513">
        <v>6</v>
      </c>
      <c r="C136" s="513">
        <f t="shared" ref="C136:H136" si="75">P37</f>
        <v>150</v>
      </c>
      <c r="D136" s="513">
        <f t="shared" si="75"/>
        <v>0.14000000000000001</v>
      </c>
      <c r="E136" s="513">
        <f t="shared" si="75"/>
        <v>0.15</v>
      </c>
      <c r="F136" s="513">
        <f t="shared" si="75"/>
        <v>-0.15</v>
      </c>
      <c r="G136" s="513">
        <f t="shared" si="75"/>
        <v>0.15</v>
      </c>
      <c r="H136" s="513">
        <f t="shared" si="75"/>
        <v>1.8</v>
      </c>
      <c r="J136" s="1298"/>
      <c r="K136" s="513">
        <v>6</v>
      </c>
      <c r="L136" s="513">
        <f t="shared" ref="L136:Q136" si="76">P45</f>
        <v>0</v>
      </c>
      <c r="M136" s="513">
        <f t="shared" si="76"/>
        <v>9.9999999999999995E-7</v>
      </c>
      <c r="N136" s="513">
        <f t="shared" si="76"/>
        <v>9.9999999999999995E-7</v>
      </c>
      <c r="O136" s="513">
        <f t="shared" si="76"/>
        <v>9.9999999999999995E-7</v>
      </c>
      <c r="P136" s="513">
        <f t="shared" si="76"/>
        <v>0</v>
      </c>
      <c r="Q136" s="513">
        <f t="shared" si="76"/>
        <v>0</v>
      </c>
    </row>
    <row r="137" spans="1:17">
      <c r="A137" s="1298"/>
      <c r="B137" s="513">
        <v>7</v>
      </c>
      <c r="C137" s="513">
        <f t="shared" ref="C137:H137" si="77">B68</f>
        <v>150</v>
      </c>
      <c r="D137" s="513">
        <f t="shared" si="77"/>
        <v>0.14000000000000001</v>
      </c>
      <c r="E137" s="513">
        <f t="shared" si="77"/>
        <v>0.36</v>
      </c>
      <c r="F137" s="513">
        <f t="shared" si="77"/>
        <v>0.21</v>
      </c>
      <c r="G137" s="513">
        <f t="shared" si="77"/>
        <v>0.10999999999999999</v>
      </c>
      <c r="H137" s="513">
        <f t="shared" si="77"/>
        <v>1.8</v>
      </c>
      <c r="J137" s="1298"/>
      <c r="K137" s="513">
        <v>7</v>
      </c>
      <c r="L137" s="513">
        <f t="shared" ref="L137:Q137" si="78">B76</f>
        <v>0</v>
      </c>
      <c r="M137" s="513">
        <f t="shared" si="78"/>
        <v>9.9999999999999995E-7</v>
      </c>
      <c r="N137" s="513">
        <f t="shared" si="78"/>
        <v>9.9999999999999995E-7</v>
      </c>
      <c r="O137" s="513">
        <f t="shared" si="78"/>
        <v>9.9999999999999995E-7</v>
      </c>
      <c r="P137" s="513">
        <f t="shared" si="78"/>
        <v>0</v>
      </c>
      <c r="Q137" s="513">
        <f t="shared" si="78"/>
        <v>0</v>
      </c>
    </row>
    <row r="138" spans="1:17">
      <c r="A138" s="1298"/>
      <c r="B138" s="513">
        <v>8</v>
      </c>
      <c r="C138" s="513">
        <f t="shared" ref="C138:H138" si="79">I68</f>
        <v>150</v>
      </c>
      <c r="D138" s="513">
        <f t="shared" si="79"/>
        <v>-0.5</v>
      </c>
      <c r="E138" s="513">
        <f t="shared" si="79"/>
        <v>-0.17</v>
      </c>
      <c r="F138" s="513">
        <f t="shared" si="79"/>
        <v>-0.24</v>
      </c>
      <c r="G138" s="513">
        <f t="shared" si="79"/>
        <v>0.16499999999999998</v>
      </c>
      <c r="H138" s="513">
        <f t="shared" si="79"/>
        <v>1.8</v>
      </c>
      <c r="J138" s="1298"/>
      <c r="K138" s="513">
        <v>8</v>
      </c>
      <c r="L138" s="513">
        <f t="shared" ref="L138:Q138" si="80">I76</f>
        <v>0</v>
      </c>
      <c r="M138" s="513">
        <f t="shared" si="80"/>
        <v>0</v>
      </c>
      <c r="N138" s="513">
        <f t="shared" si="80"/>
        <v>9.9999999999999995E-7</v>
      </c>
      <c r="O138" s="513">
        <f t="shared" si="80"/>
        <v>9.9999999999999995E-7</v>
      </c>
      <c r="P138" s="513">
        <f t="shared" si="80"/>
        <v>4.9999999999999998E-7</v>
      </c>
      <c r="Q138" s="513">
        <f t="shared" si="80"/>
        <v>0</v>
      </c>
    </row>
    <row r="139" spans="1:17">
      <c r="A139" s="1298"/>
      <c r="B139" s="513">
        <v>9</v>
      </c>
      <c r="C139" s="513">
        <f t="shared" ref="C139:H139" si="81">P68</f>
        <v>150</v>
      </c>
      <c r="D139" s="513">
        <f t="shared" si="81"/>
        <v>-0.08</v>
      </c>
      <c r="E139" s="513">
        <f t="shared" si="81"/>
        <v>-0.08</v>
      </c>
      <c r="F139" s="513">
        <f t="shared" si="81"/>
        <v>-0.17</v>
      </c>
      <c r="G139" s="513">
        <f t="shared" si="81"/>
        <v>4.5000000000000005E-2</v>
      </c>
      <c r="H139" s="513">
        <f t="shared" si="81"/>
        <v>1.8</v>
      </c>
      <c r="J139" s="1298"/>
      <c r="K139" s="513">
        <v>9</v>
      </c>
      <c r="L139" s="513">
        <f t="shared" ref="L139:Q139" si="82">P76</f>
        <v>0</v>
      </c>
      <c r="M139" s="513">
        <f t="shared" si="82"/>
        <v>9.9999999999999995E-7</v>
      </c>
      <c r="N139" s="513">
        <f t="shared" si="82"/>
        <v>9.9999999999999995E-7</v>
      </c>
      <c r="O139" s="513">
        <f t="shared" si="82"/>
        <v>9.9999999999999995E-7</v>
      </c>
      <c r="P139" s="513">
        <f t="shared" si="82"/>
        <v>0</v>
      </c>
      <c r="Q139" s="513">
        <f t="shared" si="82"/>
        <v>0</v>
      </c>
    </row>
    <row r="140" spans="1:17">
      <c r="A140" s="1298"/>
      <c r="B140" s="513">
        <v>10</v>
      </c>
      <c r="C140" s="513">
        <f>B99</f>
        <v>150</v>
      </c>
      <c r="D140" s="513">
        <f t="shared" ref="D140:F140" si="83">C99</f>
        <v>-0.05</v>
      </c>
      <c r="E140" s="513" t="str">
        <f t="shared" si="83"/>
        <v>-</v>
      </c>
      <c r="F140" s="513">
        <f t="shared" si="83"/>
        <v>0</v>
      </c>
      <c r="G140" s="513">
        <f>F99</f>
        <v>0</v>
      </c>
      <c r="H140" s="513" t="str">
        <f>G99</f>
        <v>-</v>
      </c>
      <c r="J140" s="1298"/>
      <c r="K140" s="513">
        <v>10</v>
      </c>
      <c r="L140" s="513">
        <f t="shared" ref="L140:Q140" si="84">B107</f>
        <v>0</v>
      </c>
      <c r="M140" s="513">
        <f t="shared" si="84"/>
        <v>9.9999999999999995E-7</v>
      </c>
      <c r="N140" s="513" t="str">
        <f t="shared" si="84"/>
        <v>-</v>
      </c>
      <c r="O140" s="513">
        <f t="shared" si="84"/>
        <v>0</v>
      </c>
      <c r="P140" s="513">
        <f t="shared" si="84"/>
        <v>0</v>
      </c>
      <c r="Q140" s="513" t="str">
        <f t="shared" si="84"/>
        <v>-</v>
      </c>
    </row>
    <row r="141" spans="1:17">
      <c r="A141" s="1298"/>
      <c r="B141" s="513">
        <v>11</v>
      </c>
      <c r="C141" s="513">
        <f>I99</f>
        <v>150</v>
      </c>
      <c r="D141" s="513">
        <f t="shared" ref="D141:F141" si="85">J99</f>
        <v>9.9999999999999995E-7</v>
      </c>
      <c r="E141" s="513" t="str">
        <f t="shared" si="85"/>
        <v>-</v>
      </c>
      <c r="F141" s="513">
        <f t="shared" si="85"/>
        <v>0</v>
      </c>
      <c r="G141" s="513">
        <f>M99</f>
        <v>0</v>
      </c>
      <c r="H141" s="513" t="str">
        <f>N99</f>
        <v>-</v>
      </c>
      <c r="J141" s="1298"/>
      <c r="K141" s="513">
        <v>11</v>
      </c>
      <c r="L141" s="513">
        <f t="shared" ref="L141:Q141" si="86">I107</f>
        <v>0</v>
      </c>
      <c r="M141" s="513">
        <f t="shared" si="86"/>
        <v>9.9999999999999995E-7</v>
      </c>
      <c r="N141" s="513" t="str">
        <f t="shared" si="86"/>
        <v>-</v>
      </c>
      <c r="O141" s="513">
        <f t="shared" si="86"/>
        <v>0</v>
      </c>
      <c r="P141" s="513">
        <f t="shared" si="86"/>
        <v>0</v>
      </c>
      <c r="Q141" s="513" t="str">
        <f t="shared" si="86"/>
        <v>-</v>
      </c>
    </row>
    <row r="142" spans="1:17">
      <c r="A142" s="1298"/>
      <c r="B142" s="513">
        <v>12</v>
      </c>
      <c r="C142" s="513">
        <f>P99</f>
        <v>150</v>
      </c>
      <c r="D142" s="513">
        <f t="shared" ref="D142:F142" si="87">Q99</f>
        <v>9.9999999999999995E-7</v>
      </c>
      <c r="E142" s="513" t="str">
        <f t="shared" si="87"/>
        <v>-</v>
      </c>
      <c r="F142" s="513">
        <f t="shared" si="87"/>
        <v>0</v>
      </c>
      <c r="G142" s="513">
        <f>T99</f>
        <v>0</v>
      </c>
      <c r="H142" s="513" t="str">
        <f>U99</f>
        <v>-</v>
      </c>
      <c r="J142" s="1298"/>
      <c r="K142" s="513">
        <v>12</v>
      </c>
      <c r="L142" s="513">
        <f t="shared" ref="L142:Q142" si="88">P107</f>
        <v>0</v>
      </c>
      <c r="M142" s="513">
        <f t="shared" si="88"/>
        <v>9.9999999999999995E-7</v>
      </c>
      <c r="N142" s="513" t="str">
        <f t="shared" si="88"/>
        <v>-</v>
      </c>
      <c r="O142" s="513">
        <f t="shared" si="88"/>
        <v>0</v>
      </c>
      <c r="P142" s="513">
        <f t="shared" si="88"/>
        <v>0</v>
      </c>
      <c r="Q142" s="513" t="str">
        <f t="shared" si="88"/>
        <v>-</v>
      </c>
    </row>
    <row r="143" spans="1:17" s="328" customFormat="1" ht="13">
      <c r="A143" s="419"/>
      <c r="B143" s="419"/>
      <c r="C143" s="333"/>
      <c r="D143" s="333"/>
      <c r="E143" s="333"/>
      <c r="F143" s="420"/>
      <c r="G143" s="333"/>
      <c r="H143" s="333"/>
      <c r="J143" s="419"/>
      <c r="K143" s="419"/>
      <c r="L143" s="421"/>
      <c r="M143" s="421"/>
      <c r="N143" s="421"/>
      <c r="O143" s="420"/>
      <c r="P143" s="421"/>
      <c r="Q143" s="421"/>
    </row>
    <row r="144" spans="1:17">
      <c r="A144" s="1298" t="s">
        <v>546</v>
      </c>
      <c r="B144" s="513">
        <v>1</v>
      </c>
      <c r="C144" s="513">
        <f t="shared" ref="C144:H144" si="89">B7</f>
        <v>180</v>
      </c>
      <c r="D144" s="513">
        <f t="shared" si="89"/>
        <v>0.1</v>
      </c>
      <c r="E144" s="513">
        <f t="shared" si="89"/>
        <v>-0.03</v>
      </c>
      <c r="F144" s="513">
        <f t="shared" si="89"/>
        <v>0</v>
      </c>
      <c r="G144" s="513">
        <f t="shared" si="89"/>
        <v>6.5000000000000002E-2</v>
      </c>
      <c r="H144" s="513">
        <f t="shared" si="89"/>
        <v>2.16</v>
      </c>
      <c r="J144" s="1298" t="s">
        <v>546</v>
      </c>
      <c r="K144" s="513">
        <v>1</v>
      </c>
      <c r="L144" s="513">
        <f t="shared" ref="L144:Q144" si="90">B15</f>
        <v>50</v>
      </c>
      <c r="M144" s="513">
        <f t="shared" si="90"/>
        <v>0.1</v>
      </c>
      <c r="N144" s="513">
        <f t="shared" si="90"/>
        <v>-0.06</v>
      </c>
      <c r="O144" s="513">
        <f t="shared" si="90"/>
        <v>0</v>
      </c>
      <c r="P144" s="513">
        <f t="shared" si="90"/>
        <v>0.08</v>
      </c>
      <c r="Q144" s="513">
        <f t="shared" si="90"/>
        <v>0.29499999999999998</v>
      </c>
    </row>
    <row r="145" spans="1:17">
      <c r="A145" s="1298"/>
      <c r="B145" s="513">
        <v>2</v>
      </c>
      <c r="C145" s="513">
        <f t="shared" ref="C145:H145" si="91">I7</f>
        <v>180</v>
      </c>
      <c r="D145" s="513">
        <f t="shared" si="91"/>
        <v>0.12</v>
      </c>
      <c r="E145" s="513">
        <f t="shared" si="91"/>
        <v>-0.06</v>
      </c>
      <c r="F145" s="513">
        <f t="shared" si="91"/>
        <v>0</v>
      </c>
      <c r="G145" s="513">
        <f t="shared" si="91"/>
        <v>0.09</v>
      </c>
      <c r="H145" s="513">
        <f t="shared" si="91"/>
        <v>2.16</v>
      </c>
      <c r="J145" s="1298"/>
      <c r="K145" s="513">
        <v>2</v>
      </c>
      <c r="L145" s="513">
        <f t="shared" ref="L145:Q145" si="92">I15</f>
        <v>50</v>
      </c>
      <c r="M145" s="513">
        <f t="shared" si="92"/>
        <v>-0.08</v>
      </c>
      <c r="N145" s="513">
        <f t="shared" si="92"/>
        <v>0.1</v>
      </c>
      <c r="O145" s="513">
        <f t="shared" si="92"/>
        <v>0</v>
      </c>
      <c r="P145" s="513">
        <f t="shared" si="92"/>
        <v>0.09</v>
      </c>
      <c r="Q145" s="513">
        <f t="shared" si="92"/>
        <v>0.29499999999999998</v>
      </c>
    </row>
    <row r="146" spans="1:17">
      <c r="A146" s="1298"/>
      <c r="B146" s="513">
        <v>3</v>
      </c>
      <c r="C146" s="513">
        <f t="shared" ref="C146:H146" si="93">P7</f>
        <v>180</v>
      </c>
      <c r="D146" s="513">
        <f t="shared" si="93"/>
        <v>-1.94</v>
      </c>
      <c r="E146" s="513">
        <f t="shared" si="93"/>
        <v>-1.81</v>
      </c>
      <c r="F146" s="513">
        <f t="shared" si="93"/>
        <v>-1.9</v>
      </c>
      <c r="G146" s="513">
        <f t="shared" si="93"/>
        <v>6.4999999999999947E-2</v>
      </c>
      <c r="H146" s="513">
        <f t="shared" si="93"/>
        <v>2.16</v>
      </c>
      <c r="J146" s="1298"/>
      <c r="K146" s="513">
        <v>3</v>
      </c>
      <c r="L146" s="513">
        <f t="shared" ref="L146:Q146" si="94">P15</f>
        <v>50</v>
      </c>
      <c r="M146" s="513">
        <f t="shared" si="94"/>
        <v>2.7</v>
      </c>
      <c r="N146" s="513">
        <f t="shared" si="94"/>
        <v>9.1</v>
      </c>
      <c r="O146" s="513">
        <f t="shared" si="94"/>
        <v>-0.62</v>
      </c>
      <c r="P146" s="513">
        <f t="shared" si="94"/>
        <v>4.8599999999999994</v>
      </c>
      <c r="Q146" s="513">
        <f t="shared" si="94"/>
        <v>0.29499999999999998</v>
      </c>
    </row>
    <row r="147" spans="1:17">
      <c r="A147" s="1298"/>
      <c r="B147" s="513">
        <v>4</v>
      </c>
      <c r="C147" s="513">
        <f t="shared" ref="C147:H147" si="95">B38</f>
        <v>180</v>
      </c>
      <c r="D147" s="513">
        <f t="shared" si="95"/>
        <v>-0.04</v>
      </c>
      <c r="E147" s="513">
        <f t="shared" si="95"/>
        <v>0.03</v>
      </c>
      <c r="F147" s="513">
        <f t="shared" si="95"/>
        <v>0</v>
      </c>
      <c r="G147" s="513">
        <f t="shared" si="95"/>
        <v>3.5000000000000003E-2</v>
      </c>
      <c r="H147" s="513">
        <f t="shared" si="95"/>
        <v>2.16</v>
      </c>
      <c r="J147" s="1298"/>
      <c r="K147" s="513">
        <v>4</v>
      </c>
      <c r="L147" s="513">
        <f t="shared" ref="L147:Q147" si="96">B46</f>
        <v>50</v>
      </c>
      <c r="M147" s="513">
        <f t="shared" si="96"/>
        <v>0.4</v>
      </c>
      <c r="N147" s="513">
        <f t="shared" si="96"/>
        <v>-0.28999999999999998</v>
      </c>
      <c r="O147" s="513">
        <f t="shared" si="96"/>
        <v>0</v>
      </c>
      <c r="P147" s="513">
        <f t="shared" si="96"/>
        <v>0.34499999999999997</v>
      </c>
      <c r="Q147" s="513">
        <f t="shared" si="96"/>
        <v>0.29499999999999998</v>
      </c>
    </row>
    <row r="148" spans="1:17">
      <c r="A148" s="1298"/>
      <c r="B148" s="513">
        <v>5</v>
      </c>
      <c r="C148" s="513">
        <f t="shared" ref="C148:H148" si="97">I38</f>
        <v>180</v>
      </c>
      <c r="D148" s="513">
        <f t="shared" si="97"/>
        <v>0.09</v>
      </c>
      <c r="E148" s="513">
        <f t="shared" si="97"/>
        <v>0.1</v>
      </c>
      <c r="F148" s="513">
        <f t="shared" si="97"/>
        <v>0</v>
      </c>
      <c r="G148" s="513">
        <f t="shared" si="97"/>
        <v>5.0000000000000044E-3</v>
      </c>
      <c r="H148" s="513">
        <f t="shared" si="97"/>
        <v>2.16</v>
      </c>
      <c r="J148" s="1298"/>
      <c r="K148" s="513">
        <v>5</v>
      </c>
      <c r="L148" s="513">
        <f t="shared" ref="L148:Q148" si="98">I46</f>
        <v>50</v>
      </c>
      <c r="M148" s="513">
        <f t="shared" si="98"/>
        <v>1.2</v>
      </c>
      <c r="N148" s="513">
        <f t="shared" si="98"/>
        <v>-0.33</v>
      </c>
      <c r="O148" s="513">
        <f t="shared" si="98"/>
        <v>0</v>
      </c>
      <c r="P148" s="513">
        <f t="shared" si="98"/>
        <v>0.76500000000000001</v>
      </c>
      <c r="Q148" s="513">
        <f t="shared" si="98"/>
        <v>0.29499999999999998</v>
      </c>
    </row>
    <row r="149" spans="1:17">
      <c r="A149" s="1298"/>
      <c r="B149" s="513">
        <v>6</v>
      </c>
      <c r="C149" s="513">
        <f t="shared" ref="C149:H149" si="99">P38</f>
        <v>180</v>
      </c>
      <c r="D149" s="513">
        <f t="shared" si="99"/>
        <v>0.17</v>
      </c>
      <c r="E149" s="513">
        <f t="shared" si="99"/>
        <v>0.17</v>
      </c>
      <c r="F149" s="513">
        <f t="shared" si="99"/>
        <v>-0.11</v>
      </c>
      <c r="G149" s="513">
        <f t="shared" si="99"/>
        <v>0.14000000000000001</v>
      </c>
      <c r="H149" s="513">
        <f t="shared" si="99"/>
        <v>2.16</v>
      </c>
      <c r="J149" s="1298"/>
      <c r="K149" s="513">
        <v>6</v>
      </c>
      <c r="L149" s="513">
        <f t="shared" ref="L149:Q149" si="100">P46</f>
        <v>50</v>
      </c>
      <c r="M149" s="513">
        <f t="shared" si="100"/>
        <v>4.5</v>
      </c>
      <c r="N149" s="513">
        <f t="shared" si="100"/>
        <v>19.100000000000001</v>
      </c>
      <c r="O149" s="513">
        <f t="shared" si="100"/>
        <v>0.02</v>
      </c>
      <c r="P149" s="513">
        <f t="shared" si="100"/>
        <v>9.5400000000000009</v>
      </c>
      <c r="Q149" s="513">
        <f t="shared" si="100"/>
        <v>0.29499999999999998</v>
      </c>
    </row>
    <row r="150" spans="1:17">
      <c r="A150" s="1298"/>
      <c r="B150" s="513">
        <v>7</v>
      </c>
      <c r="C150" s="513">
        <f t="shared" ref="C150:H150" si="101">B69</f>
        <v>180</v>
      </c>
      <c r="D150" s="513">
        <f t="shared" si="101"/>
        <v>0.34</v>
      </c>
      <c r="E150" s="513">
        <f t="shared" si="101"/>
        <v>0.46</v>
      </c>
      <c r="F150" s="513">
        <f t="shared" si="101"/>
        <v>0.33</v>
      </c>
      <c r="G150" s="513">
        <f t="shared" si="101"/>
        <v>6.5000000000000002E-2</v>
      </c>
      <c r="H150" s="513">
        <f t="shared" si="101"/>
        <v>2.16</v>
      </c>
      <c r="J150" s="1298"/>
      <c r="K150" s="513">
        <v>7</v>
      </c>
      <c r="L150" s="513">
        <f t="shared" ref="L150:Q150" si="102">B77</f>
        <v>50</v>
      </c>
      <c r="M150" s="513">
        <f t="shared" si="102"/>
        <v>5</v>
      </c>
      <c r="N150" s="513">
        <f t="shared" si="102"/>
        <v>1.9</v>
      </c>
      <c r="O150" s="513">
        <f t="shared" si="102"/>
        <v>1.7</v>
      </c>
      <c r="P150" s="513">
        <f t="shared" si="102"/>
        <v>1.65</v>
      </c>
      <c r="Q150" s="513">
        <f t="shared" si="102"/>
        <v>0.29499999999999998</v>
      </c>
    </row>
    <row r="151" spans="1:17">
      <c r="A151" s="1298"/>
      <c r="B151" s="513">
        <v>8</v>
      </c>
      <c r="C151" s="513">
        <f t="shared" ref="C151:H151" si="103">I69</f>
        <v>180</v>
      </c>
      <c r="D151" s="513">
        <f t="shared" si="103"/>
        <v>-0.19</v>
      </c>
      <c r="E151" s="513">
        <f t="shared" si="103"/>
        <v>-0.39</v>
      </c>
      <c r="F151" s="513">
        <f t="shared" si="103"/>
        <v>-0.14000000000000001</v>
      </c>
      <c r="G151" s="513">
        <f t="shared" si="103"/>
        <v>0.125</v>
      </c>
      <c r="H151" s="513">
        <f t="shared" si="103"/>
        <v>2.16</v>
      </c>
      <c r="J151" s="1298"/>
      <c r="K151" s="513">
        <v>8</v>
      </c>
      <c r="L151" s="513">
        <f t="shared" ref="L151:Q151" si="104">I77</f>
        <v>20</v>
      </c>
      <c r="M151" s="513">
        <f t="shared" si="104"/>
        <v>4.7</v>
      </c>
      <c r="N151" s="513">
        <f t="shared" si="104"/>
        <v>6.6</v>
      </c>
      <c r="O151" s="513">
        <f t="shared" si="104"/>
        <v>0.9</v>
      </c>
      <c r="P151" s="513">
        <f t="shared" si="104"/>
        <v>2.8499999999999996</v>
      </c>
      <c r="Q151" s="513">
        <f t="shared" si="104"/>
        <v>0.11799999999999999</v>
      </c>
    </row>
    <row r="152" spans="1:17">
      <c r="A152" s="1298"/>
      <c r="B152" s="513">
        <v>9</v>
      </c>
      <c r="C152" s="513">
        <f t="shared" ref="C152:H152" si="105">P69</f>
        <v>180</v>
      </c>
      <c r="D152" s="513">
        <f t="shared" si="105"/>
        <v>-0.2</v>
      </c>
      <c r="E152" s="513">
        <f t="shared" si="105"/>
        <v>-0.2</v>
      </c>
      <c r="F152" s="513">
        <f t="shared" si="105"/>
        <v>-0.22</v>
      </c>
      <c r="G152" s="513">
        <f t="shared" si="105"/>
        <v>9.999999999999995E-3</v>
      </c>
      <c r="H152" s="513">
        <f t="shared" si="105"/>
        <v>2.16</v>
      </c>
      <c r="J152" s="1298"/>
      <c r="K152" s="513">
        <v>9</v>
      </c>
      <c r="L152" s="513">
        <f t="shared" ref="L152:Q152" si="106">P77</f>
        <v>25</v>
      </c>
      <c r="M152" s="513">
        <f t="shared" si="106"/>
        <v>3</v>
      </c>
      <c r="N152" s="513">
        <f t="shared" si="106"/>
        <v>4.9000000000000004</v>
      </c>
      <c r="O152" s="513">
        <f t="shared" si="106"/>
        <v>0.8</v>
      </c>
      <c r="P152" s="513">
        <f t="shared" si="106"/>
        <v>2.0500000000000003</v>
      </c>
      <c r="Q152" s="513">
        <f t="shared" si="106"/>
        <v>0.14749999999999999</v>
      </c>
    </row>
    <row r="153" spans="1:17">
      <c r="A153" s="1298"/>
      <c r="B153" s="513">
        <v>10</v>
      </c>
      <c r="C153" s="513">
        <f>B100</f>
        <v>180</v>
      </c>
      <c r="D153" s="513">
        <f t="shared" ref="D153:F153" si="107">C100</f>
        <v>-0.04</v>
      </c>
      <c r="E153" s="513" t="str">
        <f t="shared" si="107"/>
        <v>-</v>
      </c>
      <c r="F153" s="513">
        <f t="shared" si="107"/>
        <v>0</v>
      </c>
      <c r="G153" s="513">
        <f>F100</f>
        <v>0</v>
      </c>
      <c r="H153" s="513" t="str">
        <f>G100</f>
        <v>-</v>
      </c>
      <c r="J153" s="1298"/>
      <c r="K153" s="513">
        <v>10</v>
      </c>
      <c r="L153" s="513">
        <f t="shared" ref="L153:Q153" si="108">B108</f>
        <v>50</v>
      </c>
      <c r="M153" s="513">
        <f t="shared" si="108"/>
        <v>0.4</v>
      </c>
      <c r="N153" s="513" t="str">
        <f t="shared" si="108"/>
        <v>-</v>
      </c>
      <c r="O153" s="513">
        <f t="shared" si="108"/>
        <v>0</v>
      </c>
      <c r="P153" s="513">
        <f t="shared" si="108"/>
        <v>0</v>
      </c>
      <c r="Q153" s="513" t="str">
        <f t="shared" si="108"/>
        <v>-</v>
      </c>
    </row>
    <row r="154" spans="1:17">
      <c r="A154" s="1298"/>
      <c r="B154" s="513">
        <v>11</v>
      </c>
      <c r="C154" s="513">
        <f>I100</f>
        <v>180</v>
      </c>
      <c r="D154" s="513">
        <f t="shared" ref="D154:F154" si="109">J100</f>
        <v>9.9999999999999995E-7</v>
      </c>
      <c r="E154" s="513" t="str">
        <f t="shared" si="109"/>
        <v>-</v>
      </c>
      <c r="F154" s="513">
        <f t="shared" si="109"/>
        <v>0</v>
      </c>
      <c r="G154" s="513">
        <f>M100</f>
        <v>0</v>
      </c>
      <c r="H154" s="513" t="str">
        <f>N100</f>
        <v>-</v>
      </c>
      <c r="J154" s="1298"/>
      <c r="K154" s="513">
        <v>11</v>
      </c>
      <c r="L154" s="513">
        <f t="shared" ref="L154:Q154" si="110">I108</f>
        <v>50</v>
      </c>
      <c r="M154" s="513">
        <f t="shared" si="110"/>
        <v>9.9999999999999995E-7</v>
      </c>
      <c r="N154" s="513" t="str">
        <f t="shared" si="110"/>
        <v>-</v>
      </c>
      <c r="O154" s="513">
        <f t="shared" si="110"/>
        <v>0</v>
      </c>
      <c r="P154" s="513">
        <f t="shared" si="110"/>
        <v>0</v>
      </c>
      <c r="Q154" s="513" t="str">
        <f t="shared" si="110"/>
        <v>-</v>
      </c>
    </row>
    <row r="155" spans="1:17">
      <c r="A155" s="1298"/>
      <c r="B155" s="513">
        <v>12</v>
      </c>
      <c r="C155" s="513">
        <f>P100</f>
        <v>180</v>
      </c>
      <c r="D155" s="513">
        <f t="shared" ref="D155:F155" si="111">Q100</f>
        <v>9.9999999999999995E-7</v>
      </c>
      <c r="E155" s="513" t="str">
        <f t="shared" si="111"/>
        <v>-</v>
      </c>
      <c r="F155" s="513">
        <f t="shared" si="111"/>
        <v>0</v>
      </c>
      <c r="G155" s="513">
        <f>T100</f>
        <v>0</v>
      </c>
      <c r="H155" s="513" t="str">
        <f>U100</f>
        <v>-</v>
      </c>
      <c r="J155" s="1298"/>
      <c r="K155" s="513">
        <v>12</v>
      </c>
      <c r="L155" s="513">
        <f t="shared" ref="L155:Q155" si="112">P108</f>
        <v>50</v>
      </c>
      <c r="M155" s="513">
        <f t="shared" si="112"/>
        <v>9.9999999999999995E-7</v>
      </c>
      <c r="N155" s="513" t="str">
        <f t="shared" si="112"/>
        <v>-</v>
      </c>
      <c r="O155" s="513">
        <f t="shared" si="112"/>
        <v>0</v>
      </c>
      <c r="P155" s="513">
        <f t="shared" si="112"/>
        <v>0</v>
      </c>
      <c r="Q155" s="513" t="str">
        <f t="shared" si="112"/>
        <v>-</v>
      </c>
    </row>
    <row r="156" spans="1:17" s="328" customFormat="1">
      <c r="A156" s="419"/>
      <c r="B156" s="419"/>
      <c r="C156" s="419"/>
      <c r="D156" s="419"/>
      <c r="E156" s="419"/>
      <c r="F156" s="420"/>
      <c r="G156" s="419"/>
      <c r="H156" s="419"/>
      <c r="J156" s="419"/>
      <c r="K156" s="419"/>
      <c r="L156" s="422"/>
      <c r="M156" s="422"/>
      <c r="N156" s="422"/>
      <c r="O156" s="420"/>
      <c r="P156" s="422"/>
      <c r="Q156" s="422"/>
    </row>
    <row r="157" spans="1:17">
      <c r="A157" s="1298" t="s">
        <v>547</v>
      </c>
      <c r="B157" s="513">
        <v>1</v>
      </c>
      <c r="C157" s="513">
        <f t="shared" ref="C157:H157" si="113">B8</f>
        <v>200</v>
      </c>
      <c r="D157" s="513">
        <f t="shared" si="113"/>
        <v>-0.04</v>
      </c>
      <c r="E157" s="513">
        <f t="shared" si="113"/>
        <v>-0.16</v>
      </c>
      <c r="F157" s="513">
        <f t="shared" si="113"/>
        <v>0</v>
      </c>
      <c r="G157" s="513">
        <f t="shared" si="113"/>
        <v>0.06</v>
      </c>
      <c r="H157" s="513">
        <f t="shared" si="113"/>
        <v>2.4</v>
      </c>
      <c r="J157" s="1298" t="s">
        <v>547</v>
      </c>
      <c r="K157" s="513">
        <v>1</v>
      </c>
      <c r="L157" s="513">
        <f t="shared" ref="L157:Q157" si="114">B16</f>
        <v>100</v>
      </c>
      <c r="M157" s="513">
        <f t="shared" si="114"/>
        <v>0.2</v>
      </c>
      <c r="N157" s="513">
        <f t="shared" si="114"/>
        <v>-0.06</v>
      </c>
      <c r="O157" s="513">
        <f t="shared" si="114"/>
        <v>0</v>
      </c>
      <c r="P157" s="513">
        <f t="shared" si="114"/>
        <v>0.13</v>
      </c>
      <c r="Q157" s="513">
        <f t="shared" si="114"/>
        <v>0.59</v>
      </c>
    </row>
    <row r="158" spans="1:17">
      <c r="A158" s="1298"/>
      <c r="B158" s="513">
        <v>2</v>
      </c>
      <c r="C158" s="513">
        <f t="shared" ref="C158:H158" si="115">I8</f>
        <v>200</v>
      </c>
      <c r="D158" s="513">
        <f t="shared" si="115"/>
        <v>0.06</v>
      </c>
      <c r="E158" s="513">
        <f t="shared" si="115"/>
        <v>-0.18</v>
      </c>
      <c r="F158" s="513">
        <f t="shared" si="115"/>
        <v>0</v>
      </c>
      <c r="G158" s="513">
        <f t="shared" si="115"/>
        <v>0.12</v>
      </c>
      <c r="H158" s="513">
        <f t="shared" si="115"/>
        <v>2.4</v>
      </c>
      <c r="J158" s="1298"/>
      <c r="K158" s="513">
        <v>2</v>
      </c>
      <c r="L158" s="513">
        <f t="shared" ref="L158:Q158" si="116">I16</f>
        <v>100</v>
      </c>
      <c r="M158" s="513">
        <f t="shared" si="116"/>
        <v>-7.0000000000000007E-2</v>
      </c>
      <c r="N158" s="513">
        <f t="shared" si="116"/>
        <v>2.2000000000000002</v>
      </c>
      <c r="O158" s="513">
        <f t="shared" si="116"/>
        <v>0</v>
      </c>
      <c r="P158" s="513">
        <f t="shared" si="116"/>
        <v>1.135</v>
      </c>
      <c r="Q158" s="513">
        <f t="shared" si="116"/>
        <v>0.59</v>
      </c>
    </row>
    <row r="159" spans="1:17">
      <c r="A159" s="1298"/>
      <c r="B159" s="513">
        <v>3</v>
      </c>
      <c r="C159" s="513">
        <f t="shared" ref="C159:H159" si="117">P8</f>
        <v>200</v>
      </c>
      <c r="D159" s="513">
        <f t="shared" si="117"/>
        <v>-1.95</v>
      </c>
      <c r="E159" s="513">
        <f t="shared" si="117"/>
        <v>-2.0499999999999998</v>
      </c>
      <c r="F159" s="513">
        <f t="shared" si="117"/>
        <v>-2.14</v>
      </c>
      <c r="G159" s="513">
        <f t="shared" si="117"/>
        <v>9.5000000000000084E-2</v>
      </c>
      <c r="H159" s="513">
        <f t="shared" si="117"/>
        <v>2.4</v>
      </c>
      <c r="J159" s="1298"/>
      <c r="K159" s="513">
        <v>3</v>
      </c>
      <c r="L159" s="513">
        <f t="shared" ref="L159:Q159" si="118">P16</f>
        <v>100</v>
      </c>
      <c r="M159" s="513">
        <f t="shared" si="118"/>
        <v>2.4</v>
      </c>
      <c r="N159" s="513">
        <f t="shared" si="118"/>
        <v>6</v>
      </c>
      <c r="O159" s="513">
        <f t="shared" si="118"/>
        <v>-0.22</v>
      </c>
      <c r="P159" s="513">
        <f t="shared" si="118"/>
        <v>3.11</v>
      </c>
      <c r="Q159" s="513">
        <f t="shared" si="118"/>
        <v>0.59</v>
      </c>
    </row>
    <row r="160" spans="1:17">
      <c r="A160" s="1298"/>
      <c r="B160" s="513">
        <v>4</v>
      </c>
      <c r="C160" s="513">
        <f t="shared" ref="C160:H160" si="119">B39</f>
        <v>200</v>
      </c>
      <c r="D160" s="513">
        <f t="shared" si="119"/>
        <v>-0.67</v>
      </c>
      <c r="E160" s="513">
        <f t="shared" si="119"/>
        <v>0.05</v>
      </c>
      <c r="F160" s="513">
        <f t="shared" si="119"/>
        <v>0</v>
      </c>
      <c r="G160" s="513">
        <f t="shared" si="119"/>
        <v>0.36000000000000004</v>
      </c>
      <c r="H160" s="513">
        <f t="shared" si="119"/>
        <v>2.4</v>
      </c>
      <c r="J160" s="1298"/>
      <c r="K160" s="513">
        <v>4</v>
      </c>
      <c r="L160" s="513">
        <f t="shared" ref="L160:Q160" si="120">B47</f>
        <v>100</v>
      </c>
      <c r="M160" s="513">
        <f t="shared" si="120"/>
        <v>0.4</v>
      </c>
      <c r="N160" s="513">
        <f t="shared" si="120"/>
        <v>-0.35</v>
      </c>
      <c r="O160" s="513">
        <f t="shared" si="120"/>
        <v>0</v>
      </c>
      <c r="P160" s="513">
        <f t="shared" si="120"/>
        <v>0.375</v>
      </c>
      <c r="Q160" s="513">
        <f t="shared" si="120"/>
        <v>0.59</v>
      </c>
    </row>
    <row r="161" spans="1:17">
      <c r="A161" s="1298"/>
      <c r="B161" s="513">
        <v>5</v>
      </c>
      <c r="C161" s="513">
        <f t="shared" ref="C161:H161" si="121">I39</f>
        <v>200</v>
      </c>
      <c r="D161" s="513">
        <f t="shared" si="121"/>
        <v>0.18</v>
      </c>
      <c r="E161" s="513">
        <f t="shared" si="121"/>
        <v>-0.03</v>
      </c>
      <c r="F161" s="513">
        <f t="shared" si="121"/>
        <v>0</v>
      </c>
      <c r="G161" s="513">
        <f t="shared" si="121"/>
        <v>0.105</v>
      </c>
      <c r="H161" s="513">
        <f t="shared" si="121"/>
        <v>2.4</v>
      </c>
      <c r="J161" s="1298"/>
      <c r="K161" s="513">
        <v>5</v>
      </c>
      <c r="L161" s="513">
        <f t="shared" ref="L161:Q161" si="122">I47</f>
        <v>100</v>
      </c>
      <c r="M161" s="513">
        <f t="shared" si="122"/>
        <v>3.9</v>
      </c>
      <c r="N161" s="513">
        <f t="shared" si="122"/>
        <v>-0.42</v>
      </c>
      <c r="O161" s="513">
        <f t="shared" si="122"/>
        <v>0</v>
      </c>
      <c r="P161" s="513">
        <f t="shared" si="122"/>
        <v>2.16</v>
      </c>
      <c r="Q161" s="513">
        <f t="shared" si="122"/>
        <v>0.59</v>
      </c>
    </row>
    <row r="162" spans="1:17">
      <c r="A162" s="1298"/>
      <c r="B162" s="513">
        <v>6</v>
      </c>
      <c r="C162" s="513">
        <f t="shared" ref="C162:H162" si="123">P39</f>
        <v>200</v>
      </c>
      <c r="D162" s="513">
        <f t="shared" si="123"/>
        <v>0.08</v>
      </c>
      <c r="E162" s="513">
        <f t="shared" si="123"/>
        <v>0.1</v>
      </c>
      <c r="F162" s="513">
        <f t="shared" si="123"/>
        <v>-0.1</v>
      </c>
      <c r="G162" s="513">
        <f t="shared" si="123"/>
        <v>0.1</v>
      </c>
      <c r="H162" s="513">
        <f t="shared" si="123"/>
        <v>2.4</v>
      </c>
      <c r="J162" s="1298"/>
      <c r="K162" s="513">
        <v>6</v>
      </c>
      <c r="L162" s="513">
        <f t="shared" ref="L162:Q162" si="124">P47</f>
        <v>100</v>
      </c>
      <c r="M162" s="513">
        <f t="shared" si="124"/>
        <v>6.2</v>
      </c>
      <c r="N162" s="513">
        <f t="shared" si="124"/>
        <v>18.399999999999999</v>
      </c>
      <c r="O162" s="513">
        <f t="shared" si="124"/>
        <v>0.22</v>
      </c>
      <c r="P162" s="513">
        <f t="shared" si="124"/>
        <v>9.09</v>
      </c>
      <c r="Q162" s="513">
        <f t="shared" si="124"/>
        <v>0.59</v>
      </c>
    </row>
    <row r="163" spans="1:17">
      <c r="A163" s="1298"/>
      <c r="B163" s="513">
        <v>7</v>
      </c>
      <c r="C163" s="513">
        <f t="shared" ref="C163:H163" si="125">B70</f>
        <v>200</v>
      </c>
      <c r="D163" s="513">
        <f t="shared" si="125"/>
        <v>0.42</v>
      </c>
      <c r="E163" s="513">
        <f t="shared" si="125"/>
        <v>0.52</v>
      </c>
      <c r="F163" s="513">
        <f t="shared" si="125"/>
        <v>0.34</v>
      </c>
      <c r="G163" s="513">
        <f t="shared" si="125"/>
        <v>0.09</v>
      </c>
      <c r="H163" s="513">
        <f t="shared" si="125"/>
        <v>2.4</v>
      </c>
      <c r="J163" s="1298"/>
      <c r="K163" s="513">
        <v>7</v>
      </c>
      <c r="L163" s="513">
        <f t="shared" ref="L163:Q163" si="126">B78</f>
        <v>100</v>
      </c>
      <c r="M163" s="513">
        <f t="shared" si="126"/>
        <v>6.2</v>
      </c>
      <c r="N163" s="513">
        <f t="shared" si="126"/>
        <v>1.7</v>
      </c>
      <c r="O163" s="513">
        <f t="shared" si="126"/>
        <v>1.7</v>
      </c>
      <c r="P163" s="513">
        <f t="shared" si="126"/>
        <v>2.25</v>
      </c>
      <c r="Q163" s="513">
        <f t="shared" si="126"/>
        <v>0.59</v>
      </c>
    </row>
    <row r="164" spans="1:17">
      <c r="A164" s="1298"/>
      <c r="B164" s="513">
        <v>8</v>
      </c>
      <c r="C164" s="513">
        <f t="shared" ref="C164:H164" si="127">I70</f>
        <v>200</v>
      </c>
      <c r="D164" s="513">
        <f t="shared" si="127"/>
        <v>-7.0000000000000007E-2</v>
      </c>
      <c r="E164" s="513">
        <f t="shared" si="127"/>
        <v>-0.23</v>
      </c>
      <c r="F164" s="513">
        <f t="shared" si="127"/>
        <v>-0.33</v>
      </c>
      <c r="G164" s="513">
        <f t="shared" si="127"/>
        <v>0.13</v>
      </c>
      <c r="H164" s="513">
        <f t="shared" si="127"/>
        <v>2.4</v>
      </c>
      <c r="J164" s="1298"/>
      <c r="K164" s="513">
        <v>8</v>
      </c>
      <c r="L164" s="513">
        <f t="shared" ref="L164:Q164" si="128">I78</f>
        <v>50</v>
      </c>
      <c r="M164" s="513">
        <f t="shared" si="128"/>
        <v>4.7</v>
      </c>
      <c r="N164" s="513">
        <f t="shared" si="128"/>
        <v>5</v>
      </c>
      <c r="O164" s="513">
        <f t="shared" si="128"/>
        <v>2.1</v>
      </c>
      <c r="P164" s="513">
        <f t="shared" si="128"/>
        <v>1.45</v>
      </c>
      <c r="Q164" s="513">
        <f t="shared" si="128"/>
        <v>0.29499999999999998</v>
      </c>
    </row>
    <row r="165" spans="1:17">
      <c r="A165" s="1298"/>
      <c r="B165" s="513">
        <v>9</v>
      </c>
      <c r="C165" s="513">
        <f t="shared" ref="C165:H165" si="129">P70</f>
        <v>200</v>
      </c>
      <c r="D165" s="513">
        <f t="shared" si="129"/>
        <v>-0.25</v>
      </c>
      <c r="E165" s="513">
        <f t="shared" si="129"/>
        <v>-0.25</v>
      </c>
      <c r="F165" s="513">
        <f t="shared" si="129"/>
        <v>-0.33</v>
      </c>
      <c r="G165" s="513">
        <f t="shared" si="129"/>
        <v>4.0000000000000008E-2</v>
      </c>
      <c r="H165" s="513">
        <f t="shared" si="129"/>
        <v>2.4</v>
      </c>
      <c r="J165" s="1298"/>
      <c r="K165" s="513">
        <v>9</v>
      </c>
      <c r="L165" s="513">
        <f t="shared" ref="L165:Q165" si="130">P78</f>
        <v>50</v>
      </c>
      <c r="M165" s="513">
        <f t="shared" si="130"/>
        <v>4.0999999999999996</v>
      </c>
      <c r="N165" s="513">
        <f t="shared" si="130"/>
        <v>9.1999999999999993</v>
      </c>
      <c r="O165" s="513">
        <f t="shared" si="130"/>
        <v>1.7</v>
      </c>
      <c r="P165" s="513">
        <f t="shared" si="130"/>
        <v>3.7499999999999996</v>
      </c>
      <c r="Q165" s="513">
        <f t="shared" si="130"/>
        <v>0.29499999999999998</v>
      </c>
    </row>
    <row r="166" spans="1:17">
      <c r="A166" s="1298"/>
      <c r="B166" s="513">
        <v>10</v>
      </c>
      <c r="C166" s="513">
        <f>B101</f>
        <v>200</v>
      </c>
      <c r="D166" s="513">
        <f t="shared" ref="D166:F166" si="131">C101</f>
        <v>-0.67</v>
      </c>
      <c r="E166" s="513" t="str">
        <f t="shared" si="131"/>
        <v>-</v>
      </c>
      <c r="F166" s="513">
        <f t="shared" si="131"/>
        <v>0</v>
      </c>
      <c r="G166" s="513">
        <f>F101</f>
        <v>0</v>
      </c>
      <c r="H166" s="513" t="str">
        <f>G101</f>
        <v>-</v>
      </c>
      <c r="J166" s="1298"/>
      <c r="K166" s="513">
        <v>10</v>
      </c>
      <c r="L166" s="513">
        <f t="shared" ref="L166:Q166" si="132">B109</f>
        <v>100</v>
      </c>
      <c r="M166" s="513">
        <f t="shared" si="132"/>
        <v>0.4</v>
      </c>
      <c r="N166" s="513" t="str">
        <f t="shared" si="132"/>
        <v>-</v>
      </c>
      <c r="O166" s="513">
        <f t="shared" si="132"/>
        <v>0</v>
      </c>
      <c r="P166" s="513">
        <f t="shared" si="132"/>
        <v>0</v>
      </c>
      <c r="Q166" s="513" t="str">
        <f t="shared" si="132"/>
        <v>-</v>
      </c>
    </row>
    <row r="167" spans="1:17">
      <c r="A167" s="1298"/>
      <c r="B167" s="513">
        <v>11</v>
      </c>
      <c r="C167" s="513">
        <f>I101</f>
        <v>200</v>
      </c>
      <c r="D167" s="513">
        <f t="shared" ref="D167:F167" si="133">J101</f>
        <v>9.9999999999999995E-7</v>
      </c>
      <c r="E167" s="513" t="str">
        <f t="shared" si="133"/>
        <v>-</v>
      </c>
      <c r="F167" s="513">
        <f t="shared" si="133"/>
        <v>0</v>
      </c>
      <c r="G167" s="513">
        <f>M101</f>
        <v>0</v>
      </c>
      <c r="H167" s="513" t="str">
        <f>N101</f>
        <v>-</v>
      </c>
      <c r="J167" s="1298"/>
      <c r="K167" s="513">
        <v>11</v>
      </c>
      <c r="L167" s="513">
        <f t="shared" ref="L167:Q167" si="134">I109</f>
        <v>100</v>
      </c>
      <c r="M167" s="513">
        <f t="shared" si="134"/>
        <v>9.9999999999999995E-7</v>
      </c>
      <c r="N167" s="513" t="str">
        <f t="shared" si="134"/>
        <v>-</v>
      </c>
      <c r="O167" s="513">
        <f t="shared" si="134"/>
        <v>0</v>
      </c>
      <c r="P167" s="513">
        <f t="shared" si="134"/>
        <v>0</v>
      </c>
      <c r="Q167" s="513" t="str">
        <f t="shared" si="134"/>
        <v>-</v>
      </c>
    </row>
    <row r="168" spans="1:17">
      <c r="A168" s="1298"/>
      <c r="B168" s="513">
        <v>12</v>
      </c>
      <c r="C168" s="513">
        <f>P101</f>
        <v>200</v>
      </c>
      <c r="D168" s="513">
        <f t="shared" ref="D168:F168" si="135">Q101</f>
        <v>9.9999999999999995E-7</v>
      </c>
      <c r="E168" s="513" t="str">
        <f t="shared" si="135"/>
        <v>-</v>
      </c>
      <c r="F168" s="513">
        <f t="shared" si="135"/>
        <v>0</v>
      </c>
      <c r="G168" s="513">
        <f>T101</f>
        <v>0</v>
      </c>
      <c r="H168" s="513" t="str">
        <f>U101</f>
        <v>-</v>
      </c>
      <c r="J168" s="1298"/>
      <c r="K168" s="513">
        <v>12</v>
      </c>
      <c r="L168" s="513">
        <f t="shared" ref="L168:Q168" si="136">P109</f>
        <v>100</v>
      </c>
      <c r="M168" s="513">
        <f t="shared" si="136"/>
        <v>9.9999999999999995E-7</v>
      </c>
      <c r="N168" s="513" t="str">
        <f t="shared" si="136"/>
        <v>-</v>
      </c>
      <c r="O168" s="513">
        <f t="shared" si="136"/>
        <v>0</v>
      </c>
      <c r="P168" s="513">
        <f t="shared" si="136"/>
        <v>0</v>
      </c>
      <c r="Q168" s="513" t="str">
        <f t="shared" si="136"/>
        <v>-</v>
      </c>
    </row>
    <row r="169" spans="1:17" s="328" customFormat="1">
      <c r="A169" s="419"/>
      <c r="B169" s="419"/>
      <c r="C169" s="419"/>
      <c r="D169" s="419"/>
      <c r="E169" s="419"/>
      <c r="F169" s="420"/>
      <c r="G169" s="419"/>
      <c r="H169" s="419"/>
      <c r="J169" s="419"/>
      <c r="K169" s="419"/>
      <c r="L169" s="422"/>
      <c r="M169" s="422"/>
      <c r="N169" s="422"/>
      <c r="O169" s="420"/>
      <c r="P169" s="422"/>
      <c r="Q169" s="422"/>
    </row>
    <row r="170" spans="1:17">
      <c r="A170" s="1298" t="s">
        <v>548</v>
      </c>
      <c r="B170" s="513">
        <v>1</v>
      </c>
      <c r="C170" s="513">
        <f t="shared" ref="C170:H170" si="137">B9</f>
        <v>220</v>
      </c>
      <c r="D170" s="513">
        <f t="shared" si="137"/>
        <v>-0.28000000000000003</v>
      </c>
      <c r="E170" s="513">
        <f t="shared" si="137"/>
        <v>-0.18</v>
      </c>
      <c r="F170" s="513">
        <f t="shared" si="137"/>
        <v>0</v>
      </c>
      <c r="G170" s="513">
        <f t="shared" si="137"/>
        <v>5.0000000000000017E-2</v>
      </c>
      <c r="H170" s="513">
        <f t="shared" si="137"/>
        <v>2.64</v>
      </c>
      <c r="J170" s="1298" t="s">
        <v>548</v>
      </c>
      <c r="K170" s="513">
        <v>1</v>
      </c>
      <c r="L170" s="513">
        <f t="shared" ref="L170:Q170" si="138">B17</f>
        <v>200</v>
      </c>
      <c r="M170" s="513">
        <f t="shared" si="138"/>
        <v>0.4</v>
      </c>
      <c r="N170" s="513">
        <f t="shared" si="138"/>
        <v>9.9999999999999995E-7</v>
      </c>
      <c r="O170" s="513">
        <f t="shared" si="138"/>
        <v>0</v>
      </c>
      <c r="P170" s="513">
        <f t="shared" si="138"/>
        <v>0.19999950000000002</v>
      </c>
      <c r="Q170" s="513">
        <f t="shared" si="138"/>
        <v>1.18</v>
      </c>
    </row>
    <row r="171" spans="1:17">
      <c r="A171" s="1298"/>
      <c r="B171" s="513">
        <v>2</v>
      </c>
      <c r="C171" s="513">
        <f t="shared" ref="C171:H171" si="139">I9</f>
        <v>220</v>
      </c>
      <c r="D171" s="513">
        <f t="shared" si="139"/>
        <v>0.05</v>
      </c>
      <c r="E171" s="513">
        <f t="shared" si="139"/>
        <v>-0.03</v>
      </c>
      <c r="F171" s="513">
        <f t="shared" si="139"/>
        <v>0</v>
      </c>
      <c r="G171" s="513">
        <f t="shared" si="139"/>
        <v>0.04</v>
      </c>
      <c r="H171" s="513">
        <f t="shared" si="139"/>
        <v>2.64</v>
      </c>
      <c r="J171" s="1298"/>
      <c r="K171" s="513">
        <v>2</v>
      </c>
      <c r="L171" s="513">
        <f t="shared" ref="L171:Q171" si="140">I17</f>
        <v>200</v>
      </c>
      <c r="M171" s="513">
        <f t="shared" si="140"/>
        <v>-0.1</v>
      </c>
      <c r="N171" s="513">
        <f t="shared" si="140"/>
        <v>3.3</v>
      </c>
      <c r="O171" s="513">
        <f t="shared" si="140"/>
        <v>0</v>
      </c>
      <c r="P171" s="513">
        <f t="shared" si="140"/>
        <v>1.7</v>
      </c>
      <c r="Q171" s="513">
        <f t="shared" si="140"/>
        <v>1.18</v>
      </c>
    </row>
    <row r="172" spans="1:17">
      <c r="A172" s="1298"/>
      <c r="B172" s="513">
        <v>3</v>
      </c>
      <c r="C172" s="513">
        <f t="shared" ref="C172:H172" si="141">P9</f>
        <v>220</v>
      </c>
      <c r="D172" s="513">
        <f t="shared" si="141"/>
        <v>-2.31</v>
      </c>
      <c r="E172" s="513">
        <f t="shared" si="141"/>
        <v>-2.29</v>
      </c>
      <c r="F172" s="513">
        <f t="shared" si="141"/>
        <v>-3.44</v>
      </c>
      <c r="G172" s="513">
        <f t="shared" si="141"/>
        <v>0.57499999999999996</v>
      </c>
      <c r="H172" s="513">
        <f t="shared" si="141"/>
        <v>2.64</v>
      </c>
      <c r="J172" s="1298"/>
      <c r="K172" s="513">
        <v>3</v>
      </c>
      <c r="L172" s="513">
        <f t="shared" ref="L172:Q172" si="142">P17</f>
        <v>200</v>
      </c>
      <c r="M172" s="513">
        <f t="shared" si="142"/>
        <v>2.7</v>
      </c>
      <c r="N172" s="513">
        <f t="shared" si="142"/>
        <v>-3.6</v>
      </c>
      <c r="O172" s="513">
        <f t="shared" si="142"/>
        <v>-0.1</v>
      </c>
      <c r="P172" s="513">
        <f t="shared" si="142"/>
        <v>3.1500000000000004</v>
      </c>
      <c r="Q172" s="513">
        <f t="shared" si="142"/>
        <v>1.18</v>
      </c>
    </row>
    <row r="173" spans="1:17">
      <c r="A173" s="1298"/>
      <c r="B173" s="513">
        <v>4</v>
      </c>
      <c r="C173" s="513">
        <f t="shared" ref="C173:H173" si="143">B40</f>
        <v>220</v>
      </c>
      <c r="D173" s="513">
        <f t="shared" si="143"/>
        <v>9.9999999999999995E-7</v>
      </c>
      <c r="E173" s="513">
        <f t="shared" si="143"/>
        <v>0.1</v>
      </c>
      <c r="F173" s="513">
        <f t="shared" si="143"/>
        <v>0</v>
      </c>
      <c r="G173" s="513">
        <f t="shared" si="143"/>
        <v>4.9999500000000002E-2</v>
      </c>
      <c r="H173" s="513">
        <f t="shared" si="143"/>
        <v>2.64</v>
      </c>
      <c r="J173" s="1298"/>
      <c r="K173" s="513">
        <v>4</v>
      </c>
      <c r="L173" s="513">
        <f t="shared" ref="L173:Q173" si="144">B48</f>
        <v>200</v>
      </c>
      <c r="M173" s="513">
        <f t="shared" si="144"/>
        <v>0</v>
      </c>
      <c r="N173" s="513">
        <f t="shared" si="144"/>
        <v>0.8</v>
      </c>
      <c r="O173" s="513">
        <f t="shared" si="144"/>
        <v>0</v>
      </c>
      <c r="P173" s="513">
        <f t="shared" si="144"/>
        <v>0.4</v>
      </c>
      <c r="Q173" s="513">
        <f t="shared" si="144"/>
        <v>1.18</v>
      </c>
    </row>
    <row r="174" spans="1:17">
      <c r="A174" s="1298"/>
      <c r="B174" s="513">
        <v>5</v>
      </c>
      <c r="C174" s="513">
        <f t="shared" ref="C174:H174" si="145">I40</f>
        <v>220</v>
      </c>
      <c r="D174" s="513">
        <f t="shared" si="145"/>
        <v>0.56000000000000005</v>
      </c>
      <c r="E174" s="513">
        <f t="shared" si="145"/>
        <v>0.38</v>
      </c>
      <c r="F174" s="513">
        <f t="shared" si="145"/>
        <v>0</v>
      </c>
      <c r="G174" s="513">
        <f t="shared" si="145"/>
        <v>9.0000000000000024E-2</v>
      </c>
      <c r="H174" s="513">
        <f t="shared" si="145"/>
        <v>2.64</v>
      </c>
      <c r="J174" s="1298"/>
      <c r="K174" s="513">
        <v>5</v>
      </c>
      <c r="L174" s="513">
        <f t="shared" ref="L174:Q174" si="146">I48</f>
        <v>200</v>
      </c>
      <c r="M174" s="513">
        <f t="shared" si="146"/>
        <v>0</v>
      </c>
      <c r="N174" s="513">
        <f t="shared" si="146"/>
        <v>1.3</v>
      </c>
      <c r="O174" s="513">
        <f t="shared" si="146"/>
        <v>0</v>
      </c>
      <c r="P174" s="513">
        <f t="shared" si="146"/>
        <v>0.65</v>
      </c>
      <c r="Q174" s="513">
        <f t="shared" si="146"/>
        <v>1.18</v>
      </c>
    </row>
    <row r="175" spans="1:17">
      <c r="A175" s="1298"/>
      <c r="B175" s="513">
        <v>6</v>
      </c>
      <c r="C175" s="513">
        <f t="shared" ref="C175:H175" si="147">P40</f>
        <v>220</v>
      </c>
      <c r="D175" s="513">
        <f t="shared" si="147"/>
        <v>0.06</v>
      </c>
      <c r="E175" s="513">
        <f t="shared" si="147"/>
        <v>7.0000000000000007E-2</v>
      </c>
      <c r="F175" s="513">
        <f t="shared" si="147"/>
        <v>-0.13</v>
      </c>
      <c r="G175" s="513">
        <f t="shared" si="147"/>
        <v>0.1</v>
      </c>
      <c r="H175" s="513">
        <f t="shared" si="147"/>
        <v>2.64</v>
      </c>
      <c r="J175" s="1298"/>
      <c r="K175" s="513">
        <v>6</v>
      </c>
      <c r="L175" s="513">
        <f t="shared" ref="L175:Q175" si="148">P48</f>
        <v>200</v>
      </c>
      <c r="M175" s="513">
        <f t="shared" si="148"/>
        <v>9.4</v>
      </c>
      <c r="N175" s="513">
        <f t="shared" si="148"/>
        <v>14.4</v>
      </c>
      <c r="O175" s="513">
        <f t="shared" si="148"/>
        <v>0.8</v>
      </c>
      <c r="P175" s="513">
        <f t="shared" si="148"/>
        <v>6.8</v>
      </c>
      <c r="Q175" s="513">
        <f t="shared" si="148"/>
        <v>1.18</v>
      </c>
    </row>
    <row r="176" spans="1:17">
      <c r="A176" s="1298"/>
      <c r="B176" s="513">
        <v>7</v>
      </c>
      <c r="C176" s="513">
        <f t="shared" ref="C176:H176" si="149">B71</f>
        <v>220</v>
      </c>
      <c r="D176" s="513">
        <f t="shared" si="149"/>
        <v>0.32</v>
      </c>
      <c r="E176" s="513">
        <f t="shared" si="149"/>
        <v>0.57999999999999996</v>
      </c>
      <c r="F176" s="513">
        <f t="shared" si="149"/>
        <v>0.37</v>
      </c>
      <c r="G176" s="513">
        <f t="shared" si="149"/>
        <v>0.12999999999999998</v>
      </c>
      <c r="H176" s="513">
        <f t="shared" si="149"/>
        <v>2.64</v>
      </c>
      <c r="J176" s="1298"/>
      <c r="K176" s="513">
        <v>7</v>
      </c>
      <c r="L176" s="513">
        <f t="shared" ref="L176:Q176" si="150">B79</f>
        <v>200</v>
      </c>
      <c r="M176" s="513">
        <f t="shared" si="150"/>
        <v>8.6</v>
      </c>
      <c r="N176" s="513">
        <f t="shared" si="150"/>
        <v>1.5</v>
      </c>
      <c r="O176" s="513">
        <f t="shared" si="150"/>
        <v>0.4</v>
      </c>
      <c r="P176" s="513">
        <f t="shared" si="150"/>
        <v>4.0999999999999996</v>
      </c>
      <c r="Q176" s="513">
        <f t="shared" si="150"/>
        <v>1.18</v>
      </c>
    </row>
    <row r="177" spans="1:17">
      <c r="A177" s="1298"/>
      <c r="B177" s="513">
        <v>8</v>
      </c>
      <c r="C177" s="513">
        <f t="shared" ref="C177:H177" si="151">I71</f>
        <v>220</v>
      </c>
      <c r="D177" s="513">
        <f t="shared" si="151"/>
        <v>-0.39</v>
      </c>
      <c r="E177" s="513">
        <f t="shared" si="151"/>
        <v>-0.16</v>
      </c>
      <c r="F177" s="513">
        <f t="shared" si="151"/>
        <v>-0.45</v>
      </c>
      <c r="G177" s="513">
        <f t="shared" si="151"/>
        <v>0.14500000000000002</v>
      </c>
      <c r="H177" s="513">
        <f t="shared" si="151"/>
        <v>2.64</v>
      </c>
      <c r="J177" s="1298"/>
      <c r="K177" s="513">
        <v>8</v>
      </c>
      <c r="L177" s="513">
        <f t="shared" ref="L177:Q177" si="152">I79</f>
        <v>200</v>
      </c>
      <c r="M177" s="513">
        <f t="shared" si="152"/>
        <v>7.7</v>
      </c>
      <c r="N177" s="513">
        <f t="shared" si="152"/>
        <v>-8.1999999999999993</v>
      </c>
      <c r="O177" s="513">
        <f t="shared" si="152"/>
        <v>3.7</v>
      </c>
      <c r="P177" s="513">
        <f t="shared" si="152"/>
        <v>7.9499999999999993</v>
      </c>
      <c r="Q177" s="513">
        <f t="shared" si="152"/>
        <v>1.18</v>
      </c>
    </row>
    <row r="178" spans="1:17">
      <c r="A178" s="1298"/>
      <c r="B178" s="513">
        <v>9</v>
      </c>
      <c r="C178" s="513">
        <f t="shared" ref="C178:H178" si="153">P71</f>
        <v>220</v>
      </c>
      <c r="D178" s="513">
        <f t="shared" si="153"/>
        <v>-0.28999999999999998</v>
      </c>
      <c r="E178" s="513">
        <f t="shared" si="153"/>
        <v>-0.28999999999999998</v>
      </c>
      <c r="F178" s="513">
        <f t="shared" si="153"/>
        <v>-0.39</v>
      </c>
      <c r="G178" s="513">
        <f t="shared" si="153"/>
        <v>5.0000000000000017E-2</v>
      </c>
      <c r="H178" s="513">
        <f t="shared" si="153"/>
        <v>2.64</v>
      </c>
      <c r="J178" s="1298"/>
      <c r="K178" s="513">
        <v>9</v>
      </c>
      <c r="L178" s="513">
        <f t="shared" ref="L178:Q178" si="154">P79</f>
        <v>100</v>
      </c>
      <c r="M178" s="513">
        <f t="shared" si="154"/>
        <v>6</v>
      </c>
      <c r="N178" s="513">
        <f t="shared" si="154"/>
        <v>7.7</v>
      </c>
      <c r="O178" s="513">
        <f t="shared" si="154"/>
        <v>3.4</v>
      </c>
      <c r="P178" s="513">
        <f t="shared" si="154"/>
        <v>2.1500000000000004</v>
      </c>
      <c r="Q178" s="513">
        <f t="shared" si="154"/>
        <v>0.59</v>
      </c>
    </row>
    <row r="179" spans="1:17">
      <c r="A179" s="1298"/>
      <c r="B179" s="513">
        <v>10</v>
      </c>
      <c r="C179" s="513">
        <f>B102</f>
        <v>220</v>
      </c>
      <c r="D179" s="513">
        <f t="shared" ref="D179:F179" si="155">C102</f>
        <v>9.9999999999999995E-7</v>
      </c>
      <c r="E179" s="513" t="str">
        <f t="shared" si="155"/>
        <v>-</v>
      </c>
      <c r="F179" s="513">
        <f t="shared" si="155"/>
        <v>0</v>
      </c>
      <c r="G179" s="513">
        <f>F102</f>
        <v>0</v>
      </c>
      <c r="H179" s="513" t="str">
        <f>G102</f>
        <v>-</v>
      </c>
      <c r="J179" s="1298"/>
      <c r="K179" s="513">
        <v>10</v>
      </c>
      <c r="L179" s="513">
        <f t="shared" ref="L179:Q179" si="156">B110</f>
        <v>200</v>
      </c>
      <c r="M179" s="513">
        <f t="shared" si="156"/>
        <v>0.4</v>
      </c>
      <c r="N179" s="513" t="str">
        <f t="shared" si="156"/>
        <v>-</v>
      </c>
      <c r="O179" s="513">
        <f t="shared" si="156"/>
        <v>0</v>
      </c>
      <c r="P179" s="513">
        <f t="shared" si="156"/>
        <v>0</v>
      </c>
      <c r="Q179" s="513" t="str">
        <f t="shared" si="156"/>
        <v>-</v>
      </c>
    </row>
    <row r="180" spans="1:17">
      <c r="A180" s="1298"/>
      <c r="B180" s="513">
        <v>11</v>
      </c>
      <c r="C180" s="513">
        <f>I102</f>
        <v>220</v>
      </c>
      <c r="D180" s="513">
        <f t="shared" ref="D180:F180" si="157">J102</f>
        <v>9.9999999999999995E-7</v>
      </c>
      <c r="E180" s="513" t="str">
        <f t="shared" si="157"/>
        <v>-</v>
      </c>
      <c r="F180" s="513">
        <f t="shared" si="157"/>
        <v>0</v>
      </c>
      <c r="G180" s="513">
        <f>M102</f>
        <v>0</v>
      </c>
      <c r="H180" s="513" t="str">
        <f>N102</f>
        <v>-</v>
      </c>
      <c r="J180" s="1298"/>
      <c r="K180" s="513">
        <v>11</v>
      </c>
      <c r="L180" s="513">
        <f t="shared" ref="L180:Q180" si="158">I110</f>
        <v>200</v>
      </c>
      <c r="M180" s="513">
        <f t="shared" si="158"/>
        <v>9.9999999999999995E-7</v>
      </c>
      <c r="N180" s="513" t="str">
        <f t="shared" si="158"/>
        <v>-</v>
      </c>
      <c r="O180" s="513">
        <f t="shared" si="158"/>
        <v>0</v>
      </c>
      <c r="P180" s="513">
        <f t="shared" si="158"/>
        <v>0</v>
      </c>
      <c r="Q180" s="513" t="str">
        <f t="shared" si="158"/>
        <v>-</v>
      </c>
    </row>
    <row r="181" spans="1:17">
      <c r="A181" s="1298"/>
      <c r="B181" s="513">
        <v>12</v>
      </c>
      <c r="C181" s="513">
        <f>P102</f>
        <v>220</v>
      </c>
      <c r="D181" s="513">
        <f t="shared" ref="D181:F181" si="159">Q102</f>
        <v>9.9999999999999995E-7</v>
      </c>
      <c r="E181" s="513" t="str">
        <f t="shared" si="159"/>
        <v>-</v>
      </c>
      <c r="F181" s="513">
        <f t="shared" si="159"/>
        <v>0</v>
      </c>
      <c r="G181" s="513">
        <f>T102</f>
        <v>0</v>
      </c>
      <c r="H181" s="513" t="str">
        <f>U102</f>
        <v>-</v>
      </c>
      <c r="J181" s="1298"/>
      <c r="K181" s="513">
        <v>12</v>
      </c>
      <c r="L181" s="513">
        <f t="shared" ref="L181:Q181" si="160">P110</f>
        <v>200</v>
      </c>
      <c r="M181" s="513">
        <f t="shared" si="160"/>
        <v>9.9999999999999995E-7</v>
      </c>
      <c r="N181" s="513" t="str">
        <f t="shared" si="160"/>
        <v>-</v>
      </c>
      <c r="O181" s="513">
        <f t="shared" si="160"/>
        <v>0</v>
      </c>
      <c r="P181" s="513">
        <f t="shared" si="160"/>
        <v>0</v>
      </c>
      <c r="Q181" s="513" t="str">
        <f t="shared" si="160"/>
        <v>-</v>
      </c>
    </row>
    <row r="182" spans="1:17" s="328" customFormat="1">
      <c r="A182" s="419"/>
      <c r="B182" s="419"/>
      <c r="C182" s="419"/>
      <c r="D182" s="419"/>
      <c r="E182" s="419"/>
      <c r="F182" s="420"/>
      <c r="G182" s="419"/>
      <c r="H182" s="419"/>
      <c r="J182" s="419"/>
      <c r="K182" s="419"/>
      <c r="L182" s="422"/>
      <c r="M182" s="422"/>
      <c r="N182" s="422"/>
      <c r="O182" s="420"/>
      <c r="P182" s="422"/>
      <c r="Q182" s="422"/>
    </row>
    <row r="183" spans="1:17">
      <c r="A183" s="1298" t="s">
        <v>328</v>
      </c>
      <c r="B183" s="513">
        <v>1</v>
      </c>
      <c r="C183" s="513">
        <f t="shared" ref="C183:H183" si="161">B10</f>
        <v>230</v>
      </c>
      <c r="D183" s="513">
        <f t="shared" si="161"/>
        <v>-0.2</v>
      </c>
      <c r="E183" s="513">
        <f t="shared" si="161"/>
        <v>-0.26</v>
      </c>
      <c r="F183" s="513">
        <f t="shared" si="161"/>
        <v>0</v>
      </c>
      <c r="G183" s="513">
        <f t="shared" si="161"/>
        <v>0.03</v>
      </c>
      <c r="H183" s="513">
        <f t="shared" si="161"/>
        <v>2.7600000000000002</v>
      </c>
      <c r="J183" s="1298" t="s">
        <v>328</v>
      </c>
      <c r="K183" s="513">
        <v>1</v>
      </c>
      <c r="L183" s="513">
        <f t="shared" ref="L183:Q183" si="162">B18</f>
        <v>500</v>
      </c>
      <c r="M183" s="513">
        <f t="shared" si="162"/>
        <v>3.8</v>
      </c>
      <c r="N183" s="513">
        <f t="shared" si="162"/>
        <v>-0.9</v>
      </c>
      <c r="O183" s="513">
        <f t="shared" si="162"/>
        <v>0</v>
      </c>
      <c r="P183" s="513">
        <f t="shared" si="162"/>
        <v>2.35</v>
      </c>
      <c r="Q183" s="513">
        <f t="shared" si="162"/>
        <v>2.9499999999999997</v>
      </c>
    </row>
    <row r="184" spans="1:17">
      <c r="A184" s="1298"/>
      <c r="B184" s="513">
        <v>2</v>
      </c>
      <c r="C184" s="513">
        <f t="shared" ref="C184:H184" si="163">I10</f>
        <v>230</v>
      </c>
      <c r="D184" s="513">
        <f t="shared" si="163"/>
        <v>9.9999999999999995E-7</v>
      </c>
      <c r="E184" s="513">
        <f t="shared" si="163"/>
        <v>0.05</v>
      </c>
      <c r="F184" s="513">
        <f t="shared" si="163"/>
        <v>0</v>
      </c>
      <c r="G184" s="513">
        <f t="shared" si="163"/>
        <v>2.4999500000000001E-2</v>
      </c>
      <c r="H184" s="513">
        <f t="shared" si="163"/>
        <v>2.7600000000000002</v>
      </c>
      <c r="J184" s="1298"/>
      <c r="K184" s="513">
        <v>2</v>
      </c>
      <c r="L184" s="513">
        <f t="shared" ref="L184:Q184" si="164">I18</f>
        <v>500</v>
      </c>
      <c r="M184" s="513">
        <f t="shared" si="164"/>
        <v>0.8</v>
      </c>
      <c r="N184" s="513">
        <f t="shared" si="164"/>
        <v>2</v>
      </c>
      <c r="O184" s="513">
        <f t="shared" si="164"/>
        <v>0</v>
      </c>
      <c r="P184" s="513">
        <f t="shared" si="164"/>
        <v>0.6</v>
      </c>
      <c r="Q184" s="513">
        <f t="shared" si="164"/>
        <v>2.9499999999999997</v>
      </c>
    </row>
    <row r="185" spans="1:17">
      <c r="A185" s="1298"/>
      <c r="B185" s="513">
        <v>3</v>
      </c>
      <c r="C185" s="513">
        <f t="shared" ref="C185:H185" si="165">P10</f>
        <v>230</v>
      </c>
      <c r="D185" s="513">
        <f t="shared" si="165"/>
        <v>-2.38</v>
      </c>
      <c r="E185" s="513">
        <f t="shared" si="165"/>
        <v>-11.79</v>
      </c>
      <c r="F185" s="513">
        <f t="shared" si="165"/>
        <v>-2.52</v>
      </c>
      <c r="G185" s="513">
        <f t="shared" si="165"/>
        <v>4.7050000000000001</v>
      </c>
      <c r="H185" s="513">
        <f t="shared" si="165"/>
        <v>2.7600000000000002</v>
      </c>
      <c r="J185" s="1298"/>
      <c r="K185" s="513">
        <v>3</v>
      </c>
      <c r="L185" s="513">
        <f t="shared" ref="L185:Q185" si="166">P18</f>
        <v>500</v>
      </c>
      <c r="M185" s="513">
        <f t="shared" si="166"/>
        <v>3</v>
      </c>
      <c r="N185" s="513">
        <f t="shared" si="166"/>
        <v>-18.8</v>
      </c>
      <c r="O185" s="513">
        <f t="shared" si="166"/>
        <v>-1.1000000000000001</v>
      </c>
      <c r="P185" s="513">
        <f t="shared" si="166"/>
        <v>10.9</v>
      </c>
      <c r="Q185" s="513">
        <f t="shared" si="166"/>
        <v>2.9499999999999997</v>
      </c>
    </row>
    <row r="186" spans="1:17">
      <c r="A186" s="1298"/>
      <c r="B186" s="513">
        <v>4</v>
      </c>
      <c r="C186" s="513">
        <f t="shared" ref="C186:H186" si="167">B41</f>
        <v>230</v>
      </c>
      <c r="D186" s="513">
        <f t="shared" si="167"/>
        <v>-0.11</v>
      </c>
      <c r="E186" s="513">
        <f t="shared" si="167"/>
        <v>1.1100000000000001</v>
      </c>
      <c r="F186" s="513">
        <f t="shared" si="167"/>
        <v>0</v>
      </c>
      <c r="G186" s="513">
        <f t="shared" si="167"/>
        <v>0.6100000000000001</v>
      </c>
      <c r="H186" s="513">
        <f t="shared" si="167"/>
        <v>2.7600000000000002</v>
      </c>
      <c r="J186" s="1298"/>
      <c r="K186" s="513">
        <v>4</v>
      </c>
      <c r="L186" s="513">
        <f t="shared" ref="L186:Q186" si="168">B49</f>
        <v>500</v>
      </c>
      <c r="M186" s="513">
        <f t="shared" si="168"/>
        <v>1.5</v>
      </c>
      <c r="N186" s="513">
        <f t="shared" si="168"/>
        <v>1.2</v>
      </c>
      <c r="O186" s="513">
        <f t="shared" si="168"/>
        <v>0</v>
      </c>
      <c r="P186" s="513">
        <f t="shared" si="168"/>
        <v>0.15000000000000002</v>
      </c>
      <c r="Q186" s="513">
        <f t="shared" si="168"/>
        <v>2.9499999999999997</v>
      </c>
    </row>
    <row r="187" spans="1:17">
      <c r="A187" s="1298"/>
      <c r="B187" s="513">
        <v>5</v>
      </c>
      <c r="C187" s="513">
        <f t="shared" ref="C187:H187" si="169">I41</f>
        <v>230</v>
      </c>
      <c r="D187" s="513">
        <f t="shared" si="169"/>
        <v>0.73</v>
      </c>
      <c r="E187" s="513">
        <f t="shared" si="169"/>
        <v>-0.16</v>
      </c>
      <c r="F187" s="513">
        <f t="shared" si="169"/>
        <v>0</v>
      </c>
      <c r="G187" s="513">
        <f t="shared" si="169"/>
        <v>0.44500000000000001</v>
      </c>
      <c r="H187" s="513">
        <f t="shared" si="169"/>
        <v>2.7600000000000002</v>
      </c>
      <c r="J187" s="1298"/>
      <c r="K187" s="513">
        <v>5</v>
      </c>
      <c r="L187" s="513">
        <f t="shared" ref="L187:Q187" si="170">I49</f>
        <v>500</v>
      </c>
      <c r="M187" s="513">
        <f t="shared" si="170"/>
        <v>9.3000000000000007</v>
      </c>
      <c r="N187" s="513">
        <f t="shared" si="170"/>
        <v>0.7</v>
      </c>
      <c r="O187" s="513">
        <f t="shared" si="170"/>
        <v>0</v>
      </c>
      <c r="P187" s="513">
        <f t="shared" si="170"/>
        <v>4.3000000000000007</v>
      </c>
      <c r="Q187" s="513">
        <f t="shared" si="170"/>
        <v>2.9499999999999997</v>
      </c>
    </row>
    <row r="188" spans="1:17">
      <c r="A188" s="1298"/>
      <c r="B188" s="513">
        <v>6</v>
      </c>
      <c r="C188" s="513">
        <f t="shared" ref="C188:H188" si="171">P41</f>
        <v>230</v>
      </c>
      <c r="D188" s="513">
        <f t="shared" si="171"/>
        <v>0.04</v>
      </c>
      <c r="E188" s="513">
        <f t="shared" si="171"/>
        <v>0.08</v>
      </c>
      <c r="F188" s="513">
        <f t="shared" si="171"/>
        <v>-0.15</v>
      </c>
      <c r="G188" s="513">
        <f t="shared" si="171"/>
        <v>0.11499999999999999</v>
      </c>
      <c r="H188" s="513">
        <f t="shared" si="171"/>
        <v>2.7600000000000002</v>
      </c>
      <c r="J188" s="1298"/>
      <c r="K188" s="513">
        <v>6</v>
      </c>
      <c r="L188" s="513">
        <f t="shared" ref="L188:Q188" si="172">P49</f>
        <v>500</v>
      </c>
      <c r="M188" s="513">
        <f t="shared" si="172"/>
        <v>10.8</v>
      </c>
      <c r="N188" s="513">
        <f t="shared" si="172"/>
        <v>6.2</v>
      </c>
      <c r="O188" s="513">
        <f t="shared" si="172"/>
        <v>1.1000000000000001</v>
      </c>
      <c r="P188" s="513">
        <f t="shared" si="172"/>
        <v>4.8500000000000005</v>
      </c>
      <c r="Q188" s="513">
        <f t="shared" si="172"/>
        <v>2.9499999999999997</v>
      </c>
    </row>
    <row r="189" spans="1:17">
      <c r="A189" s="1298"/>
      <c r="B189" s="513">
        <v>7</v>
      </c>
      <c r="C189" s="513">
        <f t="shared" ref="C189:H189" si="173">B72</f>
        <v>230</v>
      </c>
      <c r="D189" s="513">
        <f t="shared" si="173"/>
        <v>0.38</v>
      </c>
      <c r="E189" s="513">
        <f t="shared" si="173"/>
        <v>0.47</v>
      </c>
      <c r="F189" s="513">
        <f t="shared" si="173"/>
        <v>0.47</v>
      </c>
      <c r="G189" s="513">
        <f t="shared" si="173"/>
        <v>4.4999999999999984E-2</v>
      </c>
      <c r="H189" s="513">
        <f t="shared" si="173"/>
        <v>2.7600000000000002</v>
      </c>
      <c r="J189" s="1298"/>
      <c r="K189" s="513">
        <v>7</v>
      </c>
      <c r="L189" s="513">
        <f t="shared" ref="L189:Q189" si="174">B80</f>
        <v>500</v>
      </c>
      <c r="M189" s="513">
        <f t="shared" si="174"/>
        <v>9.3000000000000007</v>
      </c>
      <c r="N189" s="513">
        <f t="shared" si="174"/>
        <v>0.9</v>
      </c>
      <c r="O189" s="513">
        <f t="shared" si="174"/>
        <v>3</v>
      </c>
      <c r="P189" s="513">
        <f t="shared" si="174"/>
        <v>4.2</v>
      </c>
      <c r="Q189" s="513">
        <f t="shared" si="174"/>
        <v>2.9499999999999997</v>
      </c>
    </row>
    <row r="190" spans="1:17">
      <c r="A190" s="1298"/>
      <c r="B190" s="513">
        <v>8</v>
      </c>
      <c r="C190" s="513">
        <f t="shared" ref="C190:H190" si="175">I72</f>
        <v>230</v>
      </c>
      <c r="D190" s="513">
        <f t="shared" si="175"/>
        <v>-0.3</v>
      </c>
      <c r="E190" s="513">
        <f t="shared" si="175"/>
        <v>-0.15</v>
      </c>
      <c r="F190" s="513">
        <f t="shared" si="175"/>
        <v>-0.54</v>
      </c>
      <c r="G190" s="513">
        <f t="shared" si="175"/>
        <v>0.19500000000000001</v>
      </c>
      <c r="H190" s="513">
        <f t="shared" si="175"/>
        <v>2.7600000000000002</v>
      </c>
      <c r="J190" s="1298"/>
      <c r="K190" s="513">
        <v>8</v>
      </c>
      <c r="L190" s="513">
        <f t="shared" ref="L190:Q190" si="176">I80</f>
        <v>500</v>
      </c>
      <c r="M190" s="513">
        <f t="shared" si="176"/>
        <v>6</v>
      </c>
      <c r="N190" s="513">
        <f t="shared" si="176"/>
        <v>-31.8</v>
      </c>
      <c r="O190" s="513">
        <f t="shared" si="176"/>
        <v>8.3000000000000007</v>
      </c>
      <c r="P190" s="513">
        <f t="shared" si="176"/>
        <v>20.05</v>
      </c>
      <c r="Q190" s="513">
        <f t="shared" si="176"/>
        <v>2.9499999999999997</v>
      </c>
    </row>
    <row r="191" spans="1:17">
      <c r="A191" s="1298"/>
      <c r="B191" s="513">
        <v>9</v>
      </c>
      <c r="C191" s="513">
        <f t="shared" ref="C191:H191" si="177">P72</f>
        <v>230</v>
      </c>
      <c r="D191" s="513">
        <f t="shared" si="177"/>
        <v>-0.34</v>
      </c>
      <c r="E191" s="513">
        <f t="shared" si="177"/>
        <v>-0.34</v>
      </c>
      <c r="F191" s="513">
        <f t="shared" si="177"/>
        <v>-0.39</v>
      </c>
      <c r="G191" s="513">
        <f t="shared" si="177"/>
        <v>2.4999999999999994E-2</v>
      </c>
      <c r="H191" s="513">
        <f t="shared" si="177"/>
        <v>2.7600000000000002</v>
      </c>
      <c r="J191" s="1298"/>
      <c r="K191" s="513">
        <v>9</v>
      </c>
      <c r="L191" s="513">
        <f t="shared" ref="L191:Q191" si="178">P80</f>
        <v>500</v>
      </c>
      <c r="M191" s="513">
        <f t="shared" si="178"/>
        <v>9.5</v>
      </c>
      <c r="N191" s="513">
        <f t="shared" si="178"/>
        <v>-25.1</v>
      </c>
      <c r="O191" s="513">
        <f t="shared" si="178"/>
        <v>7.2</v>
      </c>
      <c r="P191" s="513">
        <f t="shared" si="178"/>
        <v>17.3</v>
      </c>
      <c r="Q191" s="513">
        <f t="shared" si="178"/>
        <v>2.9499999999999997</v>
      </c>
    </row>
    <row r="192" spans="1:17">
      <c r="A192" s="1298"/>
      <c r="B192" s="513">
        <v>10</v>
      </c>
      <c r="C192" s="513">
        <f>B103</f>
        <v>230</v>
      </c>
      <c r="D192" s="513">
        <f t="shared" ref="D192:F192" si="179">C103</f>
        <v>-0.11</v>
      </c>
      <c r="E192" s="513" t="str">
        <f t="shared" si="179"/>
        <v>-</v>
      </c>
      <c r="F192" s="513">
        <f t="shared" si="179"/>
        <v>0</v>
      </c>
      <c r="G192" s="513">
        <f>F103</f>
        <v>0</v>
      </c>
      <c r="H192" s="513" t="str">
        <f>G103</f>
        <v>-</v>
      </c>
      <c r="J192" s="1298"/>
      <c r="K192" s="513">
        <v>10</v>
      </c>
      <c r="L192" s="513">
        <f t="shared" ref="L192:Q192" si="180">B111</f>
        <v>500</v>
      </c>
      <c r="M192" s="513">
        <f t="shared" si="180"/>
        <v>1.5</v>
      </c>
      <c r="N192" s="513" t="str">
        <f t="shared" si="180"/>
        <v>-</v>
      </c>
      <c r="O192" s="513">
        <f t="shared" si="180"/>
        <v>0</v>
      </c>
      <c r="P192" s="513">
        <f t="shared" si="180"/>
        <v>0</v>
      </c>
      <c r="Q192" s="513" t="str">
        <f t="shared" si="180"/>
        <v>-</v>
      </c>
    </row>
    <row r="193" spans="1:17">
      <c r="A193" s="1298"/>
      <c r="B193" s="513">
        <v>11</v>
      </c>
      <c r="C193" s="513">
        <f>I103</f>
        <v>230</v>
      </c>
      <c r="D193" s="513">
        <f t="shared" ref="D193:F193" si="181">J103</f>
        <v>9.9999999999999995E-7</v>
      </c>
      <c r="E193" s="513" t="str">
        <f t="shared" si="181"/>
        <v>-</v>
      </c>
      <c r="F193" s="513">
        <f t="shared" si="181"/>
        <v>0</v>
      </c>
      <c r="G193" s="513">
        <f>M103</f>
        <v>0</v>
      </c>
      <c r="H193" s="513" t="str">
        <f>N103</f>
        <v>-</v>
      </c>
      <c r="J193" s="1298"/>
      <c r="K193" s="513">
        <v>11</v>
      </c>
      <c r="L193" s="513">
        <f t="shared" ref="L193:Q193" si="182">I111</f>
        <v>500</v>
      </c>
      <c r="M193" s="513">
        <f t="shared" si="182"/>
        <v>9.9999999999999995E-7</v>
      </c>
      <c r="N193" s="513" t="str">
        <f t="shared" si="182"/>
        <v>-</v>
      </c>
      <c r="O193" s="513">
        <f t="shared" si="182"/>
        <v>0</v>
      </c>
      <c r="P193" s="513">
        <f t="shared" si="182"/>
        <v>0</v>
      </c>
      <c r="Q193" s="513" t="str">
        <f t="shared" si="182"/>
        <v>-</v>
      </c>
    </row>
    <row r="194" spans="1:17">
      <c r="A194" s="1298"/>
      <c r="B194" s="513">
        <v>12</v>
      </c>
      <c r="C194" s="513">
        <f>P103</f>
        <v>230</v>
      </c>
      <c r="D194" s="513">
        <f t="shared" ref="D194:F194" si="183">Q103</f>
        <v>9.9999999999999995E-7</v>
      </c>
      <c r="E194" s="513" t="str">
        <f t="shared" si="183"/>
        <v>-</v>
      </c>
      <c r="F194" s="513">
        <f t="shared" si="183"/>
        <v>0</v>
      </c>
      <c r="G194" s="513">
        <f>T103</f>
        <v>0</v>
      </c>
      <c r="H194" s="513" t="str">
        <f>U103</f>
        <v>-</v>
      </c>
      <c r="J194" s="1298"/>
      <c r="K194" s="513">
        <v>12</v>
      </c>
      <c r="L194" s="513">
        <f t="shared" ref="L194:Q194" si="184">P111</f>
        <v>500</v>
      </c>
      <c r="M194" s="513">
        <f t="shared" si="184"/>
        <v>9.9999999999999995E-7</v>
      </c>
      <c r="N194" s="513" t="str">
        <f t="shared" si="184"/>
        <v>-</v>
      </c>
      <c r="O194" s="513">
        <f t="shared" si="184"/>
        <v>0</v>
      </c>
      <c r="P194" s="513">
        <f t="shared" si="184"/>
        <v>0</v>
      </c>
      <c r="Q194" s="513" t="str">
        <f t="shared" si="184"/>
        <v>-</v>
      </c>
    </row>
    <row r="195" spans="1:17" s="328" customFormat="1">
      <c r="A195" s="419"/>
      <c r="B195" s="419"/>
      <c r="C195" s="419"/>
      <c r="D195" s="419"/>
      <c r="E195" s="419"/>
      <c r="F195" s="420"/>
      <c r="G195" s="419"/>
      <c r="H195" s="419"/>
      <c r="J195" s="419"/>
      <c r="K195" s="419"/>
      <c r="L195" s="422"/>
      <c r="M195" s="422"/>
      <c r="N195" s="422"/>
      <c r="O195" s="420"/>
      <c r="P195" s="422"/>
      <c r="Q195" s="422"/>
    </row>
    <row r="196" spans="1:17">
      <c r="A196" s="1298" t="s">
        <v>549</v>
      </c>
      <c r="B196" s="513">
        <v>1</v>
      </c>
      <c r="C196" s="513">
        <f t="shared" ref="C196:H196" si="185">B11</f>
        <v>250</v>
      </c>
      <c r="D196" s="513">
        <f t="shared" si="185"/>
        <v>-0.32</v>
      </c>
      <c r="E196" s="513">
        <f t="shared" si="185"/>
        <v>9.9999999999999995E-7</v>
      </c>
      <c r="F196" s="513">
        <f t="shared" si="185"/>
        <v>0</v>
      </c>
      <c r="G196" s="513">
        <f t="shared" si="185"/>
        <v>0.16000049999999999</v>
      </c>
      <c r="H196" s="513">
        <f t="shared" si="185"/>
        <v>3</v>
      </c>
      <c r="J196" s="1298" t="s">
        <v>549</v>
      </c>
      <c r="K196" s="513">
        <v>1</v>
      </c>
      <c r="L196" s="513">
        <f t="shared" ref="L196:Q196" si="186">B19</f>
        <v>1000</v>
      </c>
      <c r="M196" s="513">
        <f t="shared" si="186"/>
        <v>9</v>
      </c>
      <c r="N196" s="513">
        <f t="shared" si="186"/>
        <v>9.9999999999999995E-7</v>
      </c>
      <c r="O196" s="513">
        <f t="shared" si="186"/>
        <v>0</v>
      </c>
      <c r="P196" s="513">
        <f t="shared" si="186"/>
        <v>4.4999995000000004</v>
      </c>
      <c r="Q196" s="513">
        <f t="shared" si="186"/>
        <v>5.8999999999999995</v>
      </c>
    </row>
    <row r="197" spans="1:17">
      <c r="A197" s="1298"/>
      <c r="B197" s="513">
        <v>2</v>
      </c>
      <c r="C197" s="513">
        <f t="shared" ref="C197:H197" si="187">I11</f>
        <v>250</v>
      </c>
      <c r="D197" s="513">
        <f t="shared" si="187"/>
        <v>9.9999999999999995E-7</v>
      </c>
      <c r="E197" s="513">
        <f t="shared" si="187"/>
        <v>9.9999999999999995E-7</v>
      </c>
      <c r="F197" s="513">
        <f t="shared" si="187"/>
        <v>0</v>
      </c>
      <c r="G197" s="513">
        <f t="shared" si="187"/>
        <v>0</v>
      </c>
      <c r="H197" s="513">
        <f t="shared" si="187"/>
        <v>2.76</v>
      </c>
      <c r="J197" s="1298"/>
      <c r="K197" s="513">
        <v>2</v>
      </c>
      <c r="L197" s="513">
        <f t="shared" ref="L197:Q197" si="188">I19</f>
        <v>1000</v>
      </c>
      <c r="M197" s="513">
        <f t="shared" si="188"/>
        <v>9.9999999999999995E-7</v>
      </c>
      <c r="N197" s="513">
        <f t="shared" si="188"/>
        <v>9.9999999999999995E-7</v>
      </c>
      <c r="O197" s="513">
        <f t="shared" si="188"/>
        <v>0</v>
      </c>
      <c r="P197" s="513">
        <f t="shared" si="188"/>
        <v>0</v>
      </c>
      <c r="Q197" s="513">
        <f t="shared" si="188"/>
        <v>2.95</v>
      </c>
    </row>
    <row r="198" spans="1:17">
      <c r="A198" s="1298"/>
      <c r="B198" s="513">
        <v>3</v>
      </c>
      <c r="C198" s="513">
        <f t="shared" ref="C198:H198" si="189">P11</f>
        <v>250</v>
      </c>
      <c r="D198" s="513">
        <f t="shared" si="189"/>
        <v>-2.56</v>
      </c>
      <c r="E198" s="513">
        <f t="shared" si="189"/>
        <v>9.9999999999999995E-7</v>
      </c>
      <c r="F198" s="513">
        <f t="shared" si="189"/>
        <v>9.9999999999999995E-7</v>
      </c>
      <c r="G198" s="513">
        <f t="shared" si="189"/>
        <v>1.2800005000000001</v>
      </c>
      <c r="H198" s="513">
        <f t="shared" si="189"/>
        <v>3</v>
      </c>
      <c r="J198" s="1298"/>
      <c r="K198" s="513">
        <v>3</v>
      </c>
      <c r="L198" s="513">
        <f t="shared" ref="L198:Q198" si="190">P19</f>
        <v>1000</v>
      </c>
      <c r="M198" s="513">
        <f t="shared" si="190"/>
        <v>-88</v>
      </c>
      <c r="N198" s="513">
        <f t="shared" si="190"/>
        <v>-47</v>
      </c>
      <c r="O198" s="513">
        <f t="shared" si="190"/>
        <v>3</v>
      </c>
      <c r="P198" s="513">
        <f t="shared" si="190"/>
        <v>45.5</v>
      </c>
      <c r="Q198" s="513">
        <f t="shared" si="190"/>
        <v>5.8999999999999995</v>
      </c>
    </row>
    <row r="199" spans="1:17">
      <c r="A199" s="1298"/>
      <c r="B199" s="513">
        <v>4</v>
      </c>
      <c r="C199" s="513">
        <f t="shared" ref="C199:H199" si="191">B42</f>
        <v>250</v>
      </c>
      <c r="D199" s="513">
        <f t="shared" si="191"/>
        <v>9.9999999999999995E-7</v>
      </c>
      <c r="E199" s="513">
        <f t="shared" si="191"/>
        <v>9.9999999999999995E-7</v>
      </c>
      <c r="F199" s="513">
        <f t="shared" si="191"/>
        <v>0</v>
      </c>
      <c r="G199" s="513">
        <f t="shared" si="191"/>
        <v>0</v>
      </c>
      <c r="H199" s="513">
        <f t="shared" si="191"/>
        <v>3</v>
      </c>
      <c r="J199" s="1298"/>
      <c r="K199" s="513">
        <v>4</v>
      </c>
      <c r="L199" s="513">
        <f t="shared" ref="L199:Q199" si="192">B50</f>
        <v>1000</v>
      </c>
      <c r="M199" s="513">
        <f t="shared" si="192"/>
        <v>2</v>
      </c>
      <c r="N199" s="513">
        <f t="shared" si="192"/>
        <v>2</v>
      </c>
      <c r="O199" s="513">
        <f t="shared" si="192"/>
        <v>0</v>
      </c>
      <c r="P199" s="513">
        <f t="shared" si="192"/>
        <v>0</v>
      </c>
      <c r="Q199" s="513">
        <f t="shared" si="192"/>
        <v>5.8999999999999995</v>
      </c>
    </row>
    <row r="200" spans="1:17">
      <c r="A200" s="1298"/>
      <c r="B200" s="513">
        <v>5</v>
      </c>
      <c r="C200" s="513">
        <f t="shared" ref="C200:H200" si="193">I42</f>
        <v>250</v>
      </c>
      <c r="D200" s="513">
        <f t="shared" si="193"/>
        <v>9.9999999999999995E-7</v>
      </c>
      <c r="E200" s="513">
        <f t="shared" si="193"/>
        <v>9.9999999999999995E-7</v>
      </c>
      <c r="F200" s="513">
        <f t="shared" si="193"/>
        <v>0</v>
      </c>
      <c r="G200" s="513">
        <f t="shared" si="193"/>
        <v>0</v>
      </c>
      <c r="H200" s="513">
        <f t="shared" si="193"/>
        <v>3</v>
      </c>
      <c r="J200" s="1298"/>
      <c r="K200" s="513">
        <v>5</v>
      </c>
      <c r="L200" s="513">
        <f t="shared" ref="L200:Q200" si="194">I50</f>
        <v>1000</v>
      </c>
      <c r="M200" s="513">
        <f t="shared" si="194"/>
        <v>-110</v>
      </c>
      <c r="N200" s="513">
        <f t="shared" si="194"/>
        <v>9.9999999999999995E-7</v>
      </c>
      <c r="O200" s="513">
        <f t="shared" si="194"/>
        <v>0</v>
      </c>
      <c r="P200" s="513">
        <f t="shared" si="194"/>
        <v>55.000000499999999</v>
      </c>
      <c r="Q200" s="513">
        <f t="shared" si="194"/>
        <v>5.8999999999999995</v>
      </c>
    </row>
    <row r="201" spans="1:17">
      <c r="A201" s="1298"/>
      <c r="B201" s="513">
        <v>6</v>
      </c>
      <c r="C201" s="513">
        <f t="shared" ref="C201:H201" si="195">P42</f>
        <v>250</v>
      </c>
      <c r="D201" s="513">
        <f t="shared" si="195"/>
        <v>9.9999999999999995E-7</v>
      </c>
      <c r="E201" s="513">
        <f t="shared" si="195"/>
        <v>9.9999999999999995E-7</v>
      </c>
      <c r="F201" s="513">
        <f t="shared" si="195"/>
        <v>9.9999999999999995E-7</v>
      </c>
      <c r="G201" s="513">
        <f t="shared" si="195"/>
        <v>0</v>
      </c>
      <c r="H201" s="513">
        <f t="shared" si="195"/>
        <v>0</v>
      </c>
      <c r="J201" s="1298"/>
      <c r="K201" s="513">
        <v>6</v>
      </c>
      <c r="L201" s="513">
        <f t="shared" ref="L201:Q201" si="196">P50</f>
        <v>1000</v>
      </c>
      <c r="M201" s="513">
        <f t="shared" si="196"/>
        <v>-88</v>
      </c>
      <c r="N201" s="513">
        <f t="shared" si="196"/>
        <v>-11</v>
      </c>
      <c r="O201" s="513">
        <f t="shared" si="196"/>
        <v>9.9999999999999995E-7</v>
      </c>
      <c r="P201" s="513">
        <f t="shared" si="196"/>
        <v>44.000000499999999</v>
      </c>
      <c r="Q201" s="513">
        <f t="shared" si="196"/>
        <v>5.8999999999999995</v>
      </c>
    </row>
    <row r="202" spans="1:17">
      <c r="A202" s="1298"/>
      <c r="B202" s="513">
        <v>7</v>
      </c>
      <c r="C202" s="513">
        <f t="shared" ref="C202:H202" si="197">B73</f>
        <v>250</v>
      </c>
      <c r="D202" s="513">
        <f t="shared" si="197"/>
        <v>1.0000000000000001E-5</v>
      </c>
      <c r="E202" s="513">
        <f t="shared" si="197"/>
        <v>1.0000000000000001E-5</v>
      </c>
      <c r="F202" s="513">
        <f t="shared" si="197"/>
        <v>0.38</v>
      </c>
      <c r="G202" s="513">
        <f t="shared" si="197"/>
        <v>0.189995</v>
      </c>
      <c r="H202" s="513">
        <f t="shared" si="197"/>
        <v>3</v>
      </c>
      <c r="J202" s="1298"/>
      <c r="K202" s="513">
        <v>7</v>
      </c>
      <c r="L202" s="513">
        <f t="shared" ref="L202:Q202" si="198">B81</f>
        <v>1000</v>
      </c>
      <c r="M202" s="513">
        <f t="shared" si="198"/>
        <v>-88</v>
      </c>
      <c r="N202" s="513">
        <f t="shared" si="198"/>
        <v>1</v>
      </c>
      <c r="O202" s="513">
        <f t="shared" si="198"/>
        <v>9.9999999999999995E-7</v>
      </c>
      <c r="P202" s="513">
        <f t="shared" si="198"/>
        <v>44.5</v>
      </c>
      <c r="Q202" s="513">
        <f t="shared" si="198"/>
        <v>5.8999999999999995</v>
      </c>
    </row>
    <row r="203" spans="1:17">
      <c r="A203" s="1298"/>
      <c r="B203" s="513">
        <v>8</v>
      </c>
      <c r="C203" s="513">
        <f t="shared" ref="C203:H203" si="199">I73</f>
        <v>250</v>
      </c>
      <c r="D203" s="513">
        <f t="shared" si="199"/>
        <v>0</v>
      </c>
      <c r="E203" s="513">
        <f t="shared" si="199"/>
        <v>9.9999999999999995E-7</v>
      </c>
      <c r="F203" s="513">
        <f t="shared" si="199"/>
        <v>-0.49</v>
      </c>
      <c r="G203" s="513">
        <f t="shared" si="199"/>
        <v>0.24500049999999998</v>
      </c>
      <c r="H203" s="513">
        <f t="shared" si="199"/>
        <v>3</v>
      </c>
      <c r="J203" s="1298"/>
      <c r="K203" s="513">
        <v>8</v>
      </c>
      <c r="L203" s="513">
        <f t="shared" ref="L203:Q203" si="200">I81</f>
        <v>1000</v>
      </c>
      <c r="M203" s="513">
        <f t="shared" si="200"/>
        <v>-88</v>
      </c>
      <c r="N203" s="513">
        <f t="shared" si="200"/>
        <v>-74</v>
      </c>
      <c r="O203" s="513">
        <f t="shared" si="200"/>
        <v>9.9999999999999995E-7</v>
      </c>
      <c r="P203" s="513">
        <f t="shared" si="200"/>
        <v>44.000000499999999</v>
      </c>
      <c r="Q203" s="513">
        <f t="shared" si="200"/>
        <v>5.8999999999999995</v>
      </c>
    </row>
    <row r="204" spans="1:17">
      <c r="A204" s="1298"/>
      <c r="B204" s="513">
        <v>9</v>
      </c>
      <c r="C204" s="513">
        <f t="shared" ref="C204:H204" si="201">P73</f>
        <v>250</v>
      </c>
      <c r="D204" s="513">
        <f t="shared" si="201"/>
        <v>0</v>
      </c>
      <c r="E204" s="513">
        <f t="shared" si="201"/>
        <v>0</v>
      </c>
      <c r="F204" s="513">
        <f t="shared" si="201"/>
        <v>-0.39</v>
      </c>
      <c r="G204" s="513">
        <f t="shared" si="201"/>
        <v>0.19500000000000001</v>
      </c>
      <c r="H204" s="513">
        <f t="shared" si="201"/>
        <v>3</v>
      </c>
      <c r="J204" s="1298"/>
      <c r="K204" s="513">
        <v>9</v>
      </c>
      <c r="L204" s="513">
        <f t="shared" ref="L204:Q204" si="202">P81</f>
        <v>1000</v>
      </c>
      <c r="M204" s="513">
        <f t="shared" si="202"/>
        <v>-88</v>
      </c>
      <c r="N204" s="513">
        <f t="shared" si="202"/>
        <v>-66</v>
      </c>
      <c r="O204" s="513">
        <f t="shared" si="202"/>
        <v>9.9999999999999995E-7</v>
      </c>
      <c r="P204" s="513">
        <f t="shared" si="202"/>
        <v>44.000000499999999</v>
      </c>
      <c r="Q204" s="513">
        <f t="shared" si="202"/>
        <v>5.8999999999999995</v>
      </c>
    </row>
    <row r="205" spans="1:17">
      <c r="A205" s="1298"/>
      <c r="B205" s="513">
        <v>10</v>
      </c>
      <c r="C205" s="513">
        <f>B104</f>
        <v>250</v>
      </c>
      <c r="D205" s="513">
        <f t="shared" ref="D205:F205" si="203">C104</f>
        <v>-0.11</v>
      </c>
      <c r="E205" s="513" t="str">
        <f t="shared" si="203"/>
        <v>-</v>
      </c>
      <c r="F205" s="513">
        <f t="shared" si="203"/>
        <v>0</v>
      </c>
      <c r="G205" s="513">
        <f>F104</f>
        <v>0</v>
      </c>
      <c r="H205" s="513" t="str">
        <f>G104</f>
        <v>-</v>
      </c>
      <c r="J205" s="1298"/>
      <c r="K205" s="513">
        <v>10</v>
      </c>
      <c r="L205" s="513">
        <f t="shared" ref="L205:Q205" si="204">B112</f>
        <v>1000</v>
      </c>
      <c r="M205" s="513">
        <f t="shared" si="204"/>
        <v>2</v>
      </c>
      <c r="N205" s="513" t="str">
        <f t="shared" si="204"/>
        <v>-</v>
      </c>
      <c r="O205" s="513">
        <f t="shared" si="204"/>
        <v>0</v>
      </c>
      <c r="P205" s="513">
        <f t="shared" si="204"/>
        <v>0</v>
      </c>
      <c r="Q205" s="513" t="str">
        <f t="shared" si="204"/>
        <v>-</v>
      </c>
    </row>
    <row r="206" spans="1:17">
      <c r="A206" s="1298"/>
      <c r="B206" s="513">
        <v>11</v>
      </c>
      <c r="C206" s="513">
        <f>I104</f>
        <v>250</v>
      </c>
      <c r="D206" s="513">
        <f t="shared" ref="D206:F206" si="205">J104</f>
        <v>9.9999999999999995E-7</v>
      </c>
      <c r="E206" s="513" t="str">
        <f t="shared" si="205"/>
        <v>-</v>
      </c>
      <c r="F206" s="513">
        <f t="shared" si="205"/>
        <v>0</v>
      </c>
      <c r="G206" s="513">
        <f>M104</f>
        <v>0</v>
      </c>
      <c r="H206" s="513" t="str">
        <f>N104</f>
        <v>-</v>
      </c>
      <c r="J206" s="1298"/>
      <c r="K206" s="513">
        <v>11</v>
      </c>
      <c r="L206" s="513">
        <f t="shared" ref="L206:Q206" si="206">I112</f>
        <v>1000</v>
      </c>
      <c r="M206" s="513">
        <f t="shared" si="206"/>
        <v>9.9999999999999995E-7</v>
      </c>
      <c r="N206" s="513" t="str">
        <f t="shared" si="206"/>
        <v>-</v>
      </c>
      <c r="O206" s="513">
        <f t="shared" si="206"/>
        <v>0</v>
      </c>
      <c r="P206" s="513">
        <f t="shared" si="206"/>
        <v>0</v>
      </c>
      <c r="Q206" s="513" t="str">
        <f t="shared" si="206"/>
        <v>-</v>
      </c>
    </row>
    <row r="207" spans="1:17">
      <c r="A207" s="1298"/>
      <c r="B207" s="513">
        <v>12</v>
      </c>
      <c r="C207" s="513">
        <f>P104</f>
        <v>250</v>
      </c>
      <c r="D207" s="513">
        <f t="shared" ref="D207:F207" si="207">Q104</f>
        <v>9.9999999999999995E-7</v>
      </c>
      <c r="E207" s="513" t="str">
        <f t="shared" si="207"/>
        <v>-</v>
      </c>
      <c r="F207" s="513">
        <f t="shared" si="207"/>
        <v>0</v>
      </c>
      <c r="G207" s="513">
        <f>T104</f>
        <v>0</v>
      </c>
      <c r="H207" s="513" t="str">
        <f>U104</f>
        <v>-</v>
      </c>
      <c r="J207" s="1298"/>
      <c r="K207" s="513">
        <v>12</v>
      </c>
      <c r="L207" s="513">
        <f t="shared" ref="L207:Q207" si="208">P112</f>
        <v>1000</v>
      </c>
      <c r="M207" s="513">
        <f t="shared" si="208"/>
        <v>9.9999999999999995E-7</v>
      </c>
      <c r="N207" s="513" t="str">
        <f t="shared" si="208"/>
        <v>-</v>
      </c>
      <c r="O207" s="513">
        <f t="shared" si="208"/>
        <v>0</v>
      </c>
      <c r="P207" s="513">
        <f t="shared" si="208"/>
        <v>0</v>
      </c>
      <c r="Q207" s="513" t="str">
        <f t="shared" si="208"/>
        <v>-</v>
      </c>
    </row>
    <row r="208" spans="1:17">
      <c r="A208" s="423"/>
      <c r="B208" s="414"/>
      <c r="C208" s="414"/>
      <c r="D208" s="423"/>
      <c r="E208" s="423"/>
      <c r="F208" s="423"/>
      <c r="G208" s="423"/>
      <c r="H208" s="423"/>
      <c r="J208" s="423"/>
      <c r="K208" s="423"/>
      <c r="L208" s="423"/>
      <c r="M208" s="423"/>
      <c r="N208" s="423"/>
      <c r="O208" s="423"/>
      <c r="P208" s="423"/>
      <c r="Q208" s="321"/>
    </row>
    <row r="209" spans="1:17" ht="14">
      <c r="A209" s="1301" t="s">
        <v>545</v>
      </c>
      <c r="B209" s="1302"/>
      <c r="C209" s="1303" t="s">
        <v>521</v>
      </c>
      <c r="D209" s="1303"/>
      <c r="E209" s="1303"/>
      <c r="F209" s="1303"/>
      <c r="G209" s="1303"/>
      <c r="H209" s="1303"/>
      <c r="J209" s="1301" t="s">
        <v>545</v>
      </c>
      <c r="K209" s="1302"/>
      <c r="L209" s="1308" t="s">
        <v>521</v>
      </c>
      <c r="M209" s="1308"/>
      <c r="N209" s="1308"/>
      <c r="O209" s="1308"/>
      <c r="P209" s="1308"/>
      <c r="Q209" s="1308"/>
    </row>
    <row r="210" spans="1:17" ht="13" customHeight="1">
      <c r="A210" s="1301"/>
      <c r="B210" s="1302"/>
      <c r="C210" s="1309" t="str">
        <f>B20</f>
        <v>Main-PE</v>
      </c>
      <c r="D210" s="1309"/>
      <c r="E210" s="1309"/>
      <c r="F210" s="1309"/>
      <c r="G210" s="424" t="s">
        <v>523</v>
      </c>
      <c r="H210" s="424" t="s">
        <v>371</v>
      </c>
      <c r="J210" s="1301"/>
      <c r="K210" s="1302"/>
      <c r="L210" s="1309" t="str">
        <f>B26</f>
        <v>Resistance</v>
      </c>
      <c r="M210" s="1309"/>
      <c r="N210" s="1309"/>
      <c r="O210" s="1309"/>
      <c r="P210" s="424" t="s">
        <v>523</v>
      </c>
      <c r="Q210" s="424" t="s">
        <v>371</v>
      </c>
    </row>
    <row r="211" spans="1:17" ht="14.5">
      <c r="A211" s="1301"/>
      <c r="B211" s="1302"/>
      <c r="C211" s="536" t="s">
        <v>528</v>
      </c>
      <c r="D211" s="424"/>
      <c r="E211" s="424"/>
      <c r="F211" s="321"/>
      <c r="G211" s="424"/>
      <c r="H211" s="424"/>
      <c r="J211" s="1301"/>
      <c r="K211" s="1302"/>
      <c r="L211" s="536" t="s">
        <v>530</v>
      </c>
      <c r="M211" s="424"/>
      <c r="N211" s="424"/>
      <c r="O211" s="321"/>
      <c r="P211" s="424"/>
      <c r="Q211" s="424"/>
    </row>
    <row r="212" spans="1:17">
      <c r="A212" s="1310" t="s">
        <v>540</v>
      </c>
      <c r="B212" s="513">
        <v>1</v>
      </c>
      <c r="C212" s="513">
        <f t="shared" ref="C212:H212" si="209">B22</f>
        <v>10</v>
      </c>
      <c r="D212" s="513">
        <f t="shared" si="209"/>
        <v>9.9999999999999995E-7</v>
      </c>
      <c r="E212" s="513">
        <f t="shared" si="209"/>
        <v>9.9999999999999995E-7</v>
      </c>
      <c r="F212" s="513">
        <f t="shared" si="209"/>
        <v>0</v>
      </c>
      <c r="G212" s="513">
        <f t="shared" si="209"/>
        <v>0</v>
      </c>
      <c r="H212" s="513">
        <f t="shared" si="209"/>
        <v>0</v>
      </c>
      <c r="J212" s="1310" t="s">
        <v>540</v>
      </c>
      <c r="K212" s="513">
        <v>1</v>
      </c>
      <c r="L212" s="513">
        <f t="shared" ref="L212:Q212" si="210">B28</f>
        <v>0</v>
      </c>
      <c r="M212" s="513">
        <f t="shared" si="210"/>
        <v>9.9999999999999995E-7</v>
      </c>
      <c r="N212" s="513">
        <f t="shared" si="210"/>
        <v>9.9999999999999995E-7</v>
      </c>
      <c r="O212" s="513">
        <f t="shared" si="210"/>
        <v>0</v>
      </c>
      <c r="P212" s="513">
        <f t="shared" si="210"/>
        <v>0</v>
      </c>
      <c r="Q212" s="513">
        <f t="shared" si="210"/>
        <v>0</v>
      </c>
    </row>
    <row r="213" spans="1:17">
      <c r="A213" s="1310"/>
      <c r="B213" s="513">
        <v>2</v>
      </c>
      <c r="C213" s="513">
        <f t="shared" ref="C213:H213" si="211">I22</f>
        <v>10</v>
      </c>
      <c r="D213" s="513">
        <f t="shared" si="211"/>
        <v>0.1</v>
      </c>
      <c r="E213" s="513">
        <f t="shared" si="211"/>
        <v>9.9999999999999995E-7</v>
      </c>
      <c r="F213" s="513">
        <f t="shared" si="211"/>
        <v>0</v>
      </c>
      <c r="G213" s="513">
        <f t="shared" si="211"/>
        <v>4.9999500000000002E-2</v>
      </c>
      <c r="H213" s="513">
        <f t="shared" si="211"/>
        <v>5.8999999999999997E-2</v>
      </c>
      <c r="J213" s="1310"/>
      <c r="K213" s="513">
        <v>2</v>
      </c>
      <c r="L213" s="513">
        <f t="shared" ref="L213:Q213" si="212">I28</f>
        <v>0.01</v>
      </c>
      <c r="M213" s="513">
        <f t="shared" si="212"/>
        <v>9.9999999999999995E-7</v>
      </c>
      <c r="N213" s="513">
        <f t="shared" si="212"/>
        <v>9.9999999999999995E-7</v>
      </c>
      <c r="O213" s="513">
        <f t="shared" si="212"/>
        <v>0</v>
      </c>
      <c r="P213" s="513">
        <f t="shared" si="212"/>
        <v>0</v>
      </c>
      <c r="Q213" s="513">
        <f t="shared" si="212"/>
        <v>1.2E-4</v>
      </c>
    </row>
    <row r="214" spans="1:17">
      <c r="A214" s="1310"/>
      <c r="B214" s="513">
        <v>3</v>
      </c>
      <c r="C214" s="513">
        <f t="shared" ref="C214:H214" si="213">P22</f>
        <v>5</v>
      </c>
      <c r="D214" s="513">
        <f t="shared" si="213"/>
        <v>0</v>
      </c>
      <c r="E214" s="513">
        <f t="shared" si="213"/>
        <v>9.9999999999999995E-7</v>
      </c>
      <c r="F214" s="513">
        <f t="shared" si="213"/>
        <v>9.9999999999999995E-7</v>
      </c>
      <c r="G214" s="513">
        <f t="shared" si="213"/>
        <v>4.9999999999999998E-7</v>
      </c>
      <c r="H214" s="513">
        <f t="shared" si="213"/>
        <v>8.5000000000000006E-2</v>
      </c>
      <c r="J214" s="1310"/>
      <c r="K214" s="513">
        <v>3</v>
      </c>
      <c r="L214" s="513">
        <f t="shared" ref="L214:Q214" si="214">P28</f>
        <v>0</v>
      </c>
      <c r="M214" s="513">
        <f t="shared" si="214"/>
        <v>0</v>
      </c>
      <c r="N214" s="513">
        <f t="shared" si="214"/>
        <v>-1E-3</v>
      </c>
      <c r="O214" s="513">
        <f t="shared" si="214"/>
        <v>9.9999999999999995E-7</v>
      </c>
      <c r="P214" s="513">
        <f t="shared" si="214"/>
        <v>5.0049999999999997E-4</v>
      </c>
      <c r="Q214" s="513">
        <f t="shared" si="214"/>
        <v>0</v>
      </c>
    </row>
    <row r="215" spans="1:17">
      <c r="A215" s="1310"/>
      <c r="B215" s="513">
        <v>4</v>
      </c>
      <c r="C215" s="513">
        <f t="shared" ref="C215:H215" si="215">B53</f>
        <v>10</v>
      </c>
      <c r="D215" s="513">
        <f t="shared" si="215"/>
        <v>9.9999999999999995E-7</v>
      </c>
      <c r="E215" s="513">
        <f t="shared" si="215"/>
        <v>0.1</v>
      </c>
      <c r="F215" s="513">
        <f t="shared" si="215"/>
        <v>0</v>
      </c>
      <c r="G215" s="513">
        <f t="shared" si="215"/>
        <v>4.9999500000000002E-2</v>
      </c>
      <c r="H215" s="513">
        <f t="shared" si="215"/>
        <v>0.17</v>
      </c>
      <c r="J215" s="1310"/>
      <c r="K215" s="513">
        <v>4</v>
      </c>
      <c r="L215" s="513">
        <f t="shared" ref="L215:Q215" si="216">B59</f>
        <v>0.01</v>
      </c>
      <c r="M215" s="513">
        <f t="shared" si="216"/>
        <v>9.9999999999999995E-7</v>
      </c>
      <c r="N215" s="513">
        <f t="shared" si="216"/>
        <v>9.9999999999999995E-7</v>
      </c>
      <c r="O215" s="513">
        <f t="shared" si="216"/>
        <v>0</v>
      </c>
      <c r="P215" s="513">
        <f t="shared" si="216"/>
        <v>0</v>
      </c>
      <c r="Q215" s="513">
        <f t="shared" si="216"/>
        <v>1.2E-4</v>
      </c>
    </row>
    <row r="216" spans="1:17">
      <c r="A216" s="1310"/>
      <c r="B216" s="513">
        <v>5</v>
      </c>
      <c r="C216" s="513">
        <f t="shared" ref="C216:H216" si="217">I53</f>
        <v>10</v>
      </c>
      <c r="D216" s="513">
        <f t="shared" si="217"/>
        <v>9.9999999999999995E-7</v>
      </c>
      <c r="E216" s="513">
        <f t="shared" si="217"/>
        <v>0.1</v>
      </c>
      <c r="F216" s="513">
        <f t="shared" si="217"/>
        <v>0</v>
      </c>
      <c r="G216" s="513">
        <f t="shared" si="217"/>
        <v>4.9999500000000002E-2</v>
      </c>
      <c r="H216" s="513">
        <f t="shared" si="217"/>
        <v>0.17</v>
      </c>
      <c r="J216" s="1310"/>
      <c r="K216" s="513">
        <v>5</v>
      </c>
      <c r="L216" s="513">
        <f t="shared" ref="L216:Q216" si="218">I59</f>
        <v>0</v>
      </c>
      <c r="M216" s="513">
        <f t="shared" si="218"/>
        <v>9.9999999999999995E-7</v>
      </c>
      <c r="N216" s="513">
        <f t="shared" si="218"/>
        <v>9.9999999999999995E-7</v>
      </c>
      <c r="O216" s="513">
        <f t="shared" si="218"/>
        <v>0</v>
      </c>
      <c r="P216" s="513">
        <f t="shared" si="218"/>
        <v>0</v>
      </c>
      <c r="Q216" s="513">
        <f t="shared" si="218"/>
        <v>0</v>
      </c>
    </row>
    <row r="217" spans="1:17">
      <c r="A217" s="1310"/>
      <c r="B217" s="513">
        <v>6</v>
      </c>
      <c r="C217" s="513">
        <f t="shared" ref="C217:H217" si="219">P53</f>
        <v>10</v>
      </c>
      <c r="D217" s="513">
        <f t="shared" si="219"/>
        <v>0</v>
      </c>
      <c r="E217" s="513">
        <f t="shared" si="219"/>
        <v>0.1</v>
      </c>
      <c r="F217" s="513">
        <f t="shared" si="219"/>
        <v>0.1</v>
      </c>
      <c r="G217" s="513">
        <f t="shared" si="219"/>
        <v>0.05</v>
      </c>
      <c r="H217" s="513">
        <f t="shared" si="219"/>
        <v>0.17</v>
      </c>
      <c r="J217" s="1310"/>
      <c r="K217" s="513">
        <v>6</v>
      </c>
      <c r="L217" s="513">
        <f t="shared" ref="L217:Q217" si="220">P59</f>
        <v>0</v>
      </c>
      <c r="M217" s="513">
        <f t="shared" si="220"/>
        <v>0</v>
      </c>
      <c r="N217" s="513">
        <f t="shared" si="220"/>
        <v>-3.0000000000000001E-3</v>
      </c>
      <c r="O217" s="513">
        <f t="shared" si="220"/>
        <v>9.9999999999999995E-7</v>
      </c>
      <c r="P217" s="513">
        <f t="shared" si="220"/>
        <v>1.5005000000000001E-3</v>
      </c>
      <c r="Q217" s="513">
        <f t="shared" si="220"/>
        <v>0</v>
      </c>
    </row>
    <row r="218" spans="1:17">
      <c r="A218" s="1310"/>
      <c r="B218" s="513">
        <v>7</v>
      </c>
      <c r="C218" s="513">
        <f t="shared" ref="C218:H218" si="221">B84</f>
        <v>10</v>
      </c>
      <c r="D218" s="513">
        <f t="shared" si="221"/>
        <v>0</v>
      </c>
      <c r="E218" s="513">
        <f t="shared" si="221"/>
        <v>9.9999999999999995E-7</v>
      </c>
      <c r="F218" s="513">
        <f t="shared" si="221"/>
        <v>9.9999999999999995E-7</v>
      </c>
      <c r="G218" s="513">
        <f t="shared" si="221"/>
        <v>4.9999999999999998E-7</v>
      </c>
      <c r="H218" s="513">
        <f t="shared" si="221"/>
        <v>0.17</v>
      </c>
      <c r="J218" s="1310"/>
      <c r="K218" s="513">
        <v>7</v>
      </c>
      <c r="L218" s="513">
        <f t="shared" ref="L218:Q218" si="222">B90</f>
        <v>0.1</v>
      </c>
      <c r="M218" s="513">
        <f t="shared" si="222"/>
        <v>3.0000000000000001E-3</v>
      </c>
      <c r="N218" s="513">
        <f t="shared" si="222"/>
        <v>9.9999999999999995E-7</v>
      </c>
      <c r="O218" s="513">
        <f t="shared" si="222"/>
        <v>9.9999999999999995E-7</v>
      </c>
      <c r="P218" s="513">
        <f t="shared" si="222"/>
        <v>1.4995E-3</v>
      </c>
      <c r="Q218" s="513">
        <f t="shared" si="222"/>
        <v>1.2000000000000001E-3</v>
      </c>
    </row>
    <row r="219" spans="1:17">
      <c r="A219" s="1310"/>
      <c r="B219" s="513">
        <v>8</v>
      </c>
      <c r="C219" s="513">
        <f t="shared" ref="C219:H219" si="223">I84</f>
        <v>10</v>
      </c>
      <c r="D219" s="513">
        <f t="shared" si="223"/>
        <v>0</v>
      </c>
      <c r="E219" s="513">
        <f t="shared" si="223"/>
        <v>9.9999999999999995E-7</v>
      </c>
      <c r="F219" s="513">
        <f t="shared" si="223"/>
        <v>9.9999999999999995E-7</v>
      </c>
      <c r="G219" s="513">
        <f t="shared" si="223"/>
        <v>4.9999999999999998E-7</v>
      </c>
      <c r="H219" s="513">
        <f t="shared" si="223"/>
        <v>0.17</v>
      </c>
      <c r="J219" s="1310"/>
      <c r="K219" s="513">
        <v>8</v>
      </c>
      <c r="L219" s="513">
        <f t="shared" ref="L219:Q219" si="224">I90</f>
        <v>0.1</v>
      </c>
      <c r="M219" s="513">
        <f t="shared" si="224"/>
        <v>-3.0000000000000001E-3</v>
      </c>
      <c r="N219" s="513">
        <f t="shared" si="224"/>
        <v>-1E-3</v>
      </c>
      <c r="O219" s="513">
        <f t="shared" si="224"/>
        <v>-1E-3</v>
      </c>
      <c r="P219" s="513">
        <f t="shared" si="224"/>
        <v>1E-3</v>
      </c>
      <c r="Q219" s="513">
        <f t="shared" si="224"/>
        <v>1.2000000000000001E-3</v>
      </c>
    </row>
    <row r="220" spans="1:17">
      <c r="A220" s="1310"/>
      <c r="B220" s="513">
        <v>9</v>
      </c>
      <c r="C220" s="513">
        <f t="shared" ref="C220:H220" si="225">P84</f>
        <v>10</v>
      </c>
      <c r="D220" s="513">
        <f t="shared" si="225"/>
        <v>9.9999999999999995E-7</v>
      </c>
      <c r="E220" s="513">
        <f t="shared" si="225"/>
        <v>9.9999999999999995E-7</v>
      </c>
      <c r="F220" s="513">
        <f t="shared" si="225"/>
        <v>9.9999999999999995E-7</v>
      </c>
      <c r="G220" s="513">
        <f t="shared" si="225"/>
        <v>0</v>
      </c>
      <c r="H220" s="513">
        <f t="shared" si="225"/>
        <v>0.17</v>
      </c>
      <c r="J220" s="1310"/>
      <c r="K220" s="513">
        <v>9</v>
      </c>
      <c r="L220" s="513">
        <f t="shared" ref="L220:Q220" si="226">P90</f>
        <v>1E-3</v>
      </c>
      <c r="M220" s="513">
        <f t="shared" si="226"/>
        <v>0</v>
      </c>
      <c r="N220" s="513">
        <f t="shared" si="226"/>
        <v>-2E-3</v>
      </c>
      <c r="O220" s="513">
        <f t="shared" si="226"/>
        <v>-1E-3</v>
      </c>
      <c r="P220" s="513">
        <f t="shared" si="226"/>
        <v>1E-3</v>
      </c>
      <c r="Q220" s="513">
        <f t="shared" si="226"/>
        <v>1.2E-5</v>
      </c>
    </row>
    <row r="221" spans="1:17">
      <c r="A221" s="1310"/>
      <c r="B221" s="513">
        <v>10</v>
      </c>
      <c r="C221" s="513">
        <f>B115</f>
        <v>10</v>
      </c>
      <c r="D221" s="513">
        <f t="shared" ref="D221:F221" si="227">C115</f>
        <v>9.9999999999999995E-7</v>
      </c>
      <c r="E221" s="513" t="str">
        <f t="shared" si="227"/>
        <v>-</v>
      </c>
      <c r="F221" s="513">
        <f t="shared" si="227"/>
        <v>0</v>
      </c>
      <c r="G221" s="513">
        <f>F115</f>
        <v>0</v>
      </c>
      <c r="H221" s="513" t="str">
        <f>G115</f>
        <v>-</v>
      </c>
      <c r="J221" s="1310"/>
      <c r="K221" s="513">
        <v>10</v>
      </c>
      <c r="L221" s="513">
        <f t="shared" ref="L221:Q221" si="228">B121</f>
        <v>0</v>
      </c>
      <c r="M221" s="513">
        <f t="shared" si="228"/>
        <v>9.9999999999999995E-7</v>
      </c>
      <c r="N221" s="513" t="str">
        <f t="shared" si="228"/>
        <v>-</v>
      </c>
      <c r="O221" s="513">
        <f t="shared" si="228"/>
        <v>0</v>
      </c>
      <c r="P221" s="513">
        <f t="shared" si="228"/>
        <v>0</v>
      </c>
      <c r="Q221" s="513" t="str">
        <f t="shared" si="228"/>
        <v>-</v>
      </c>
    </row>
    <row r="222" spans="1:17">
      <c r="A222" s="1310"/>
      <c r="B222" s="513">
        <v>11</v>
      </c>
      <c r="C222" s="513">
        <f>I115</f>
        <v>10</v>
      </c>
      <c r="D222" s="513">
        <f t="shared" ref="D222:F222" si="229">J115</f>
        <v>9.9999999999999995E-7</v>
      </c>
      <c r="E222" s="513" t="str">
        <f t="shared" si="229"/>
        <v>-</v>
      </c>
      <c r="F222" s="513">
        <f t="shared" si="229"/>
        <v>0</v>
      </c>
      <c r="G222" s="513">
        <f>M115</f>
        <v>0</v>
      </c>
      <c r="H222" s="513" t="str">
        <f>N115</f>
        <v>-</v>
      </c>
      <c r="J222" s="1310"/>
      <c r="K222" s="513">
        <v>11</v>
      </c>
      <c r="L222" s="513">
        <f t="shared" ref="L222:Q222" si="230">I121</f>
        <v>0.01</v>
      </c>
      <c r="M222" s="513">
        <f t="shared" si="230"/>
        <v>9.9999999999999995E-7</v>
      </c>
      <c r="N222" s="513" t="str">
        <f t="shared" si="230"/>
        <v>-</v>
      </c>
      <c r="O222" s="513">
        <f t="shared" si="230"/>
        <v>0</v>
      </c>
      <c r="P222" s="513">
        <f t="shared" si="230"/>
        <v>0</v>
      </c>
      <c r="Q222" s="513" t="str">
        <f t="shared" si="230"/>
        <v>-</v>
      </c>
    </row>
    <row r="223" spans="1:17">
      <c r="A223" s="1310"/>
      <c r="B223" s="513">
        <v>12</v>
      </c>
      <c r="C223" s="513">
        <f>P115</f>
        <v>10</v>
      </c>
      <c r="D223" s="513">
        <f t="shared" ref="D223:F223" si="231">Q115</f>
        <v>9.9999999999999995E-7</v>
      </c>
      <c r="E223" s="513" t="str">
        <f t="shared" si="231"/>
        <v>-</v>
      </c>
      <c r="F223" s="513">
        <f t="shared" si="231"/>
        <v>0</v>
      </c>
      <c r="G223" s="513">
        <f>T115</f>
        <v>0</v>
      </c>
      <c r="H223" s="513" t="str">
        <f>U115</f>
        <v>-</v>
      </c>
      <c r="J223" s="1310"/>
      <c r="K223" s="513">
        <v>12</v>
      </c>
      <c r="L223" s="513">
        <f t="shared" ref="L223:Q223" si="232">P121</f>
        <v>0.01</v>
      </c>
      <c r="M223" s="513">
        <f t="shared" si="232"/>
        <v>9.9999999999999995E-7</v>
      </c>
      <c r="N223" s="513" t="str">
        <f t="shared" si="232"/>
        <v>-</v>
      </c>
      <c r="O223" s="513">
        <f t="shared" si="232"/>
        <v>0</v>
      </c>
      <c r="P223" s="513">
        <f t="shared" si="232"/>
        <v>0</v>
      </c>
      <c r="Q223" s="513" t="str">
        <f t="shared" si="232"/>
        <v>-</v>
      </c>
    </row>
    <row r="224" spans="1:17" s="328" customFormat="1">
      <c r="A224" s="425"/>
      <c r="B224" s="419"/>
      <c r="C224" s="422"/>
      <c r="D224" s="422"/>
      <c r="E224" s="422"/>
      <c r="F224" s="420"/>
      <c r="G224" s="422"/>
      <c r="H224" s="422"/>
      <c r="J224" s="425"/>
      <c r="K224" s="419"/>
      <c r="L224" s="419"/>
      <c r="M224" s="419"/>
      <c r="N224" s="419"/>
      <c r="O224" s="420"/>
      <c r="P224" s="419"/>
      <c r="Q224" s="419"/>
    </row>
    <row r="225" spans="1:17">
      <c r="A225" s="1310" t="s">
        <v>546</v>
      </c>
      <c r="B225" s="513">
        <v>1</v>
      </c>
      <c r="C225" s="513">
        <f t="shared" ref="C225:H225" si="233">B23</f>
        <v>20</v>
      </c>
      <c r="D225" s="513">
        <f t="shared" si="233"/>
        <v>9.9999999999999995E-7</v>
      </c>
      <c r="E225" s="513">
        <f t="shared" si="233"/>
        <v>9.9999999999999995E-7</v>
      </c>
      <c r="F225" s="513">
        <f t="shared" si="233"/>
        <v>0</v>
      </c>
      <c r="G225" s="513">
        <f t="shared" si="233"/>
        <v>0</v>
      </c>
      <c r="H225" s="513">
        <f t="shared" si="233"/>
        <v>0</v>
      </c>
      <c r="J225" s="1310" t="s">
        <v>546</v>
      </c>
      <c r="K225" s="513">
        <v>1</v>
      </c>
      <c r="L225" s="513">
        <f t="shared" ref="L225:Q225" si="234">B29</f>
        <v>0.1</v>
      </c>
      <c r="M225" s="513">
        <f t="shared" si="234"/>
        <v>-1E-3</v>
      </c>
      <c r="N225" s="513">
        <f t="shared" si="234"/>
        <v>2E-3</v>
      </c>
      <c r="O225" s="513">
        <f t="shared" si="234"/>
        <v>0</v>
      </c>
      <c r="P225" s="513">
        <f t="shared" si="234"/>
        <v>1.5E-3</v>
      </c>
      <c r="Q225" s="513">
        <f t="shared" si="234"/>
        <v>1.2000000000000001E-3</v>
      </c>
    </row>
    <row r="226" spans="1:17">
      <c r="A226" s="1310"/>
      <c r="B226" s="513">
        <v>2</v>
      </c>
      <c r="C226" s="513">
        <f t="shared" ref="C226:H226" si="235">I23</f>
        <v>20</v>
      </c>
      <c r="D226" s="513">
        <f t="shared" si="235"/>
        <v>0.2</v>
      </c>
      <c r="E226" s="513">
        <f t="shared" si="235"/>
        <v>0.1</v>
      </c>
      <c r="F226" s="513">
        <f t="shared" si="235"/>
        <v>0</v>
      </c>
      <c r="G226" s="513">
        <f t="shared" si="235"/>
        <v>0.05</v>
      </c>
      <c r="H226" s="513">
        <f t="shared" si="235"/>
        <v>0.11799999999999999</v>
      </c>
      <c r="J226" s="1310"/>
      <c r="K226" s="513">
        <v>2</v>
      </c>
      <c r="L226" s="513">
        <f t="shared" ref="L226:Q226" si="236">I29</f>
        <v>0.1</v>
      </c>
      <c r="M226" s="513">
        <f t="shared" si="236"/>
        <v>6.0000000000000001E-3</v>
      </c>
      <c r="N226" s="513">
        <f t="shared" si="236"/>
        <v>5.0000000000000001E-3</v>
      </c>
      <c r="O226" s="513">
        <f t="shared" si="236"/>
        <v>0</v>
      </c>
      <c r="P226" s="513">
        <f t="shared" si="236"/>
        <v>5.0000000000000001E-4</v>
      </c>
      <c r="Q226" s="513">
        <f t="shared" si="236"/>
        <v>1.2000000000000001E-3</v>
      </c>
    </row>
    <row r="227" spans="1:17">
      <c r="A227" s="1310"/>
      <c r="B227" s="513">
        <v>3</v>
      </c>
      <c r="C227" s="513">
        <f t="shared" ref="C227:H227" si="237">P23</f>
        <v>10</v>
      </c>
      <c r="D227" s="513">
        <f t="shared" si="237"/>
        <v>0</v>
      </c>
      <c r="E227" s="513">
        <f t="shared" si="237"/>
        <v>9.9999999999999995E-7</v>
      </c>
      <c r="F227" s="513">
        <f t="shared" si="237"/>
        <v>9.9999999999999995E-7</v>
      </c>
      <c r="G227" s="513">
        <f t="shared" si="237"/>
        <v>4.9999999999999998E-7</v>
      </c>
      <c r="H227" s="513">
        <f t="shared" si="237"/>
        <v>0.17</v>
      </c>
      <c r="J227" s="1310"/>
      <c r="K227" s="513">
        <v>3</v>
      </c>
      <c r="L227" s="513">
        <f t="shared" ref="L227:Q227" si="238">P29</f>
        <v>0.5</v>
      </c>
      <c r="M227" s="513">
        <f t="shared" si="238"/>
        <v>5.0000000000000001E-3</v>
      </c>
      <c r="N227" s="513">
        <f t="shared" si="238"/>
        <v>-2E-3</v>
      </c>
      <c r="O227" s="513">
        <f t="shared" si="238"/>
        <v>-1E-3</v>
      </c>
      <c r="P227" s="513">
        <f t="shared" si="238"/>
        <v>3.5000000000000001E-3</v>
      </c>
      <c r="Q227" s="513">
        <f t="shared" si="238"/>
        <v>6.0000000000000001E-3</v>
      </c>
    </row>
    <row r="228" spans="1:17">
      <c r="A228" s="1310"/>
      <c r="B228" s="513">
        <v>4</v>
      </c>
      <c r="C228" s="513">
        <f t="shared" ref="C228:H228" si="239">B54</f>
        <v>20</v>
      </c>
      <c r="D228" s="513">
        <f t="shared" si="239"/>
        <v>0.1</v>
      </c>
      <c r="E228" s="513">
        <f t="shared" si="239"/>
        <v>0.2</v>
      </c>
      <c r="F228" s="513">
        <f t="shared" si="239"/>
        <v>0</v>
      </c>
      <c r="G228" s="513">
        <f t="shared" si="239"/>
        <v>0.05</v>
      </c>
      <c r="H228" s="513">
        <f t="shared" si="239"/>
        <v>0.34</v>
      </c>
      <c r="J228" s="1310"/>
      <c r="K228" s="513">
        <v>4</v>
      </c>
      <c r="L228" s="513">
        <f t="shared" ref="L228:Q228" si="240">B60</f>
        <v>0.1</v>
      </c>
      <c r="M228" s="513">
        <f t="shared" si="240"/>
        <v>-2E-3</v>
      </c>
      <c r="N228" s="513">
        <f t="shared" si="240"/>
        <v>9.9999999999999995E-7</v>
      </c>
      <c r="O228" s="513">
        <f t="shared" si="240"/>
        <v>0</v>
      </c>
      <c r="P228" s="513">
        <f t="shared" si="240"/>
        <v>1.0005000000000001E-3</v>
      </c>
      <c r="Q228" s="513">
        <f t="shared" si="240"/>
        <v>1.2000000000000001E-3</v>
      </c>
    </row>
    <row r="229" spans="1:17">
      <c r="A229" s="1310"/>
      <c r="B229" s="513">
        <v>5</v>
      </c>
      <c r="C229" s="513">
        <f t="shared" ref="C229:H229" si="241">I54</f>
        <v>20</v>
      </c>
      <c r="D229" s="513">
        <f t="shared" si="241"/>
        <v>0.1</v>
      </c>
      <c r="E229" s="513">
        <f t="shared" si="241"/>
        <v>0.1</v>
      </c>
      <c r="F229" s="513">
        <f t="shared" si="241"/>
        <v>0</v>
      </c>
      <c r="G229" s="513">
        <f t="shared" si="241"/>
        <v>0</v>
      </c>
      <c r="H229" s="513">
        <f t="shared" si="241"/>
        <v>0.34</v>
      </c>
      <c r="J229" s="1310"/>
      <c r="K229" s="513">
        <v>5</v>
      </c>
      <c r="L229" s="513">
        <f t="shared" ref="L229:Q229" si="242">I60</f>
        <v>0.1</v>
      </c>
      <c r="M229" s="513">
        <f t="shared" si="242"/>
        <v>-2E-3</v>
      </c>
      <c r="N229" s="513">
        <f t="shared" si="242"/>
        <v>2E-3</v>
      </c>
      <c r="O229" s="513">
        <f t="shared" si="242"/>
        <v>0</v>
      </c>
      <c r="P229" s="513">
        <f t="shared" si="242"/>
        <v>2E-3</v>
      </c>
      <c r="Q229" s="513">
        <f t="shared" si="242"/>
        <v>1.2000000000000001E-3</v>
      </c>
    </row>
    <row r="230" spans="1:17">
      <c r="A230" s="1310"/>
      <c r="B230" s="513">
        <v>6</v>
      </c>
      <c r="C230" s="513">
        <f t="shared" ref="C230:H230" si="243">P54</f>
        <v>20</v>
      </c>
      <c r="D230" s="513">
        <f t="shared" si="243"/>
        <v>0.1</v>
      </c>
      <c r="E230" s="513">
        <f t="shared" si="243"/>
        <v>0.1</v>
      </c>
      <c r="F230" s="513">
        <f t="shared" si="243"/>
        <v>0.1</v>
      </c>
      <c r="G230" s="513">
        <f t="shared" si="243"/>
        <v>0</v>
      </c>
      <c r="H230" s="513">
        <f t="shared" si="243"/>
        <v>0.34</v>
      </c>
      <c r="J230" s="1310"/>
      <c r="K230" s="513">
        <v>6</v>
      </c>
      <c r="L230" s="513">
        <f t="shared" ref="L230:Q230" si="244">P60</f>
        <v>0.1</v>
      </c>
      <c r="M230" s="513">
        <f t="shared" si="244"/>
        <v>0</v>
      </c>
      <c r="N230" s="513">
        <f t="shared" si="244"/>
        <v>-3.0000000000000001E-3</v>
      </c>
      <c r="O230" s="513">
        <f t="shared" si="244"/>
        <v>-2E-3</v>
      </c>
      <c r="P230" s="513">
        <f t="shared" si="244"/>
        <v>1.5E-3</v>
      </c>
      <c r="Q230" s="513">
        <f t="shared" si="244"/>
        <v>1.2000000000000001E-3</v>
      </c>
    </row>
    <row r="231" spans="1:17">
      <c r="A231" s="1310"/>
      <c r="B231" s="513">
        <v>7</v>
      </c>
      <c r="C231" s="513">
        <f t="shared" ref="C231:H231" si="245">B85</f>
        <v>20</v>
      </c>
      <c r="D231" s="513">
        <f t="shared" si="245"/>
        <v>0.1</v>
      </c>
      <c r="E231" s="513">
        <f t="shared" si="245"/>
        <v>0.1</v>
      </c>
      <c r="F231" s="513">
        <f t="shared" si="245"/>
        <v>9.9999999999999995E-7</v>
      </c>
      <c r="G231" s="513">
        <f t="shared" si="245"/>
        <v>4.9999500000000002E-2</v>
      </c>
      <c r="H231" s="513">
        <f t="shared" si="245"/>
        <v>0.34</v>
      </c>
      <c r="J231" s="1310"/>
      <c r="K231" s="513">
        <v>7</v>
      </c>
      <c r="L231" s="513">
        <f t="shared" ref="L231:Q231" si="246">B91</f>
        <v>0.5</v>
      </c>
      <c r="M231" s="513">
        <f t="shared" si="246"/>
        <v>8.0000000000000002E-3</v>
      </c>
      <c r="N231" s="513">
        <f t="shared" si="246"/>
        <v>3.0000000000000001E-3</v>
      </c>
      <c r="O231" s="513">
        <f t="shared" si="246"/>
        <v>9.9999999999999995E-7</v>
      </c>
      <c r="P231" s="513">
        <f t="shared" si="246"/>
        <v>3.9995000000000005E-3</v>
      </c>
      <c r="Q231" s="513">
        <f t="shared" si="246"/>
        <v>6.0000000000000001E-3</v>
      </c>
    </row>
    <row r="232" spans="1:17">
      <c r="A232" s="1310"/>
      <c r="B232" s="513">
        <v>8</v>
      </c>
      <c r="C232" s="513">
        <f t="shared" ref="C232:H232" si="247">I85</f>
        <v>20</v>
      </c>
      <c r="D232" s="513">
        <f t="shared" si="247"/>
        <v>0.1</v>
      </c>
      <c r="E232" s="513">
        <f t="shared" si="247"/>
        <v>9.9999999999999995E-7</v>
      </c>
      <c r="F232" s="513">
        <f t="shared" si="247"/>
        <v>9.9999999999999995E-7</v>
      </c>
      <c r="G232" s="513">
        <f t="shared" si="247"/>
        <v>4.9999500000000002E-2</v>
      </c>
      <c r="H232" s="513">
        <f t="shared" si="247"/>
        <v>0.34</v>
      </c>
      <c r="J232" s="1310"/>
      <c r="K232" s="513">
        <v>8</v>
      </c>
      <c r="L232" s="513">
        <f t="shared" ref="L232:Q232" si="248">I91</f>
        <v>0.5</v>
      </c>
      <c r="M232" s="513">
        <f t="shared" si="248"/>
        <v>1E-3</v>
      </c>
      <c r="N232" s="513">
        <f t="shared" si="248"/>
        <v>4.0000000000000001E-3</v>
      </c>
      <c r="O232" s="513">
        <f t="shared" si="248"/>
        <v>-3.0000000000000001E-3</v>
      </c>
      <c r="P232" s="513">
        <f t="shared" si="248"/>
        <v>3.5000000000000001E-3</v>
      </c>
      <c r="Q232" s="513">
        <f t="shared" si="248"/>
        <v>6.0000000000000001E-3</v>
      </c>
    </row>
    <row r="233" spans="1:17">
      <c r="A233" s="1310"/>
      <c r="B233" s="513">
        <v>9</v>
      </c>
      <c r="C233" s="513">
        <f t="shared" ref="C233:H233" si="249">P85</f>
        <v>20</v>
      </c>
      <c r="D233" s="513">
        <f t="shared" si="249"/>
        <v>9.9999999999999995E-7</v>
      </c>
      <c r="E233" s="513">
        <f t="shared" si="249"/>
        <v>9.9999999999999995E-7</v>
      </c>
      <c r="F233" s="513">
        <f t="shared" si="249"/>
        <v>9.9999999999999995E-7</v>
      </c>
      <c r="G233" s="513">
        <f t="shared" si="249"/>
        <v>0</v>
      </c>
      <c r="H233" s="513">
        <f t="shared" si="249"/>
        <v>0.34</v>
      </c>
      <c r="J233" s="1310"/>
      <c r="K233" s="513">
        <v>9</v>
      </c>
      <c r="L233" s="513">
        <f t="shared" ref="L233:Q233" si="250">P91</f>
        <v>0.10199999999999999</v>
      </c>
      <c r="M233" s="513">
        <f t="shared" si="250"/>
        <v>0</v>
      </c>
      <c r="N233" s="513">
        <f t="shared" si="250"/>
        <v>1E-3</v>
      </c>
      <c r="O233" s="513">
        <f t="shared" si="250"/>
        <v>-2E-3</v>
      </c>
      <c r="P233" s="513">
        <f t="shared" si="250"/>
        <v>1.5E-3</v>
      </c>
      <c r="Q233" s="513">
        <f t="shared" si="250"/>
        <v>1.224E-3</v>
      </c>
    </row>
    <row r="234" spans="1:17">
      <c r="A234" s="1310"/>
      <c r="B234" s="513">
        <v>10</v>
      </c>
      <c r="C234" s="513">
        <f>B116</f>
        <v>20</v>
      </c>
      <c r="D234" s="513">
        <f t="shared" ref="D234:F234" si="251">C116</f>
        <v>0.1</v>
      </c>
      <c r="E234" s="513" t="str">
        <f t="shared" si="251"/>
        <v>-</v>
      </c>
      <c r="F234" s="513">
        <f t="shared" si="251"/>
        <v>0</v>
      </c>
      <c r="G234" s="513">
        <f>F116</f>
        <v>0</v>
      </c>
      <c r="H234" s="513" t="str">
        <f>G116</f>
        <v>-</v>
      </c>
      <c r="J234" s="1310"/>
      <c r="K234" s="513">
        <v>10</v>
      </c>
      <c r="L234" s="513">
        <f t="shared" ref="L234:Q234" si="252">B122</f>
        <v>0.1</v>
      </c>
      <c r="M234" s="513">
        <f t="shared" si="252"/>
        <v>-2E-3</v>
      </c>
      <c r="N234" s="513" t="str">
        <f t="shared" si="252"/>
        <v>-</v>
      </c>
      <c r="O234" s="513">
        <f t="shared" si="252"/>
        <v>0</v>
      </c>
      <c r="P234" s="513">
        <f t="shared" si="252"/>
        <v>0</v>
      </c>
      <c r="Q234" s="513" t="str">
        <f t="shared" si="252"/>
        <v>-</v>
      </c>
    </row>
    <row r="235" spans="1:17">
      <c r="A235" s="1310"/>
      <c r="B235" s="513">
        <v>11</v>
      </c>
      <c r="C235" s="513">
        <f>I116</f>
        <v>20</v>
      </c>
      <c r="D235" s="513">
        <f t="shared" ref="D235:F235" si="253">J116</f>
        <v>9.9999999999999995E-7</v>
      </c>
      <c r="E235" s="513" t="str">
        <f t="shared" si="253"/>
        <v>-</v>
      </c>
      <c r="F235" s="513">
        <f t="shared" si="253"/>
        <v>0</v>
      </c>
      <c r="G235" s="513">
        <f>M116</f>
        <v>0</v>
      </c>
      <c r="H235" s="513" t="str">
        <f>N116</f>
        <v>-</v>
      </c>
      <c r="J235" s="1310"/>
      <c r="K235" s="513">
        <v>11</v>
      </c>
      <c r="L235" s="513">
        <f t="shared" ref="L235:Q235" si="254">I122</f>
        <v>0.1</v>
      </c>
      <c r="M235" s="513">
        <f t="shared" si="254"/>
        <v>9.9999999999999995E-7</v>
      </c>
      <c r="N235" s="513" t="str">
        <f t="shared" si="254"/>
        <v>-</v>
      </c>
      <c r="O235" s="513">
        <f t="shared" si="254"/>
        <v>0</v>
      </c>
      <c r="P235" s="513">
        <f t="shared" si="254"/>
        <v>0</v>
      </c>
      <c r="Q235" s="513" t="str">
        <f t="shared" si="254"/>
        <v>-</v>
      </c>
    </row>
    <row r="236" spans="1:17">
      <c r="A236" s="1310"/>
      <c r="B236" s="513">
        <v>12</v>
      </c>
      <c r="C236" s="513">
        <f>P116</f>
        <v>20</v>
      </c>
      <c r="D236" s="513">
        <f t="shared" ref="D236:F236" si="255">Q116</f>
        <v>9.9999999999999995E-7</v>
      </c>
      <c r="E236" s="513" t="str">
        <f t="shared" si="255"/>
        <v>-</v>
      </c>
      <c r="F236" s="513">
        <f t="shared" si="255"/>
        <v>0</v>
      </c>
      <c r="G236" s="513">
        <f>T116</f>
        <v>0</v>
      </c>
      <c r="H236" s="513" t="str">
        <f>U116</f>
        <v>-</v>
      </c>
      <c r="J236" s="1310"/>
      <c r="K236" s="513">
        <v>12</v>
      </c>
      <c r="L236" s="513">
        <f t="shared" ref="L236:Q236" si="256">P122</f>
        <v>0.1</v>
      </c>
      <c r="M236" s="513">
        <f t="shared" si="256"/>
        <v>9.9999999999999995E-7</v>
      </c>
      <c r="N236" s="513" t="str">
        <f t="shared" si="256"/>
        <v>-</v>
      </c>
      <c r="O236" s="513">
        <f t="shared" si="256"/>
        <v>0</v>
      </c>
      <c r="P236" s="513">
        <f t="shared" si="256"/>
        <v>0</v>
      </c>
      <c r="Q236" s="513" t="str">
        <f t="shared" si="256"/>
        <v>-</v>
      </c>
    </row>
    <row r="237" spans="1:17" s="328" customFormat="1">
      <c r="A237" s="425"/>
      <c r="B237" s="419"/>
      <c r="C237" s="422"/>
      <c r="D237" s="422"/>
      <c r="E237" s="422"/>
      <c r="F237" s="420"/>
      <c r="G237" s="422"/>
      <c r="H237" s="422"/>
      <c r="J237" s="425"/>
      <c r="K237" s="419"/>
      <c r="L237" s="419"/>
      <c r="M237" s="419"/>
      <c r="N237" s="419"/>
      <c r="O237" s="420"/>
      <c r="P237" s="419"/>
      <c r="Q237" s="419"/>
    </row>
    <row r="238" spans="1:17">
      <c r="A238" s="1310" t="s">
        <v>547</v>
      </c>
      <c r="B238" s="513">
        <v>1</v>
      </c>
      <c r="C238" s="513">
        <f t="shared" ref="C238:H238" si="257">B24</f>
        <v>50</v>
      </c>
      <c r="D238" s="513">
        <f t="shared" si="257"/>
        <v>9.9999999999999995E-7</v>
      </c>
      <c r="E238" s="513">
        <f t="shared" si="257"/>
        <v>9.9999999999999995E-7</v>
      </c>
      <c r="F238" s="513">
        <f t="shared" si="257"/>
        <v>0</v>
      </c>
      <c r="G238" s="513">
        <f t="shared" si="257"/>
        <v>0</v>
      </c>
      <c r="H238" s="513">
        <f t="shared" si="257"/>
        <v>0</v>
      </c>
      <c r="J238" s="1310" t="s">
        <v>547</v>
      </c>
      <c r="K238" s="513">
        <v>1</v>
      </c>
      <c r="L238" s="513">
        <f t="shared" ref="L238:Q238" si="258">B30</f>
        <v>1</v>
      </c>
      <c r="M238" s="513">
        <f t="shared" si="258"/>
        <v>4.0000000000000001E-3</v>
      </c>
      <c r="N238" s="513">
        <f t="shared" si="258"/>
        <v>1.2E-2</v>
      </c>
      <c r="O238" s="513">
        <f t="shared" si="258"/>
        <v>0</v>
      </c>
      <c r="P238" s="513">
        <f t="shared" si="258"/>
        <v>4.0000000000000001E-3</v>
      </c>
      <c r="Q238" s="513">
        <f t="shared" si="258"/>
        <v>1.2E-2</v>
      </c>
    </row>
    <row r="239" spans="1:17">
      <c r="A239" s="1310"/>
      <c r="B239" s="513">
        <v>2</v>
      </c>
      <c r="C239" s="513">
        <f t="shared" ref="C239:H239" si="259">I24</f>
        <v>50</v>
      </c>
      <c r="D239" s="513">
        <f t="shared" si="259"/>
        <v>0.3</v>
      </c>
      <c r="E239" s="513">
        <f t="shared" si="259"/>
        <v>0.1</v>
      </c>
      <c r="F239" s="513">
        <f t="shared" si="259"/>
        <v>0</v>
      </c>
      <c r="G239" s="513">
        <f t="shared" si="259"/>
        <v>9.9999999999999992E-2</v>
      </c>
      <c r="H239" s="513">
        <f t="shared" si="259"/>
        <v>0.29499999999999998</v>
      </c>
      <c r="J239" s="1310"/>
      <c r="K239" s="513">
        <v>2</v>
      </c>
      <c r="L239" s="513">
        <f t="shared" ref="L239:Q239" si="260">I30</f>
        <v>1</v>
      </c>
      <c r="M239" s="513">
        <f t="shared" si="260"/>
        <v>4.4999999999999998E-2</v>
      </c>
      <c r="N239" s="513">
        <f t="shared" si="260"/>
        <v>5.5E-2</v>
      </c>
      <c r="O239" s="513">
        <f t="shared" si="260"/>
        <v>0</v>
      </c>
      <c r="P239" s="513">
        <f t="shared" si="260"/>
        <v>5.000000000000001E-3</v>
      </c>
      <c r="Q239" s="513">
        <f t="shared" si="260"/>
        <v>1.2E-2</v>
      </c>
    </row>
    <row r="240" spans="1:17">
      <c r="A240" s="1310"/>
      <c r="B240" s="513">
        <v>3</v>
      </c>
      <c r="C240" s="513">
        <f t="shared" ref="C240:H240" si="261">P24</f>
        <v>20</v>
      </c>
      <c r="D240" s="513">
        <f t="shared" si="261"/>
        <v>0.2</v>
      </c>
      <c r="E240" s="513">
        <f t="shared" si="261"/>
        <v>9.9999999999999995E-7</v>
      </c>
      <c r="F240" s="513">
        <f t="shared" si="261"/>
        <v>0.4</v>
      </c>
      <c r="G240" s="513">
        <f t="shared" si="261"/>
        <v>0.19999950000000002</v>
      </c>
      <c r="H240" s="513">
        <f t="shared" si="261"/>
        <v>0.34</v>
      </c>
      <c r="J240" s="1310"/>
      <c r="K240" s="513">
        <v>3</v>
      </c>
      <c r="L240" s="513">
        <f t="shared" ref="L240:Q240" si="262">P30</f>
        <v>1</v>
      </c>
      <c r="M240" s="513">
        <f t="shared" si="262"/>
        <v>8.0000000000000002E-3</v>
      </c>
      <c r="N240" s="513">
        <f t="shared" si="262"/>
        <v>-1.2E-2</v>
      </c>
      <c r="O240" s="513">
        <f t="shared" si="262"/>
        <v>5.0000000000000001E-3</v>
      </c>
      <c r="P240" s="513">
        <f t="shared" si="262"/>
        <v>0.01</v>
      </c>
      <c r="Q240" s="513">
        <f t="shared" si="262"/>
        <v>1.2E-2</v>
      </c>
    </row>
    <row r="241" spans="1:17">
      <c r="A241" s="1310"/>
      <c r="B241" s="513">
        <v>4</v>
      </c>
      <c r="C241" s="513">
        <f t="shared" ref="C241:H241" si="263">B55</f>
        <v>50</v>
      </c>
      <c r="D241" s="513">
        <f t="shared" si="263"/>
        <v>0.4</v>
      </c>
      <c r="E241" s="513">
        <f t="shared" si="263"/>
        <v>0.5</v>
      </c>
      <c r="F241" s="513">
        <f t="shared" si="263"/>
        <v>0</v>
      </c>
      <c r="G241" s="513">
        <f t="shared" si="263"/>
        <v>4.9999999999999989E-2</v>
      </c>
      <c r="H241" s="513">
        <f t="shared" si="263"/>
        <v>0.85000000000000009</v>
      </c>
      <c r="J241" s="1310"/>
      <c r="K241" s="513">
        <v>4</v>
      </c>
      <c r="L241" s="513">
        <f t="shared" ref="L241:Q241" si="264">B61</f>
        <v>1</v>
      </c>
      <c r="M241" s="513">
        <f t="shared" si="264"/>
        <v>-8.0000000000000002E-3</v>
      </c>
      <c r="N241" s="513">
        <f t="shared" si="264"/>
        <v>-1E-3</v>
      </c>
      <c r="O241" s="513">
        <f t="shared" si="264"/>
        <v>0</v>
      </c>
      <c r="P241" s="513">
        <f t="shared" si="264"/>
        <v>3.5000000000000001E-3</v>
      </c>
      <c r="Q241" s="513">
        <f t="shared" si="264"/>
        <v>1.2E-2</v>
      </c>
    </row>
    <row r="242" spans="1:17">
      <c r="A242" s="1310"/>
      <c r="B242" s="513">
        <v>5</v>
      </c>
      <c r="C242" s="513">
        <f t="shared" ref="C242:H242" si="265">I55</f>
        <v>50</v>
      </c>
      <c r="D242" s="513">
        <f t="shared" si="265"/>
        <v>0.6</v>
      </c>
      <c r="E242" s="513">
        <f t="shared" si="265"/>
        <v>0.4</v>
      </c>
      <c r="F242" s="513">
        <f t="shared" si="265"/>
        <v>0</v>
      </c>
      <c r="G242" s="513">
        <f t="shared" si="265"/>
        <v>9.9999999999999978E-2</v>
      </c>
      <c r="H242" s="513">
        <f t="shared" si="265"/>
        <v>0.85000000000000009</v>
      </c>
      <c r="J242" s="1310"/>
      <c r="K242" s="513">
        <v>5</v>
      </c>
      <c r="L242" s="513">
        <f t="shared" ref="L242:Q242" si="266">I61</f>
        <v>1</v>
      </c>
      <c r="M242" s="513">
        <f t="shared" si="266"/>
        <v>6.3E-2</v>
      </c>
      <c r="N242" s="513">
        <f t="shared" si="266"/>
        <v>1.2E-2</v>
      </c>
      <c r="O242" s="513">
        <f t="shared" si="266"/>
        <v>0</v>
      </c>
      <c r="P242" s="513">
        <f t="shared" si="266"/>
        <v>2.5500000000000002E-2</v>
      </c>
      <c r="Q242" s="513">
        <f t="shared" si="266"/>
        <v>1.2E-2</v>
      </c>
    </row>
    <row r="243" spans="1:17">
      <c r="A243" s="1310"/>
      <c r="B243" s="513">
        <v>6</v>
      </c>
      <c r="C243" s="513">
        <f t="shared" ref="C243:H243" si="267">P55</f>
        <v>50</v>
      </c>
      <c r="D243" s="513">
        <f t="shared" si="267"/>
        <v>0.1</v>
      </c>
      <c r="E243" s="513">
        <f t="shared" si="267"/>
        <v>0.3</v>
      </c>
      <c r="F243" s="513">
        <f t="shared" si="267"/>
        <v>0.3</v>
      </c>
      <c r="G243" s="513">
        <f t="shared" si="267"/>
        <v>9.9999999999999992E-2</v>
      </c>
      <c r="H243" s="513">
        <f t="shared" si="267"/>
        <v>0.85000000000000009</v>
      </c>
      <c r="J243" s="1310"/>
      <c r="K243" s="513">
        <v>6</v>
      </c>
      <c r="L243" s="513">
        <f t="shared" ref="L243:Q243" si="268">P61</f>
        <v>1</v>
      </c>
      <c r="M243" s="513">
        <f t="shared" si="268"/>
        <v>-6.0000000000000001E-3</v>
      </c>
      <c r="N243" s="513">
        <f t="shared" si="268"/>
        <v>-7.0000000000000001E-3</v>
      </c>
      <c r="O243" s="513">
        <f t="shared" si="268"/>
        <v>-1E-3</v>
      </c>
      <c r="P243" s="513">
        <f t="shared" si="268"/>
        <v>3.0000000000000001E-3</v>
      </c>
      <c r="Q243" s="513">
        <f t="shared" si="268"/>
        <v>1.2E-2</v>
      </c>
    </row>
    <row r="244" spans="1:17">
      <c r="A244" s="1310"/>
      <c r="B244" s="513">
        <v>7</v>
      </c>
      <c r="C244" s="513">
        <f t="shared" ref="C244:H244" si="269">B86</f>
        <v>50</v>
      </c>
      <c r="D244" s="513">
        <f t="shared" si="269"/>
        <v>0.3</v>
      </c>
      <c r="E244" s="513">
        <f t="shared" si="269"/>
        <v>0.5</v>
      </c>
      <c r="F244" s="513">
        <f t="shared" si="269"/>
        <v>9.9999999999999995E-7</v>
      </c>
      <c r="G244" s="513">
        <f t="shared" si="269"/>
        <v>0.24999950000000001</v>
      </c>
      <c r="H244" s="513">
        <f t="shared" si="269"/>
        <v>0.85000000000000009</v>
      </c>
      <c r="J244" s="1310"/>
      <c r="K244" s="513">
        <v>7</v>
      </c>
      <c r="L244" s="513">
        <f t="shared" ref="L244:Q244" si="270">B92</f>
        <v>1</v>
      </c>
      <c r="M244" s="513">
        <f t="shared" si="270"/>
        <v>-6.0000000000000001E-3</v>
      </c>
      <c r="N244" s="513">
        <f t="shared" si="270"/>
        <v>2E-3</v>
      </c>
      <c r="O244" s="513">
        <f t="shared" si="270"/>
        <v>-2E-3</v>
      </c>
      <c r="P244" s="513">
        <f t="shared" si="270"/>
        <v>4.0000000000000001E-3</v>
      </c>
      <c r="Q244" s="513">
        <f t="shared" si="270"/>
        <v>1.2E-2</v>
      </c>
    </row>
    <row r="245" spans="1:17">
      <c r="A245" s="1310"/>
      <c r="B245" s="513">
        <v>8</v>
      </c>
      <c r="C245" s="513">
        <f t="shared" ref="C245:H245" si="271">I86</f>
        <v>50</v>
      </c>
      <c r="D245" s="513">
        <f t="shared" si="271"/>
        <v>0.3</v>
      </c>
      <c r="E245" s="513">
        <f t="shared" si="271"/>
        <v>0.2</v>
      </c>
      <c r="F245" s="513">
        <f t="shared" si="271"/>
        <v>9.9999999999999995E-7</v>
      </c>
      <c r="G245" s="513">
        <f t="shared" si="271"/>
        <v>0.14999950000000001</v>
      </c>
      <c r="H245" s="513">
        <f t="shared" si="271"/>
        <v>0.85000000000000009</v>
      </c>
      <c r="J245" s="1310"/>
      <c r="K245" s="513">
        <v>8</v>
      </c>
      <c r="L245" s="513">
        <f t="shared" ref="L245:Q245" si="272">I92</f>
        <v>1</v>
      </c>
      <c r="M245" s="513">
        <f t="shared" si="272"/>
        <v>-1E-3</v>
      </c>
      <c r="N245" s="513">
        <f t="shared" si="272"/>
        <v>5.0000000000000001E-3</v>
      </c>
      <c r="O245" s="513">
        <f t="shared" si="272"/>
        <v>1E-3</v>
      </c>
      <c r="P245" s="513">
        <f t="shared" si="272"/>
        <v>3.0000000000000001E-3</v>
      </c>
      <c r="Q245" s="513">
        <f t="shared" si="272"/>
        <v>1.2E-2</v>
      </c>
    </row>
    <row r="246" spans="1:17">
      <c r="A246" s="1310"/>
      <c r="B246" s="513">
        <v>9</v>
      </c>
      <c r="C246" s="513">
        <f t="shared" ref="C246:H246" si="273">P86</f>
        <v>50</v>
      </c>
      <c r="D246" s="513">
        <f t="shared" si="273"/>
        <v>0.2</v>
      </c>
      <c r="E246" s="513">
        <f t="shared" si="273"/>
        <v>0.2</v>
      </c>
      <c r="F246" s="513">
        <f t="shared" si="273"/>
        <v>9.9999999999999995E-7</v>
      </c>
      <c r="G246" s="513">
        <f t="shared" si="273"/>
        <v>9.9999500000000005E-2</v>
      </c>
      <c r="H246" s="513">
        <f t="shared" si="273"/>
        <v>0.85000000000000009</v>
      </c>
      <c r="J246" s="1310"/>
      <c r="K246" s="513">
        <v>9</v>
      </c>
      <c r="L246" s="513">
        <f t="shared" ref="L246:Q246" si="274">P92</f>
        <v>0.5</v>
      </c>
      <c r="M246" s="513">
        <f t="shared" si="274"/>
        <v>2E-3</v>
      </c>
      <c r="N246" s="513">
        <f t="shared" si="274"/>
        <v>4.0000000000000001E-3</v>
      </c>
      <c r="O246" s="513">
        <f t="shared" si="274"/>
        <v>9.9999999999999995E-7</v>
      </c>
      <c r="P246" s="513">
        <f t="shared" si="274"/>
        <v>1.9995E-3</v>
      </c>
      <c r="Q246" s="513">
        <f t="shared" si="274"/>
        <v>6.0000000000000001E-3</v>
      </c>
    </row>
    <row r="247" spans="1:17">
      <c r="A247" s="1310"/>
      <c r="B247" s="513">
        <v>10</v>
      </c>
      <c r="C247" s="513">
        <f>B117</f>
        <v>50</v>
      </c>
      <c r="D247" s="513">
        <f t="shared" ref="D247:F247" si="275">C117</f>
        <v>0.4</v>
      </c>
      <c r="E247" s="513" t="str">
        <f t="shared" si="275"/>
        <v>-</v>
      </c>
      <c r="F247" s="513">
        <f t="shared" si="275"/>
        <v>0</v>
      </c>
      <c r="G247" s="513">
        <f>F117</f>
        <v>0</v>
      </c>
      <c r="H247" s="513" t="str">
        <f>G117</f>
        <v>-</v>
      </c>
      <c r="J247" s="1310"/>
      <c r="K247" s="513">
        <v>10</v>
      </c>
      <c r="L247" s="513">
        <f t="shared" ref="L247:Q247" si="276">B123</f>
        <v>1</v>
      </c>
      <c r="M247" s="513">
        <f t="shared" si="276"/>
        <v>-8.0000000000000002E-3</v>
      </c>
      <c r="N247" s="513" t="str">
        <f t="shared" si="276"/>
        <v>-</v>
      </c>
      <c r="O247" s="513">
        <f t="shared" si="276"/>
        <v>0</v>
      </c>
      <c r="P247" s="513">
        <f t="shared" si="276"/>
        <v>0</v>
      </c>
      <c r="Q247" s="513" t="str">
        <f t="shared" si="276"/>
        <v>-</v>
      </c>
    </row>
    <row r="248" spans="1:17">
      <c r="A248" s="1310"/>
      <c r="B248" s="513">
        <v>11</v>
      </c>
      <c r="C248" s="513">
        <f>I117</f>
        <v>50</v>
      </c>
      <c r="D248" s="513">
        <f t="shared" ref="D248:F248" si="277">J117</f>
        <v>9.9999999999999995E-7</v>
      </c>
      <c r="E248" s="513" t="str">
        <f t="shared" si="277"/>
        <v>-</v>
      </c>
      <c r="F248" s="513">
        <f t="shared" si="277"/>
        <v>0</v>
      </c>
      <c r="G248" s="513">
        <f>M117</f>
        <v>0</v>
      </c>
      <c r="H248" s="513" t="str">
        <f>N117</f>
        <v>-</v>
      </c>
      <c r="J248" s="1310"/>
      <c r="K248" s="513">
        <v>11</v>
      </c>
      <c r="L248" s="513">
        <f t="shared" ref="L248:Q248" si="278">I123</f>
        <v>1</v>
      </c>
      <c r="M248" s="513">
        <f t="shared" si="278"/>
        <v>9.9999999999999995E-7</v>
      </c>
      <c r="N248" s="513" t="str">
        <f t="shared" si="278"/>
        <v>-</v>
      </c>
      <c r="O248" s="513">
        <f t="shared" si="278"/>
        <v>0</v>
      </c>
      <c r="P248" s="513">
        <f t="shared" si="278"/>
        <v>0</v>
      </c>
      <c r="Q248" s="513" t="str">
        <f t="shared" si="278"/>
        <v>-</v>
      </c>
    </row>
    <row r="249" spans="1:17">
      <c r="A249" s="1310"/>
      <c r="B249" s="513">
        <v>12</v>
      </c>
      <c r="C249" s="513">
        <f>P117</f>
        <v>50</v>
      </c>
      <c r="D249" s="513">
        <f t="shared" ref="D249:F249" si="279">Q117</f>
        <v>9.9999999999999995E-7</v>
      </c>
      <c r="E249" s="513" t="str">
        <f t="shared" si="279"/>
        <v>-</v>
      </c>
      <c r="F249" s="513">
        <f t="shared" si="279"/>
        <v>0</v>
      </c>
      <c r="G249" s="513">
        <f>T117</f>
        <v>0</v>
      </c>
      <c r="H249" s="513" t="str">
        <f>U117</f>
        <v>-</v>
      </c>
      <c r="J249" s="1310"/>
      <c r="K249" s="513">
        <v>12</v>
      </c>
      <c r="L249" s="513">
        <f t="shared" ref="L249:Q249" si="280">P123</f>
        <v>1</v>
      </c>
      <c r="M249" s="513">
        <f t="shared" si="280"/>
        <v>9.9999999999999995E-7</v>
      </c>
      <c r="N249" s="513" t="str">
        <f t="shared" si="280"/>
        <v>-</v>
      </c>
      <c r="O249" s="513">
        <f t="shared" si="280"/>
        <v>0</v>
      </c>
      <c r="P249" s="513">
        <f t="shared" si="280"/>
        <v>0</v>
      </c>
      <c r="Q249" s="513" t="str">
        <f t="shared" si="280"/>
        <v>-</v>
      </c>
    </row>
    <row r="250" spans="1:17" s="328" customFormat="1">
      <c r="A250" s="425"/>
      <c r="B250" s="419"/>
      <c r="C250" s="422"/>
      <c r="D250" s="422"/>
      <c r="E250" s="422"/>
      <c r="F250" s="420"/>
      <c r="G250" s="422"/>
      <c r="H250" s="422"/>
      <c r="J250" s="425"/>
      <c r="K250" s="419"/>
      <c r="L250" s="419"/>
      <c r="M250" s="419"/>
      <c r="N250" s="419"/>
      <c r="O250" s="420"/>
      <c r="P250" s="419"/>
      <c r="Q250" s="419"/>
    </row>
    <row r="251" spans="1:17">
      <c r="A251" s="1310" t="s">
        <v>548</v>
      </c>
      <c r="B251" s="513">
        <v>1</v>
      </c>
      <c r="C251" s="513">
        <f t="shared" ref="C251:H251" si="281">B25</f>
        <v>100</v>
      </c>
      <c r="D251" s="513">
        <f t="shared" si="281"/>
        <v>9.9999999999999995E-7</v>
      </c>
      <c r="E251" s="513">
        <f t="shared" si="281"/>
        <v>9.9999999999999995E-7</v>
      </c>
      <c r="F251" s="513">
        <f t="shared" si="281"/>
        <v>0</v>
      </c>
      <c r="G251" s="513">
        <f t="shared" si="281"/>
        <v>0</v>
      </c>
      <c r="H251" s="513">
        <f t="shared" si="281"/>
        <v>0</v>
      </c>
      <c r="J251" s="1310" t="s">
        <v>548</v>
      </c>
      <c r="K251" s="513">
        <v>1</v>
      </c>
      <c r="L251" s="513">
        <f t="shared" ref="L251:Q251" si="282">B31</f>
        <v>2</v>
      </c>
      <c r="M251" s="513">
        <f t="shared" si="282"/>
        <v>7.0000000000000001E-3</v>
      </c>
      <c r="N251" s="513">
        <f t="shared" si="282"/>
        <v>9.9999999999999995E-7</v>
      </c>
      <c r="O251" s="513">
        <f t="shared" si="282"/>
        <v>0</v>
      </c>
      <c r="P251" s="513">
        <f t="shared" si="282"/>
        <v>3.4995E-3</v>
      </c>
      <c r="Q251" s="513">
        <f t="shared" si="282"/>
        <v>2.4E-2</v>
      </c>
    </row>
    <row r="252" spans="1:17">
      <c r="A252" s="1310"/>
      <c r="B252" s="513">
        <v>2</v>
      </c>
      <c r="C252" s="513">
        <f t="shared" ref="C252:H252" si="283">I25</f>
        <v>100</v>
      </c>
      <c r="D252" s="513">
        <f t="shared" si="283"/>
        <v>0.3</v>
      </c>
      <c r="E252" s="513">
        <f t="shared" si="283"/>
        <v>9.9999999999999995E-7</v>
      </c>
      <c r="F252" s="513">
        <f t="shared" si="283"/>
        <v>0</v>
      </c>
      <c r="G252" s="513">
        <f t="shared" si="283"/>
        <v>0.14999950000000001</v>
      </c>
      <c r="H252" s="513">
        <f t="shared" si="283"/>
        <v>0.59</v>
      </c>
      <c r="J252" s="1310"/>
      <c r="K252" s="513">
        <v>2</v>
      </c>
      <c r="L252" s="513">
        <f t="shared" ref="L252:Q252" si="284">I31</f>
        <v>2</v>
      </c>
      <c r="M252" s="513">
        <f t="shared" si="284"/>
        <v>9.9999999999999995E-7</v>
      </c>
      <c r="N252" s="513">
        <f t="shared" si="284"/>
        <v>9.9999999999999995E-7</v>
      </c>
      <c r="O252" s="513">
        <f t="shared" si="284"/>
        <v>0</v>
      </c>
      <c r="P252" s="513">
        <f t="shared" si="284"/>
        <v>0</v>
      </c>
      <c r="Q252" s="513">
        <f t="shared" si="284"/>
        <v>0</v>
      </c>
    </row>
    <row r="253" spans="1:17">
      <c r="A253" s="1310"/>
      <c r="B253" s="513">
        <v>3</v>
      </c>
      <c r="C253" s="513">
        <f t="shared" ref="C253:H253" si="285">P25</f>
        <v>50</v>
      </c>
      <c r="D253" s="513">
        <f t="shared" si="285"/>
        <v>0.2</v>
      </c>
      <c r="E253" s="513">
        <f t="shared" si="285"/>
        <v>0.1</v>
      </c>
      <c r="F253" s="513">
        <f t="shared" si="285"/>
        <v>1.1000000000000001</v>
      </c>
      <c r="G253" s="513">
        <f t="shared" si="285"/>
        <v>0.5</v>
      </c>
      <c r="H253" s="513">
        <f t="shared" si="285"/>
        <v>0.85000000000000009</v>
      </c>
      <c r="J253" s="1310"/>
      <c r="K253" s="513">
        <v>3</v>
      </c>
      <c r="L253" s="513">
        <f t="shared" ref="L253:Q253" si="286">P31</f>
        <v>2</v>
      </c>
      <c r="M253" s="513">
        <f t="shared" si="286"/>
        <v>1.4E-2</v>
      </c>
      <c r="N253" s="513">
        <f t="shared" si="286"/>
        <v>-8.0000000000000002E-3</v>
      </c>
      <c r="O253" s="513">
        <f t="shared" si="286"/>
        <v>1.4E-2</v>
      </c>
      <c r="P253" s="513">
        <f t="shared" si="286"/>
        <v>1.0999999999999999E-2</v>
      </c>
      <c r="Q253" s="513">
        <f t="shared" si="286"/>
        <v>2.4E-2</v>
      </c>
    </row>
    <row r="254" spans="1:17">
      <c r="A254" s="1310"/>
      <c r="B254" s="513">
        <v>4</v>
      </c>
      <c r="C254" s="513">
        <f t="shared" ref="C254:H254" si="287">B56</f>
        <v>100</v>
      </c>
      <c r="D254" s="513">
        <f t="shared" si="287"/>
        <v>1.4</v>
      </c>
      <c r="E254" s="513">
        <f t="shared" si="287"/>
        <v>1</v>
      </c>
      <c r="F254" s="513">
        <f t="shared" si="287"/>
        <v>0</v>
      </c>
      <c r="G254" s="513">
        <f t="shared" si="287"/>
        <v>0.19999999999999996</v>
      </c>
      <c r="H254" s="513">
        <f t="shared" si="287"/>
        <v>1.7000000000000002</v>
      </c>
      <c r="J254" s="1310"/>
      <c r="K254" s="513">
        <v>4</v>
      </c>
      <c r="L254" s="513">
        <f t="shared" ref="L254:Q254" si="288">B62</f>
        <v>2</v>
      </c>
      <c r="M254" s="513">
        <f t="shared" si="288"/>
        <v>-7.0000000000000001E-3</v>
      </c>
      <c r="N254" s="513">
        <f t="shared" si="288"/>
        <v>9.9999999999999995E-7</v>
      </c>
      <c r="O254" s="513">
        <f t="shared" si="288"/>
        <v>0</v>
      </c>
      <c r="P254" s="513">
        <f t="shared" si="288"/>
        <v>3.5005000000000001E-3</v>
      </c>
      <c r="Q254" s="513">
        <f t="shared" si="288"/>
        <v>2.4E-2</v>
      </c>
    </row>
    <row r="255" spans="1:17">
      <c r="A255" s="1310"/>
      <c r="B255" s="513">
        <v>5</v>
      </c>
      <c r="C255" s="513">
        <f t="shared" ref="C255:H255" si="289">I56</f>
        <v>100</v>
      </c>
      <c r="D255" s="513">
        <f t="shared" si="289"/>
        <v>1.5</v>
      </c>
      <c r="E255" s="513">
        <f t="shared" si="289"/>
        <v>0.8</v>
      </c>
      <c r="F255" s="513">
        <f t="shared" si="289"/>
        <v>0</v>
      </c>
      <c r="G255" s="513">
        <f t="shared" si="289"/>
        <v>0.35</v>
      </c>
      <c r="H255" s="513">
        <f t="shared" si="289"/>
        <v>1.7000000000000002</v>
      </c>
      <c r="J255" s="1310"/>
      <c r="K255" s="513">
        <v>5</v>
      </c>
      <c r="L255" s="513">
        <f t="shared" ref="L255:Q255" si="290">I62</f>
        <v>2</v>
      </c>
      <c r="M255" s="513">
        <f t="shared" si="290"/>
        <v>9.0999999999999998E-2</v>
      </c>
      <c r="N255" s="513">
        <f t="shared" si="290"/>
        <v>9.9999999999999995E-7</v>
      </c>
      <c r="O255" s="513">
        <f t="shared" si="290"/>
        <v>0</v>
      </c>
      <c r="P255" s="513">
        <f t="shared" si="290"/>
        <v>4.5499499999999998E-2</v>
      </c>
      <c r="Q255" s="513">
        <f t="shared" si="290"/>
        <v>2.4E-2</v>
      </c>
    </row>
    <row r="256" spans="1:17">
      <c r="A256" s="1310"/>
      <c r="B256" s="513">
        <v>6</v>
      </c>
      <c r="C256" s="513">
        <f t="shared" ref="C256:H256" si="291">P56</f>
        <v>100</v>
      </c>
      <c r="D256" s="513">
        <f t="shared" si="291"/>
        <v>2</v>
      </c>
      <c r="E256" s="513">
        <f t="shared" si="291"/>
        <v>0.6</v>
      </c>
      <c r="F256" s="513">
        <f t="shared" si="291"/>
        <v>0.6</v>
      </c>
      <c r="G256" s="513">
        <f t="shared" si="291"/>
        <v>0.7</v>
      </c>
      <c r="H256" s="513">
        <f t="shared" si="291"/>
        <v>1.7000000000000002</v>
      </c>
      <c r="J256" s="1310"/>
      <c r="K256" s="513">
        <v>6</v>
      </c>
      <c r="L256" s="513">
        <f t="shared" ref="L256:Q256" si="292">P62</f>
        <v>2</v>
      </c>
      <c r="M256" s="513">
        <f t="shared" si="292"/>
        <v>-7.0000000000000001E-3</v>
      </c>
      <c r="N256" s="513">
        <f t="shared" si="292"/>
        <v>-7.0000000000000001E-3</v>
      </c>
      <c r="O256" s="513">
        <f t="shared" si="292"/>
        <v>9.9999999999999995E-7</v>
      </c>
      <c r="P256" s="513">
        <f t="shared" si="292"/>
        <v>3.5005000000000001E-3</v>
      </c>
      <c r="Q256" s="513">
        <f t="shared" si="292"/>
        <v>0</v>
      </c>
    </row>
    <row r="257" spans="1:20">
      <c r="A257" s="1310"/>
      <c r="B257" s="513">
        <v>7</v>
      </c>
      <c r="C257" s="513">
        <f t="shared" ref="C257:H257" si="293">B87</f>
        <v>100</v>
      </c>
      <c r="D257" s="513">
        <f t="shared" si="293"/>
        <v>0.8</v>
      </c>
      <c r="E257" s="513">
        <f t="shared" si="293"/>
        <v>0.9</v>
      </c>
      <c r="F257" s="513">
        <f t="shared" si="293"/>
        <v>9.9999999999999995E-7</v>
      </c>
      <c r="G257" s="513">
        <f t="shared" si="293"/>
        <v>0.4499995</v>
      </c>
      <c r="H257" s="513">
        <f t="shared" si="293"/>
        <v>1.7000000000000002</v>
      </c>
      <c r="J257" s="1310"/>
      <c r="K257" s="513">
        <v>7</v>
      </c>
      <c r="L257" s="513">
        <f t="shared" ref="L257:Q257" si="294">B93</f>
        <v>2</v>
      </c>
      <c r="M257" s="513">
        <f t="shared" si="294"/>
        <v>-8.0000000000000002E-3</v>
      </c>
      <c r="N257" s="513">
        <f t="shared" si="294"/>
        <v>-1E-3</v>
      </c>
      <c r="O257" s="513">
        <f t="shared" si="294"/>
        <v>9.9999999999999995E-7</v>
      </c>
      <c r="P257" s="513">
        <f t="shared" si="294"/>
        <v>4.0004999999999997E-3</v>
      </c>
      <c r="Q257" s="513">
        <f t="shared" si="294"/>
        <v>2.4E-2</v>
      </c>
    </row>
    <row r="258" spans="1:20">
      <c r="A258" s="1310"/>
      <c r="B258" s="513">
        <v>8</v>
      </c>
      <c r="C258" s="513">
        <f t="shared" ref="C258:H258" si="295">I87</f>
        <v>100</v>
      </c>
      <c r="D258" s="513">
        <f t="shared" si="295"/>
        <v>0.7</v>
      </c>
      <c r="E258" s="513">
        <f t="shared" si="295"/>
        <v>0.4</v>
      </c>
      <c r="F258" s="513">
        <f t="shared" si="295"/>
        <v>9.9999999999999995E-7</v>
      </c>
      <c r="G258" s="513">
        <f t="shared" si="295"/>
        <v>0.34999949999999996</v>
      </c>
      <c r="H258" s="513">
        <f t="shared" si="295"/>
        <v>1.7000000000000002</v>
      </c>
      <c r="J258" s="1310"/>
      <c r="K258" s="513">
        <v>8</v>
      </c>
      <c r="L258" s="513">
        <f t="shared" ref="L258:Q258" si="296">I93</f>
        <v>2</v>
      </c>
      <c r="M258" s="513">
        <f t="shared" si="296"/>
        <v>-6.0000000000000001E-3</v>
      </c>
      <c r="N258" s="513">
        <f t="shared" si="296"/>
        <v>5.0000000000000001E-3</v>
      </c>
      <c r="O258" s="513">
        <f t="shared" si="296"/>
        <v>-1E-3</v>
      </c>
      <c r="P258" s="513">
        <f t="shared" si="296"/>
        <v>5.4999999999999997E-3</v>
      </c>
      <c r="Q258" s="513">
        <f t="shared" si="296"/>
        <v>2.4E-2</v>
      </c>
    </row>
    <row r="259" spans="1:20">
      <c r="A259" s="1310"/>
      <c r="B259" s="513">
        <v>9</v>
      </c>
      <c r="C259" s="513">
        <f t="shared" ref="C259:H259" si="297">P87</f>
        <v>100</v>
      </c>
      <c r="D259" s="513">
        <f t="shared" si="297"/>
        <v>1.1000000000000001</v>
      </c>
      <c r="E259" s="513">
        <f t="shared" si="297"/>
        <v>0.6</v>
      </c>
      <c r="F259" s="513">
        <f t="shared" si="297"/>
        <v>9.9999999999999995E-7</v>
      </c>
      <c r="G259" s="513">
        <f t="shared" si="297"/>
        <v>0.54999950000000009</v>
      </c>
      <c r="H259" s="513">
        <f t="shared" si="297"/>
        <v>1.7000000000000002</v>
      </c>
      <c r="J259" s="1310"/>
      <c r="K259" s="513">
        <v>9</v>
      </c>
      <c r="L259" s="513">
        <f t="shared" ref="L259:Q259" si="298">P93</f>
        <v>1</v>
      </c>
      <c r="M259" s="513">
        <f t="shared" si="298"/>
        <v>-5.0000000000000001E-3</v>
      </c>
      <c r="N259" s="513">
        <f t="shared" si="298"/>
        <v>9.9999999999999995E-7</v>
      </c>
      <c r="O259" s="513">
        <f t="shared" si="298"/>
        <v>-1E-3</v>
      </c>
      <c r="P259" s="513">
        <f t="shared" si="298"/>
        <v>2.5005000000000001E-3</v>
      </c>
      <c r="Q259" s="513">
        <f t="shared" si="298"/>
        <v>1.2E-2</v>
      </c>
    </row>
    <row r="260" spans="1:20">
      <c r="A260" s="1310"/>
      <c r="B260" s="513">
        <v>10</v>
      </c>
      <c r="C260" s="513">
        <f>B118</f>
        <v>100</v>
      </c>
      <c r="D260" s="513">
        <f t="shared" ref="D260:F260" si="299">C118</f>
        <v>1.4</v>
      </c>
      <c r="E260" s="513" t="str">
        <f t="shared" si="299"/>
        <v>-</v>
      </c>
      <c r="F260" s="513">
        <f t="shared" si="299"/>
        <v>0</v>
      </c>
      <c r="G260" s="513">
        <f>F118</f>
        <v>0</v>
      </c>
      <c r="H260" s="513" t="str">
        <f>G118</f>
        <v>-</v>
      </c>
      <c r="J260" s="1310"/>
      <c r="K260" s="513">
        <v>10</v>
      </c>
      <c r="L260" s="513">
        <f t="shared" ref="L260:Q260" si="300">B124</f>
        <v>2</v>
      </c>
      <c r="M260" s="513">
        <f t="shared" si="300"/>
        <v>-7.0000000000000001E-3</v>
      </c>
      <c r="N260" s="513" t="str">
        <f t="shared" si="300"/>
        <v>-</v>
      </c>
      <c r="O260" s="513">
        <f t="shared" si="300"/>
        <v>0</v>
      </c>
      <c r="P260" s="513">
        <f t="shared" si="300"/>
        <v>0</v>
      </c>
      <c r="Q260" s="513" t="str">
        <f t="shared" si="300"/>
        <v>-</v>
      </c>
    </row>
    <row r="261" spans="1:20">
      <c r="A261" s="1310"/>
      <c r="B261" s="513">
        <v>11</v>
      </c>
      <c r="C261" s="513">
        <f>I118</f>
        <v>100</v>
      </c>
      <c r="D261" s="513">
        <f t="shared" ref="D261:F261" si="301">J118</f>
        <v>9.9999999999999995E-7</v>
      </c>
      <c r="E261" s="513" t="str">
        <f t="shared" si="301"/>
        <v>-</v>
      </c>
      <c r="F261" s="513">
        <f t="shared" si="301"/>
        <v>0</v>
      </c>
      <c r="G261" s="513">
        <f>M118</f>
        <v>0</v>
      </c>
      <c r="H261" s="513" t="str">
        <f>N118</f>
        <v>-</v>
      </c>
      <c r="J261" s="1310"/>
      <c r="K261" s="513">
        <v>11</v>
      </c>
      <c r="L261" s="513">
        <f t="shared" ref="L261:Q261" si="302">I124</f>
        <v>2</v>
      </c>
      <c r="M261" s="513">
        <f t="shared" si="302"/>
        <v>9.9999999999999995E-7</v>
      </c>
      <c r="N261" s="513" t="str">
        <f t="shared" si="302"/>
        <v>-</v>
      </c>
      <c r="O261" s="513">
        <f t="shared" si="302"/>
        <v>0</v>
      </c>
      <c r="P261" s="513">
        <f t="shared" si="302"/>
        <v>0</v>
      </c>
      <c r="Q261" s="513" t="str">
        <f t="shared" si="302"/>
        <v>-</v>
      </c>
    </row>
    <row r="262" spans="1:20">
      <c r="A262" s="1310"/>
      <c r="B262" s="513">
        <v>12</v>
      </c>
      <c r="C262" s="513">
        <f>P118</f>
        <v>100</v>
      </c>
      <c r="D262" s="513">
        <f t="shared" ref="D262:F262" si="303">Q118</f>
        <v>9.9999999999999995E-7</v>
      </c>
      <c r="E262" s="513" t="str">
        <f t="shared" si="303"/>
        <v>-</v>
      </c>
      <c r="F262" s="513">
        <f t="shared" si="303"/>
        <v>0</v>
      </c>
      <c r="G262" s="513">
        <f>T118</f>
        <v>0</v>
      </c>
      <c r="H262" s="513" t="str">
        <f>U118</f>
        <v>-</v>
      </c>
      <c r="J262" s="1310"/>
      <c r="K262" s="513">
        <v>12</v>
      </c>
      <c r="L262" s="513">
        <f t="shared" ref="L262:Q262" si="304">P124</f>
        <v>2</v>
      </c>
      <c r="M262" s="513">
        <f t="shared" si="304"/>
        <v>9.9999999999999995E-7</v>
      </c>
      <c r="N262" s="513" t="str">
        <f t="shared" si="304"/>
        <v>-</v>
      </c>
      <c r="O262" s="513">
        <f t="shared" si="304"/>
        <v>0</v>
      </c>
      <c r="P262" s="513">
        <f t="shared" si="304"/>
        <v>0</v>
      </c>
      <c r="Q262" s="513" t="str">
        <f t="shared" si="304"/>
        <v>-</v>
      </c>
    </row>
    <row r="263" spans="1:20" s="328" customFormat="1">
      <c r="A263" s="426"/>
      <c r="B263" s="427"/>
      <c r="C263" s="406"/>
      <c r="D263" s="406"/>
      <c r="E263" s="406"/>
      <c r="F263" s="406"/>
      <c r="G263" s="406"/>
      <c r="H263" s="428"/>
      <c r="I263" s="426"/>
      <c r="J263" s="427"/>
      <c r="K263" s="427"/>
      <c r="L263" s="427"/>
      <c r="M263" s="427"/>
      <c r="N263" s="427"/>
      <c r="O263" s="427"/>
      <c r="P263" s="428"/>
      <c r="Q263" s="428"/>
    </row>
    <row r="264" spans="1:20" ht="13" thickBot="1">
      <c r="A264" s="417"/>
      <c r="B264" s="280"/>
      <c r="C264" s="280"/>
      <c r="D264" s="418"/>
      <c r="E264" s="418"/>
      <c r="F264" s="418"/>
      <c r="G264" s="418"/>
      <c r="H264" s="418"/>
      <c r="P264" s="418"/>
      <c r="Q264" s="418"/>
    </row>
    <row r="265" spans="1:20" ht="43.5" customHeight="1">
      <c r="A265" s="1333">
        <f>A311</f>
        <v>6</v>
      </c>
      <c r="B265" s="1311" t="str">
        <f>A298</f>
        <v>Electrical Safety Analyzer, Merek : Fluke, Model : ESA 615, SN : 3148908</v>
      </c>
      <c r="C265" s="1311"/>
      <c r="D265" s="1311"/>
      <c r="E265" s="1311"/>
      <c r="F265" s="1311"/>
      <c r="H265" s="512" t="s">
        <v>550</v>
      </c>
      <c r="I265" s="512" t="s">
        <v>551</v>
      </c>
      <c r="J265" s="512" t="s">
        <v>552</v>
      </c>
      <c r="K265" s="512" t="s">
        <v>553</v>
      </c>
      <c r="L265" s="429"/>
      <c r="M265" s="1312" t="s">
        <v>554</v>
      </c>
      <c r="N265" s="1315" t="s">
        <v>555</v>
      </c>
      <c r="O265" s="1318" t="s">
        <v>556</v>
      </c>
      <c r="Q265" s="430"/>
      <c r="R265" s="430"/>
      <c r="S265" s="430"/>
      <c r="T265" s="430"/>
    </row>
    <row r="266" spans="1:20" ht="14.5" customHeight="1">
      <c r="A266" s="1321" t="s">
        <v>521</v>
      </c>
      <c r="B266" s="1321"/>
      <c r="C266" s="1321"/>
      <c r="D266" s="1321"/>
      <c r="E266" s="1321"/>
      <c r="F266" s="1321"/>
      <c r="H266" s="431">
        <f>FORECAST(M268,B269:B274,A269:A274)</f>
        <v>3.6676187379134917E-2</v>
      </c>
      <c r="I266" s="431" t="str">
        <f>IFERROR(FORECAST(M269,B285:B288,A285:A288),"-")</f>
        <v>-</v>
      </c>
      <c r="J266" s="431" t="str">
        <f>IFERROR(FORECAST(M270,B291:B294,A291:A294),"-")</f>
        <v>-</v>
      </c>
      <c r="K266" s="431" t="str">
        <f>IFERROR(FORECAST(M271,B277:B281,A277:A281),"-")</f>
        <v>-</v>
      </c>
      <c r="L266" s="428"/>
      <c r="M266" s="1313"/>
      <c r="N266" s="1316"/>
      <c r="O266" s="1319"/>
      <c r="Q266" s="430"/>
      <c r="R266" s="430"/>
      <c r="S266" s="430"/>
      <c r="T266" s="430"/>
    </row>
    <row r="267" spans="1:20" ht="13.5" thickBot="1">
      <c r="A267" s="1322" t="str">
        <f>B4</f>
        <v>Setting VAC</v>
      </c>
      <c r="B267" s="1322"/>
      <c r="C267" s="1322"/>
      <c r="D267" s="1322"/>
      <c r="E267" s="1322" t="s">
        <v>523</v>
      </c>
      <c r="F267" s="1322" t="s">
        <v>371</v>
      </c>
      <c r="H267" s="430"/>
      <c r="I267" s="430"/>
      <c r="J267" s="430"/>
      <c r="K267" s="430"/>
      <c r="L267" s="428"/>
      <c r="M267" s="1314"/>
      <c r="N267" s="1317"/>
      <c r="O267" s="1320"/>
      <c r="Q267" s="430"/>
      <c r="R267" s="430"/>
      <c r="S267" s="430"/>
      <c r="T267" s="430"/>
    </row>
    <row r="268" spans="1:20" ht="31.5">
      <c r="A268" s="524" t="s">
        <v>524</v>
      </c>
      <c r="B268" s="432">
        <f>VLOOKUP(B265,A299:L310,9,FALSE)</f>
        <v>2023</v>
      </c>
      <c r="C268" s="432">
        <f>VLOOKUP(B265,A299:L310,10,FALSE)</f>
        <v>2022</v>
      </c>
      <c r="D268" s="432">
        <f>VLOOKUP(B265,A299:L310,11,FALSE)</f>
        <v>2019</v>
      </c>
      <c r="E268" s="1322"/>
      <c r="F268" s="1322"/>
      <c r="H268" s="512" t="s">
        <v>557</v>
      </c>
      <c r="I268" s="512" t="s">
        <v>558</v>
      </c>
      <c r="J268" s="430"/>
      <c r="K268" s="430"/>
      <c r="L268" s="428"/>
      <c r="M268" s="433">
        <f>ID!C19</f>
        <v>233.2</v>
      </c>
      <c r="N268" s="434">
        <f>M268+H266</f>
        <v>233.23667618737912</v>
      </c>
      <c r="O268" s="435">
        <f>IF(M268="-","-",IF(M268=M268,N268,))</f>
        <v>233.23667618737912</v>
      </c>
      <c r="P268" s="285" t="str">
        <f>IF(O268="-","",I273)</f>
        <v xml:space="preserve"> ± </v>
      </c>
      <c r="Q268" s="285" t="str">
        <f>IF(O268="-","",J272)</f>
        <v xml:space="preserve"> Volt</v>
      </c>
      <c r="R268" s="285" t="str">
        <f>IF(O268="-","",I272)</f>
        <v>1.7</v>
      </c>
      <c r="S268" s="430"/>
      <c r="T268" s="430"/>
    </row>
    <row r="269" spans="1:20" ht="15.5">
      <c r="A269" s="1334">
        <f>VLOOKUP($A265,$B131:$H142,2,(FALSE))</f>
        <v>150</v>
      </c>
      <c r="B269" s="1334">
        <f>VLOOKUP($A$265,$B$131:$H$142,3,(FALSE))</f>
        <v>0.14000000000000001</v>
      </c>
      <c r="C269" s="1334">
        <f>VLOOKUP($A$265,$B$131:$H$142,4,(FALSE))</f>
        <v>0.15</v>
      </c>
      <c r="D269" s="1334">
        <f>VLOOKUP($A$265,$B$131:$H$142,5,(FALSE))</f>
        <v>-0.15</v>
      </c>
      <c r="E269" s="1334">
        <f>VLOOKUP($A$265,$B$131:$H$142,6,(FALSE))</f>
        <v>0.15</v>
      </c>
      <c r="F269" s="1334">
        <f>VLOOKUP($A$265,$B$131:$H$142,7,(FALSE))</f>
        <v>1.8</v>
      </c>
      <c r="H269" s="436">
        <f>FORECAST(M272,B277:B281,A277:A281)</f>
        <v>3.4534180829113925</v>
      </c>
      <c r="I269" s="436">
        <f>FORECAST(N268,F269:F274,A269:A274)</f>
        <v>1.7168628187834836</v>
      </c>
      <c r="J269" s="516"/>
      <c r="K269" s="516"/>
      <c r="L269" s="428"/>
      <c r="M269" s="437" t="str">
        <f>ID!I27</f>
        <v>-</v>
      </c>
      <c r="N269" s="749" t="str">
        <f>IFERROR(M269+I266,"-")</f>
        <v>-</v>
      </c>
      <c r="O269" s="438" t="str">
        <f>IF(M269="OL","OL",IF(M269="NC","NC",IF(M269="OR","OR",IFERROR(N269,"-"))))</f>
        <v>-</v>
      </c>
      <c r="Q269" s="418"/>
      <c r="R269" s="439"/>
    </row>
    <row r="270" spans="1:20" ht="13.5" thickBot="1">
      <c r="A270" s="1334">
        <f>VLOOKUP($A$265,$B$144:$H$155,2,(FALSE))</f>
        <v>180</v>
      </c>
      <c r="B270" s="1334">
        <f>VLOOKUP($A$265,$B$144:$H$155,3,(FALSE))</f>
        <v>0.17</v>
      </c>
      <c r="C270" s="1334">
        <f>VLOOKUP($A$265,$B$144:$H$155,4,(FALSE))</f>
        <v>0.17</v>
      </c>
      <c r="D270" s="1334">
        <f>VLOOKUP($A$265,$B$144:$H$155,5,(FALSE))</f>
        <v>-0.11</v>
      </c>
      <c r="E270" s="1334">
        <f>VLOOKUP($A$265,$B$144:$H$155,6,(FALSE))</f>
        <v>0.14000000000000001</v>
      </c>
      <c r="F270" s="1334">
        <f>VLOOKUP($A$265,$B$144:$H$155,7,(FALSE))</f>
        <v>2.16</v>
      </c>
      <c r="H270" s="430"/>
      <c r="I270" s="430"/>
      <c r="J270" s="430"/>
      <c r="K270" s="430"/>
      <c r="L270" s="428"/>
      <c r="M270" s="437" t="str">
        <f>ID!I28</f>
        <v>-</v>
      </c>
      <c r="N270" s="749" t="str">
        <f>IFERROR(M270+J266,"-")</f>
        <v>-</v>
      </c>
      <c r="O270" s="438" t="str">
        <f>IF(M270="OL","OL",IF(M270="NC","NC",IF(M270="OR","OR",IFERROR(N270,"-"))))</f>
        <v>-</v>
      </c>
    </row>
    <row r="271" spans="1:20" ht="13">
      <c r="A271" s="1334">
        <f>VLOOKUP($A$265,$B$157:$H$168,2,(FALSE))</f>
        <v>200</v>
      </c>
      <c r="B271" s="1334">
        <f>VLOOKUP($A$265,$B$157:$H$168,3,(FALSE))</f>
        <v>0.08</v>
      </c>
      <c r="C271" s="1334">
        <f>VLOOKUP($A$265,$B$157:$H$168,4,(FALSE))</f>
        <v>0.1</v>
      </c>
      <c r="D271" s="1334">
        <f>VLOOKUP($A$265,$B$157:$H$168,5,(FALSE))</f>
        <v>-0.1</v>
      </c>
      <c r="E271" s="1334">
        <f>VLOOKUP($A$265,$B$157:$H$168,6,(FALSE))</f>
        <v>0.1</v>
      </c>
      <c r="F271" s="1334">
        <f>VLOOKUP($A$265,$B$157:$H$168,7,(FALSE))</f>
        <v>2.4</v>
      </c>
      <c r="H271" s="1270" t="s">
        <v>490</v>
      </c>
      <c r="I271" s="1271"/>
      <c r="J271" s="1272"/>
      <c r="K271" s="430"/>
      <c r="L271" s="440" t="s">
        <v>559</v>
      </c>
      <c r="M271" s="437" t="str">
        <f>ID!I30</f>
        <v>-</v>
      </c>
      <c r="N271" s="441" t="str">
        <f>IFERROR(M271+K266,"-")</f>
        <v>-</v>
      </c>
      <c r="O271" s="442" t="str">
        <f>IFERROR(N271,"-")</f>
        <v>-</v>
      </c>
      <c r="P271" s="418"/>
    </row>
    <row r="272" spans="1:20" ht="16" thickBot="1">
      <c r="A272" s="1334">
        <f>VLOOKUP($A$265,$B$170:$H$181,2,(FALSE))</f>
        <v>220</v>
      </c>
      <c r="B272" s="1334">
        <f>VLOOKUP($A$265,$B$170:$H$181,3,(FALSE))</f>
        <v>0.06</v>
      </c>
      <c r="C272" s="1334">
        <f>VLOOKUP($A$265,$B$170:$H$181,4,(FALSE))</f>
        <v>7.0000000000000007E-2</v>
      </c>
      <c r="D272" s="1334">
        <f>VLOOKUP($A$265,$B$170:$H$181,5,(FALSE))</f>
        <v>-0.13</v>
      </c>
      <c r="E272" s="1334">
        <f>VLOOKUP($A$265,$B$170:$H$181,6,(FALSE))</f>
        <v>0.1</v>
      </c>
      <c r="F272" s="1334">
        <f>VLOOKUP($A$265,$B$170:$H$181,7,(FALSE))</f>
        <v>2.64</v>
      </c>
      <c r="H272" s="533" t="str">
        <f>TEXT(O268,"0.0")</f>
        <v>233.2</v>
      </c>
      <c r="I272" s="532" t="str">
        <f>TEXT(I269,"0.0")</f>
        <v>1.7</v>
      </c>
      <c r="J272" s="398" t="s">
        <v>560</v>
      </c>
      <c r="K272" s="430"/>
      <c r="L272" s="440" t="s">
        <v>147</v>
      </c>
      <c r="M272" s="443">
        <f>ID!P27</f>
        <v>20</v>
      </c>
      <c r="N272" s="444">
        <f>M272+H269</f>
        <v>23.453418082911391</v>
      </c>
      <c r="O272" s="445">
        <f>IFERROR(N272,"-")</f>
        <v>23.453418082911391</v>
      </c>
    </row>
    <row r="273" spans="1:18" ht="15.75" customHeight="1" thickBot="1">
      <c r="A273" s="1334">
        <f>VLOOKUP($A$265,$B$183:$H$194,2,(FALSE))</f>
        <v>230</v>
      </c>
      <c r="B273" s="1334">
        <f>VLOOKUP($A$265,$B$183:$H$194,3,(FALSE))</f>
        <v>0.04</v>
      </c>
      <c r="C273" s="1334">
        <f>VLOOKUP($A$265,$B$183:$H$194,4,(FALSE))</f>
        <v>0.08</v>
      </c>
      <c r="D273" s="1334">
        <f>VLOOKUP($A$265,$B$183:$H$194,5,(FALSE))</f>
        <v>-0.15</v>
      </c>
      <c r="E273" s="1334">
        <f>VLOOKUP($A$265,$B$183:$H$194,6,(FALSE))</f>
        <v>0.11499999999999999</v>
      </c>
      <c r="F273" s="1334">
        <f>VLOOKUP($A$265,$B$183:$H$194,7,(FALSE))</f>
        <v>2.7600000000000002</v>
      </c>
      <c r="H273" s="400" t="s">
        <v>497</v>
      </c>
      <c r="I273" s="401" t="s">
        <v>498</v>
      </c>
      <c r="J273" s="402" t="s">
        <v>499</v>
      </c>
      <c r="K273" s="516"/>
      <c r="L273" s="428"/>
      <c r="M273" s="446"/>
      <c r="N273" s="447"/>
      <c r="O273" s="448"/>
    </row>
    <row r="274" spans="1:18" ht="17.5">
      <c r="A274" s="1334">
        <f>VLOOKUP($A$265,$B$196:$H$207,2,(FALSE))</f>
        <v>250</v>
      </c>
      <c r="B274" s="1334">
        <f>VLOOKUP($A$265,$B$196:$H$207,3,(FALSE))</f>
        <v>9.9999999999999995E-7</v>
      </c>
      <c r="C274" s="1334">
        <f>VLOOKUP($A$265,$B$196:$H$207,4,(FALSE))</f>
        <v>9.9999999999999995E-7</v>
      </c>
      <c r="D274" s="1334">
        <f>VLOOKUP($A$265,$B$196:$H$207,5,(FALSE))</f>
        <v>9.9999999999999995E-7</v>
      </c>
      <c r="E274" s="1334">
        <f>VLOOKUP($A$265,$B$196:$H$207,6,(FALSE))</f>
        <v>0</v>
      </c>
      <c r="F274" s="1334">
        <f>VLOOKUP($A$265,$B$196:$H$207,7,(FALSE))</f>
        <v>0</v>
      </c>
      <c r="H274" s="1330" t="str">
        <f>H273&amp;H272&amp;I273&amp;I272&amp;J273&amp;J272</f>
        <v>( 233.2 ± 1.7 ) Volt</v>
      </c>
      <c r="I274" s="1331"/>
      <c r="J274" s="1332"/>
      <c r="K274" s="430"/>
      <c r="L274" s="428"/>
      <c r="M274" s="446"/>
      <c r="N274" s="447"/>
      <c r="O274" s="448"/>
    </row>
    <row r="275" spans="1:18" ht="13" customHeight="1">
      <c r="A275" s="1309" t="str">
        <f>B12</f>
        <v>Current Leakage</v>
      </c>
      <c r="B275" s="1309"/>
      <c r="C275" s="1309"/>
      <c r="D275" s="1309"/>
      <c r="E275" s="515" t="s">
        <v>523</v>
      </c>
      <c r="F275" s="515" t="s">
        <v>371</v>
      </c>
      <c r="H275" s="430"/>
      <c r="I275" s="430"/>
      <c r="J275" s="430"/>
      <c r="K275" s="430"/>
      <c r="L275" s="428"/>
      <c r="M275" s="446"/>
      <c r="N275" s="447"/>
      <c r="O275" s="448"/>
      <c r="Q275" s="418"/>
    </row>
    <row r="276" spans="1:18" ht="14">
      <c r="A276" s="524" t="s">
        <v>526</v>
      </c>
      <c r="B276" s="432">
        <f>B268</f>
        <v>2023</v>
      </c>
      <c r="C276" s="432">
        <f>C268</f>
        <v>2022</v>
      </c>
      <c r="D276" s="432">
        <f>D268</f>
        <v>2019</v>
      </c>
      <c r="E276" s="515"/>
      <c r="F276" s="515"/>
      <c r="H276" s="430"/>
      <c r="I276" s="430"/>
      <c r="J276" s="430"/>
      <c r="K276" s="430"/>
      <c r="L276" s="428"/>
      <c r="M276" s="446"/>
      <c r="N276" s="447"/>
      <c r="O276" s="448"/>
      <c r="Q276" s="418"/>
    </row>
    <row r="277" spans="1:18" ht="15.75" customHeight="1">
      <c r="A277" s="1334">
        <f>VLOOKUP($A$265,$K$131:$Q$142,2,(FALSE))</f>
        <v>0</v>
      </c>
      <c r="B277" s="1334">
        <f>VLOOKUP($A$265,$K$131:$Q$142,3,(FALSE))</f>
        <v>9.9999999999999995E-7</v>
      </c>
      <c r="C277" s="1334">
        <f>VLOOKUP($A$265,$K$131:$Q$142,4,(FALSE))</f>
        <v>9.9999999999999995E-7</v>
      </c>
      <c r="D277" s="1334">
        <f>VLOOKUP($A$265,$K$131:$Q$142,5,(FALSE))</f>
        <v>9.9999999999999995E-7</v>
      </c>
      <c r="E277" s="1334">
        <f>VLOOKUP($A$265,$K$131:$Q$142,6,(FALSE))</f>
        <v>0</v>
      </c>
      <c r="F277" s="1334">
        <f>VLOOKUP($A$265,$K$131:$Q$142,7,(FALSE))</f>
        <v>0</v>
      </c>
      <c r="H277" s="1329"/>
      <c r="I277" s="1329"/>
      <c r="J277" s="1329"/>
      <c r="K277" s="1329"/>
      <c r="L277" s="428"/>
      <c r="M277" s="449"/>
      <c r="N277" s="449"/>
      <c r="O277" s="450"/>
      <c r="Q277" s="418"/>
      <c r="R277" s="418"/>
    </row>
    <row r="278" spans="1:18">
      <c r="A278" s="1334">
        <f>VLOOKUP($A$265,$K$144:$Q$155,2,(FALSE))</f>
        <v>50</v>
      </c>
      <c r="B278" s="1334">
        <f>VLOOKUP($A$265,$K$144:$Q$155,3,(FALSE))</f>
        <v>4.5</v>
      </c>
      <c r="C278" s="1334">
        <f>VLOOKUP($A$265,$K$144:$Q$155,4,(FALSE))</f>
        <v>19.100000000000001</v>
      </c>
      <c r="D278" s="1334">
        <f>VLOOKUP($A$265,$K$144:$Q$155,5,(FALSE))</f>
        <v>0.02</v>
      </c>
      <c r="E278" s="1334">
        <f>VLOOKUP($A$265,$K$144:$Q$155,6,(FALSE))</f>
        <v>9.5400000000000009</v>
      </c>
      <c r="F278" s="1334">
        <f>VLOOKUP($A$265,$K$144:$Q$155,7,(FALSE))</f>
        <v>0.29499999999999998</v>
      </c>
      <c r="H278" s="430"/>
      <c r="I278" s="430"/>
      <c r="J278" s="430"/>
      <c r="K278" s="430"/>
      <c r="L278" s="428"/>
      <c r="M278" s="451"/>
      <c r="N278" s="451"/>
      <c r="O278" s="448"/>
      <c r="Q278" s="418"/>
      <c r="R278" s="418"/>
    </row>
    <row r="279" spans="1:18">
      <c r="A279" s="1334">
        <f>VLOOKUP($A$265,$K$157:$Q$168,2,(FALSE))</f>
        <v>100</v>
      </c>
      <c r="B279" s="1334">
        <f>VLOOKUP($A$265,$K$157:$Q$168,3,(FALSE))</f>
        <v>6.2</v>
      </c>
      <c r="C279" s="1334">
        <f>VLOOKUP($A$265,$K$157:$Q$168,4,(FALSE))</f>
        <v>18.399999999999999</v>
      </c>
      <c r="D279" s="1334">
        <f>VLOOKUP($A$265,$K$157:$Q$168,5,(FALSE))</f>
        <v>0.22</v>
      </c>
      <c r="E279" s="1334">
        <f>VLOOKUP($A$265,$K$157:$Q$168,6,(FALSE))</f>
        <v>9.09</v>
      </c>
      <c r="F279" s="1334">
        <f>VLOOKUP($A$265,$K$157:$Q$168,7,(FALSE))</f>
        <v>0.59</v>
      </c>
      <c r="H279" s="430"/>
      <c r="I279" s="430"/>
      <c r="J279" s="430"/>
      <c r="K279" s="430"/>
      <c r="L279" s="428"/>
      <c r="M279" s="328"/>
      <c r="N279" s="328"/>
      <c r="O279" s="452"/>
      <c r="Q279" s="418"/>
      <c r="R279" s="418"/>
    </row>
    <row r="280" spans="1:18">
      <c r="A280" s="1334">
        <f>VLOOKUP($A$265,$K$170:$Q$181,2,(FALSE))</f>
        <v>200</v>
      </c>
      <c r="B280" s="1334">
        <f>VLOOKUP($A$265,$K$170:$Q$181,3,(FALSE))</f>
        <v>9.4</v>
      </c>
      <c r="C280" s="1334">
        <f>VLOOKUP($A$265,$K$170:$Q$181,4,(FALSE))</f>
        <v>14.4</v>
      </c>
      <c r="D280" s="1334">
        <f>VLOOKUP($A$265,$K$170:$Q$181,5,(FALSE))</f>
        <v>0.8</v>
      </c>
      <c r="E280" s="1334">
        <f>VLOOKUP($A$265,$K$170:$Q$181,6,(FALSE))</f>
        <v>6.8</v>
      </c>
      <c r="F280" s="1334">
        <f>VLOOKUP($A$265,$K$170:$Q$181,7,(FALSE))</f>
        <v>1.18</v>
      </c>
      <c r="H280" s="430"/>
      <c r="I280" s="430"/>
      <c r="J280" s="430"/>
      <c r="K280" s="430"/>
      <c r="L280" s="428"/>
      <c r="M280" s="328"/>
      <c r="N280" s="328"/>
      <c r="O280" s="452"/>
      <c r="Q280" s="418"/>
      <c r="R280" s="418"/>
    </row>
    <row r="281" spans="1:18" ht="16.5" customHeight="1">
      <c r="A281" s="1334">
        <f>VLOOKUP($A$265,$K$183:$Q$194,2,(FALSE))</f>
        <v>500</v>
      </c>
      <c r="B281" s="1334">
        <f>VLOOKUP($A$265,$K$183:$Q$194,3,(FALSE))</f>
        <v>10.8</v>
      </c>
      <c r="C281" s="1334">
        <f>VLOOKUP($A$265,$K$183:$Q$194,4,(FALSE))</f>
        <v>6.2</v>
      </c>
      <c r="D281" s="1334">
        <f>VLOOKUP($A$265,$K$183:$Q$194,5,(FALSE))</f>
        <v>1.1000000000000001</v>
      </c>
      <c r="E281" s="1334">
        <f>VLOOKUP($A$265,$K$183:$Q$194,6,(FALSE))</f>
        <v>4.8500000000000005</v>
      </c>
      <c r="F281" s="1334">
        <f>VLOOKUP($A$265,$K$183:$Q$194,7,(FALSE))</f>
        <v>2.9499999999999997</v>
      </c>
      <c r="H281" s="1329"/>
      <c r="I281" s="1329"/>
      <c r="J281" s="1329"/>
      <c r="K281" s="1329"/>
      <c r="L281" s="428"/>
      <c r="M281" s="453"/>
      <c r="N281" s="453"/>
      <c r="O281" s="454"/>
      <c r="P281" s="455"/>
      <c r="Q281" s="418"/>
      <c r="R281" s="418"/>
    </row>
    <row r="282" spans="1:18">
      <c r="A282" s="1334">
        <f>VLOOKUP($A$265,$K$196:$Q$207,2,(FALSE))</f>
        <v>1000</v>
      </c>
      <c r="B282" s="1334">
        <f>VLOOKUP($A$265,$K$196:$Q$207,3,(FALSE))</f>
        <v>-88</v>
      </c>
      <c r="C282" s="1334">
        <f>VLOOKUP($A$265,$K$196:$Q$207,4,(FALSE))</f>
        <v>-11</v>
      </c>
      <c r="D282" s="1334">
        <f>VLOOKUP($A$265,$K$196:$Q$207,5,(FALSE))</f>
        <v>9.9999999999999995E-7</v>
      </c>
      <c r="E282" s="1334">
        <f>VLOOKUP($A$265,$K$196:$Q$207,6,(FALSE))</f>
        <v>44.000000499999999</v>
      </c>
      <c r="F282" s="1334">
        <f>VLOOKUP($A$265,$K$196:$Q$207,7,(FALSE))</f>
        <v>5.8999999999999995</v>
      </c>
      <c r="H282" s="430"/>
      <c r="I282" s="430"/>
      <c r="J282" s="430"/>
      <c r="K282" s="430"/>
      <c r="L282" s="428"/>
      <c r="M282" s="430"/>
      <c r="N282" s="430"/>
      <c r="O282" s="456"/>
      <c r="P282" s="457"/>
      <c r="Q282" s="418"/>
      <c r="R282" s="418"/>
    </row>
    <row r="283" spans="1:18" ht="13">
      <c r="A283" s="1309" t="str">
        <f>B20</f>
        <v>Main-PE</v>
      </c>
      <c r="B283" s="1309"/>
      <c r="C283" s="1309"/>
      <c r="D283" s="1309"/>
      <c r="E283" s="515" t="s">
        <v>523</v>
      </c>
      <c r="F283" s="515" t="s">
        <v>371</v>
      </c>
      <c r="H283" s="430"/>
      <c r="I283" s="430"/>
      <c r="J283" s="430"/>
      <c r="K283" s="430"/>
      <c r="L283" s="428"/>
      <c r="M283" s="430"/>
      <c r="N283" s="430"/>
      <c r="O283" s="456"/>
      <c r="P283" s="457"/>
      <c r="Q283" s="418"/>
      <c r="R283" s="418"/>
    </row>
    <row r="284" spans="1:18" ht="14.5">
      <c r="A284" s="524" t="s">
        <v>528</v>
      </c>
      <c r="B284" s="432">
        <f>B276</f>
        <v>2023</v>
      </c>
      <c r="C284" s="432">
        <f>C276</f>
        <v>2022</v>
      </c>
      <c r="D284" s="432">
        <f>D276</f>
        <v>2019</v>
      </c>
      <c r="E284" s="515"/>
      <c r="F284" s="515"/>
      <c r="H284" s="430"/>
      <c r="I284" s="430"/>
      <c r="J284" s="430"/>
      <c r="K284" s="430"/>
      <c r="L284" s="428"/>
      <c r="M284" s="430"/>
      <c r="N284" s="430"/>
      <c r="O284" s="456"/>
      <c r="P284" s="457"/>
      <c r="Q284" s="418"/>
      <c r="R284" s="418"/>
    </row>
    <row r="285" spans="1:18" ht="15.75" customHeight="1">
      <c r="A285" s="1334">
        <f>VLOOKUP($A$265,$B$212:$H$223,2,(FALSE))</f>
        <v>10</v>
      </c>
      <c r="B285" s="1334">
        <f>VLOOKUP($A$265,$B$212:$H$223,3,(FALSE))</f>
        <v>0</v>
      </c>
      <c r="C285" s="1334">
        <f>VLOOKUP($A$265,$B$212:$H$223,4,(FALSE))</f>
        <v>0.1</v>
      </c>
      <c r="D285" s="1334">
        <f>VLOOKUP($A$265,$B$212:$H$223,5,(FALSE))</f>
        <v>0.1</v>
      </c>
      <c r="E285" s="1334">
        <f>VLOOKUP($A$265,$B$212:$H$223,6,(FALSE))</f>
        <v>0.05</v>
      </c>
      <c r="F285" s="1334">
        <f>VLOOKUP($A$265,$B$212:$H$223,7,(FALSE))</f>
        <v>0.17</v>
      </c>
      <c r="H285" s="1325"/>
      <c r="I285" s="1325"/>
      <c r="J285" s="1325"/>
      <c r="K285" s="1325"/>
      <c r="L285" s="328"/>
      <c r="M285" s="328"/>
      <c r="N285" s="328"/>
      <c r="O285" s="452"/>
      <c r="Q285" s="418"/>
      <c r="R285" s="418"/>
    </row>
    <row r="286" spans="1:18">
      <c r="A286" s="1334">
        <f>VLOOKUP($A$265,$B$225:$H$236,2,(FALSE))</f>
        <v>20</v>
      </c>
      <c r="B286" s="1334">
        <f>VLOOKUP($A$265,$B$225:$H$236,3,(FALSE))</f>
        <v>0.1</v>
      </c>
      <c r="C286" s="1334">
        <f>VLOOKUP($A$265,$B$225:$H$236,4,(FALSE))</f>
        <v>0.1</v>
      </c>
      <c r="D286" s="1334">
        <f>VLOOKUP($A$265,$B$225:$H$236,5,(FALSE))</f>
        <v>0.1</v>
      </c>
      <c r="E286" s="1334">
        <f>VLOOKUP($A$265,$B$225:$H$236,6,(FALSE))</f>
        <v>0</v>
      </c>
      <c r="F286" s="1334">
        <f>VLOOKUP($A$265,$B$225:$H$236,7,(FALSE))</f>
        <v>0.34</v>
      </c>
      <c r="H286" s="458"/>
      <c r="I286" s="458"/>
      <c r="J286" s="458"/>
      <c r="K286" s="458"/>
      <c r="L286" s="328"/>
      <c r="M286" s="328"/>
      <c r="N286" s="328"/>
      <c r="O286" s="452"/>
      <c r="Q286" s="418"/>
      <c r="R286" s="418"/>
    </row>
    <row r="287" spans="1:18">
      <c r="A287" s="1334">
        <f>VLOOKUP($A$265,$B$238:$H$249,2,(FALSE))</f>
        <v>50</v>
      </c>
      <c r="B287" s="1334">
        <f>VLOOKUP($A$265,$B$238:$H$249,3,(FALSE))</f>
        <v>0.1</v>
      </c>
      <c r="C287" s="1334">
        <f>VLOOKUP($A$265,$B$238:$H$249,4,(FALSE))</f>
        <v>0.3</v>
      </c>
      <c r="D287" s="1334">
        <f>VLOOKUP($A$265,$B$238:$H$249,5,(FALSE))</f>
        <v>0.3</v>
      </c>
      <c r="E287" s="1334">
        <f>VLOOKUP($A$265,$B$238:$H$249,6,(FALSE))</f>
        <v>9.9999999999999992E-2</v>
      </c>
      <c r="F287" s="1334">
        <f>VLOOKUP($A$265,$B$238:$H$249,7,(FALSE))</f>
        <v>0.85000000000000009</v>
      </c>
      <c r="H287" s="458"/>
      <c r="I287" s="458"/>
      <c r="J287" s="458"/>
      <c r="K287" s="458"/>
      <c r="L287" s="328"/>
      <c r="M287" s="328"/>
      <c r="N287" s="328"/>
      <c r="O287" s="452"/>
      <c r="Q287" s="418"/>
      <c r="R287" s="418"/>
    </row>
    <row r="288" spans="1:18">
      <c r="A288" s="1334">
        <f>VLOOKUP($A$265,$B$251:$H$262,2,(FALSE))</f>
        <v>100</v>
      </c>
      <c r="B288" s="1334">
        <f>VLOOKUP($A$265,$B$251:$H$262,3,(FALSE))</f>
        <v>2</v>
      </c>
      <c r="C288" s="1334">
        <f>VLOOKUP($A$265,$B$251:$H$262,4,(FALSE))</f>
        <v>0.6</v>
      </c>
      <c r="D288" s="1334">
        <f>VLOOKUP($A$265,$B$251:$H$262,5,(FALSE))</f>
        <v>0.6</v>
      </c>
      <c r="E288" s="1334">
        <f>VLOOKUP($A$265,$B$251:$H$262,6,(FALSE))</f>
        <v>0.7</v>
      </c>
      <c r="F288" s="1334">
        <f>VLOOKUP($A$265,$B$251:$H$262,7,(FALSE))</f>
        <v>1.7000000000000002</v>
      </c>
      <c r="H288" s="458"/>
      <c r="I288" s="458"/>
      <c r="J288" s="458"/>
      <c r="K288" s="458"/>
      <c r="L288" s="328"/>
      <c r="M288" s="328"/>
      <c r="N288" s="328"/>
      <c r="O288" s="452"/>
      <c r="Q288" s="418"/>
      <c r="R288" s="418"/>
    </row>
    <row r="289" spans="1:25" ht="15.75" customHeight="1">
      <c r="A289" s="1309" t="str">
        <f>B26</f>
        <v>Resistance</v>
      </c>
      <c r="B289" s="1309"/>
      <c r="C289" s="1309"/>
      <c r="D289" s="1309"/>
      <c r="E289" s="515" t="s">
        <v>523</v>
      </c>
      <c r="F289" s="515" t="s">
        <v>371</v>
      </c>
      <c r="H289" s="1325"/>
      <c r="I289" s="1325"/>
      <c r="J289" s="1325"/>
      <c r="K289" s="1325"/>
      <c r="L289" s="328"/>
      <c r="M289" s="328"/>
      <c r="N289" s="328"/>
      <c r="O289" s="452"/>
      <c r="Q289" s="418"/>
      <c r="R289" s="418"/>
    </row>
    <row r="290" spans="1:25" ht="14.5">
      <c r="A290" s="524" t="s">
        <v>530</v>
      </c>
      <c r="B290" s="432">
        <f>B284</f>
        <v>2023</v>
      </c>
      <c r="C290" s="432">
        <f>C284</f>
        <v>2022</v>
      </c>
      <c r="D290" s="432">
        <f>D284</f>
        <v>2019</v>
      </c>
      <c r="E290" s="515"/>
      <c r="F290" s="515"/>
      <c r="H290" s="458"/>
      <c r="I290" s="458"/>
      <c r="J290" s="458"/>
      <c r="K290" s="458"/>
      <c r="L290" s="328"/>
      <c r="M290" s="328"/>
      <c r="N290" s="328"/>
      <c r="O290" s="452"/>
      <c r="Q290" s="418"/>
      <c r="R290" s="418"/>
    </row>
    <row r="291" spans="1:25">
      <c r="A291" s="1334">
        <f>VLOOKUP($A$265,$K$212:$Q$223,2,(FALSE))</f>
        <v>0</v>
      </c>
      <c r="B291" s="1334">
        <f>VLOOKUP($A$265,$K$212:$Q$223,3,(FALSE))</f>
        <v>0</v>
      </c>
      <c r="C291" s="1334">
        <f>VLOOKUP($A$265,$K$212:$Q$223,4,(FALSE))</f>
        <v>-3.0000000000000001E-3</v>
      </c>
      <c r="D291" s="1334">
        <f>VLOOKUP($A$265,$K$212:$Q$223,5,(FALSE))</f>
        <v>9.9999999999999995E-7</v>
      </c>
      <c r="E291" s="1334">
        <f>VLOOKUP($A$265,$K$212:$Q$223,6,(FALSE))</f>
        <v>1.5005000000000001E-3</v>
      </c>
      <c r="F291" s="1334">
        <f>VLOOKUP($A$265,$K$212:$Q$223,7,(FALSE))</f>
        <v>0</v>
      </c>
      <c r="H291" s="458"/>
      <c r="I291" s="458"/>
      <c r="J291" s="458"/>
      <c r="K291" s="458"/>
      <c r="L291" s="328"/>
      <c r="M291" s="328"/>
      <c r="N291" s="328"/>
      <c r="O291" s="452"/>
      <c r="Q291" s="418"/>
      <c r="R291" s="418"/>
    </row>
    <row r="292" spans="1:25">
      <c r="A292" s="1334">
        <f>VLOOKUP($A$265,$K$225:$Q$236,2,(FALSE))</f>
        <v>0.1</v>
      </c>
      <c r="B292" s="1334">
        <f>VLOOKUP($A$265,$K$225:$Q$236,3,(FALSE))</f>
        <v>0</v>
      </c>
      <c r="C292" s="1334">
        <f>VLOOKUP($A$265,$K$225:$Q$236,4,(FALSE))</f>
        <v>-3.0000000000000001E-3</v>
      </c>
      <c r="D292" s="1334">
        <f>VLOOKUP($A$265,$K$225:$Q$236,5,(FALSE))</f>
        <v>-2E-3</v>
      </c>
      <c r="E292" s="1334">
        <f>VLOOKUP($A$265,$K$225:$Q$236,6,(FALSE))</f>
        <v>1.5E-3</v>
      </c>
      <c r="F292" s="1334">
        <f>VLOOKUP($A$265,$K$225:$Q$236,7,(FALSE))</f>
        <v>1.2000000000000001E-3</v>
      </c>
      <c r="H292" s="458"/>
      <c r="I292" s="458"/>
      <c r="J292" s="458"/>
      <c r="K292" s="458"/>
      <c r="L292" s="328"/>
      <c r="M292" s="328"/>
      <c r="N292" s="328"/>
      <c r="O292" s="452"/>
      <c r="Q292" s="418"/>
      <c r="R292" s="418"/>
    </row>
    <row r="293" spans="1:25" ht="15.75" customHeight="1">
      <c r="A293" s="1334">
        <f>VLOOKUP($A$265,$K$238:$Q$249,2,(FALSE))</f>
        <v>1</v>
      </c>
      <c r="B293" s="1334">
        <f>VLOOKUP($A$265,$K$238:$Q$249,3,(FALSE))</f>
        <v>-6.0000000000000001E-3</v>
      </c>
      <c r="C293" s="1334">
        <f>VLOOKUP($A$265,$K$238:$Q$249,4,(FALSE))</f>
        <v>-7.0000000000000001E-3</v>
      </c>
      <c r="D293" s="1334">
        <f>VLOOKUP($A$265,$K$238:$Q$249,5,(FALSE))</f>
        <v>-1E-3</v>
      </c>
      <c r="E293" s="1334">
        <f>VLOOKUP($A$265,$K$238:$Q$249,6,(FALSE))</f>
        <v>3.0000000000000001E-3</v>
      </c>
      <c r="F293" s="1334">
        <f>VLOOKUP($A$265,$K$238:$Q$249,7,(FALSE))</f>
        <v>1.2E-2</v>
      </c>
      <c r="H293" s="1325"/>
      <c r="I293" s="1325"/>
      <c r="J293" s="1325"/>
      <c r="K293" s="1325"/>
      <c r="L293" s="328"/>
      <c r="M293" s="328"/>
      <c r="N293" s="328"/>
      <c r="O293" s="452"/>
      <c r="Q293" s="418"/>
      <c r="R293" s="418"/>
    </row>
    <row r="294" spans="1:25">
      <c r="A294" s="1334">
        <f>VLOOKUP($A$265,$K$251:$Q$262,2,(FALSE))</f>
        <v>2</v>
      </c>
      <c r="B294" s="1334">
        <f>VLOOKUP($A$265,$K$251:$Q$262,3,(FALSE))</f>
        <v>-7.0000000000000001E-3</v>
      </c>
      <c r="C294" s="1334">
        <f>VLOOKUP($A$265,$K$251:$Q$262,4,(FALSE))</f>
        <v>-7.0000000000000001E-3</v>
      </c>
      <c r="D294" s="1334">
        <f>VLOOKUP($A$265,$K$251:$Q$262,5,(FALSE))</f>
        <v>9.9999999999999995E-7</v>
      </c>
      <c r="E294" s="1334">
        <f>VLOOKUP($A$265,$K$251:$Q$262,6,(FALSE))</f>
        <v>3.5005000000000001E-3</v>
      </c>
      <c r="F294" s="1334">
        <f>VLOOKUP($A$265,$K$251:$Q$262,7,(FALSE))</f>
        <v>0</v>
      </c>
      <c r="H294" s="458"/>
      <c r="I294" s="458"/>
      <c r="J294" s="458"/>
      <c r="K294" s="458"/>
      <c r="L294" s="328"/>
      <c r="M294" s="328"/>
      <c r="N294" s="328"/>
      <c r="O294" s="452"/>
      <c r="Q294" s="418"/>
      <c r="R294" s="418"/>
    </row>
    <row r="297" spans="1:25" ht="13" thickBot="1"/>
    <row r="298" spans="1:25" ht="13">
      <c r="A298" s="1336" t="str">
        <f>ID!A115</f>
        <v>Electrical Safety Analyzer, Merek : Fluke, Model : ESA 615, SN : 3148908</v>
      </c>
      <c r="B298" s="1337"/>
      <c r="C298" s="1337"/>
      <c r="D298" s="1337"/>
      <c r="E298" s="1337"/>
      <c r="F298" s="1337"/>
      <c r="G298" s="1337"/>
      <c r="H298" s="1337"/>
      <c r="I298" s="1337"/>
      <c r="J298" s="1337"/>
      <c r="K298" s="1337"/>
      <c r="L298" s="1338"/>
      <c r="N298" s="1326">
        <f>A311</f>
        <v>6</v>
      </c>
      <c r="O298" s="1327"/>
      <c r="P298" s="1327"/>
      <c r="Q298" s="1327"/>
      <c r="R298" s="1327"/>
      <c r="S298" s="1327"/>
      <c r="T298" s="1327"/>
      <c r="U298" s="1327"/>
      <c r="V298" s="1327"/>
      <c r="W298" s="1327"/>
      <c r="X298" s="1327"/>
      <c r="Y298" s="1328"/>
    </row>
    <row r="299" spans="1:25" ht="14">
      <c r="A299" s="459" t="s">
        <v>561</v>
      </c>
      <c r="B299" s="460"/>
      <c r="C299" s="461"/>
      <c r="D299" s="462"/>
      <c r="E299" s="462"/>
      <c r="F299" s="462"/>
      <c r="G299" s="462"/>
      <c r="H299" s="462"/>
      <c r="I299" s="463">
        <f>C5</f>
        <v>2020</v>
      </c>
      <c r="J299" s="464">
        <f>D5</f>
        <v>2019</v>
      </c>
      <c r="K299" s="464">
        <f>E5</f>
        <v>2016</v>
      </c>
      <c r="L299" s="465">
        <v>1</v>
      </c>
      <c r="N299" s="466">
        <v>1</v>
      </c>
      <c r="O299" s="467" t="s">
        <v>562</v>
      </c>
      <c r="P299" s="468"/>
      <c r="Q299" s="468"/>
      <c r="R299" s="468"/>
      <c r="S299" s="468"/>
      <c r="T299" s="468"/>
      <c r="U299" s="468"/>
      <c r="V299" s="468"/>
      <c r="W299" s="468"/>
      <c r="X299" s="468"/>
      <c r="Y299" s="469"/>
    </row>
    <row r="300" spans="1:25" ht="14">
      <c r="A300" s="459" t="s">
        <v>563</v>
      </c>
      <c r="B300" s="460"/>
      <c r="C300" s="461"/>
      <c r="D300" s="462"/>
      <c r="E300" s="462"/>
      <c r="F300" s="462"/>
      <c r="G300" s="462"/>
      <c r="H300" s="462"/>
      <c r="I300" s="463">
        <f>J5</f>
        <v>2019</v>
      </c>
      <c r="J300" s="464">
        <f>K5</f>
        <v>2017</v>
      </c>
      <c r="K300" s="464">
        <f>L5</f>
        <v>2016</v>
      </c>
      <c r="L300" s="465">
        <v>2</v>
      </c>
      <c r="N300" s="466">
        <v>2</v>
      </c>
      <c r="O300" s="467" t="s">
        <v>562</v>
      </c>
      <c r="P300" s="468"/>
      <c r="Q300" s="468"/>
      <c r="R300" s="468"/>
      <c r="S300" s="468"/>
      <c r="T300" s="468"/>
      <c r="U300" s="468"/>
      <c r="V300" s="468"/>
      <c r="W300" s="468"/>
      <c r="X300" s="468"/>
      <c r="Y300" s="469"/>
    </row>
    <row r="301" spans="1:25" ht="14">
      <c r="A301" s="459" t="s">
        <v>564</v>
      </c>
      <c r="B301" s="460"/>
      <c r="C301" s="461"/>
      <c r="D301" s="462"/>
      <c r="E301" s="462"/>
      <c r="F301" s="462"/>
      <c r="G301" s="462"/>
      <c r="H301" s="462"/>
      <c r="I301" s="463">
        <f>Q5</f>
        <v>2023</v>
      </c>
      <c r="J301" s="464">
        <f>R5</f>
        <v>2022</v>
      </c>
      <c r="K301" s="464">
        <f>S5</f>
        <v>2021</v>
      </c>
      <c r="L301" s="465">
        <v>3</v>
      </c>
      <c r="N301" s="466">
        <v>3</v>
      </c>
      <c r="O301" s="467" t="s">
        <v>562</v>
      </c>
      <c r="P301" s="468"/>
      <c r="Q301" s="468"/>
      <c r="R301" s="468"/>
      <c r="S301" s="468"/>
      <c r="T301" s="468"/>
      <c r="U301" s="468"/>
      <c r="V301" s="468"/>
      <c r="W301" s="468"/>
      <c r="X301" s="468"/>
      <c r="Y301" s="469"/>
    </row>
    <row r="302" spans="1:25" ht="14">
      <c r="A302" s="459" t="s">
        <v>565</v>
      </c>
      <c r="B302" s="460"/>
      <c r="C302" s="461"/>
      <c r="D302" s="462"/>
      <c r="E302" s="462"/>
      <c r="F302" s="462"/>
      <c r="G302" s="462"/>
      <c r="H302" s="462"/>
      <c r="I302" s="463">
        <f>C36</f>
        <v>2021</v>
      </c>
      <c r="J302" s="464">
        <f>D36</f>
        <v>2019</v>
      </c>
      <c r="K302" s="464">
        <f>E36</f>
        <v>2016</v>
      </c>
      <c r="L302" s="465">
        <v>4</v>
      </c>
      <c r="N302" s="466">
        <v>4</v>
      </c>
      <c r="O302" s="467" t="s">
        <v>562</v>
      </c>
      <c r="P302" s="468"/>
      <c r="Q302" s="468"/>
      <c r="R302" s="468"/>
      <c r="S302" s="468"/>
      <c r="T302" s="468"/>
      <c r="U302" s="468"/>
      <c r="V302" s="468"/>
      <c r="W302" s="468"/>
      <c r="X302" s="468"/>
      <c r="Y302" s="469"/>
    </row>
    <row r="303" spans="1:25" ht="14">
      <c r="A303" s="459" t="s">
        <v>566</v>
      </c>
      <c r="B303" s="461"/>
      <c r="C303" s="461"/>
      <c r="D303" s="462"/>
      <c r="E303" s="462"/>
      <c r="F303" s="462"/>
      <c r="G303" s="462"/>
      <c r="H303" s="462"/>
      <c r="I303" s="463">
        <f>J36</f>
        <v>2021</v>
      </c>
      <c r="J303" s="464">
        <f>K36</f>
        <v>2019</v>
      </c>
      <c r="K303" s="464">
        <f>L36</f>
        <v>2016</v>
      </c>
      <c r="L303" s="465">
        <v>5</v>
      </c>
      <c r="N303" s="466">
        <v>5</v>
      </c>
      <c r="O303" s="467" t="s">
        <v>562</v>
      </c>
      <c r="P303" s="468"/>
      <c r="Q303" s="468"/>
      <c r="R303" s="468"/>
      <c r="S303" s="468"/>
      <c r="T303" s="468"/>
      <c r="U303" s="468"/>
      <c r="V303" s="468"/>
      <c r="W303" s="468"/>
      <c r="X303" s="468"/>
      <c r="Y303" s="469"/>
    </row>
    <row r="304" spans="1:25" ht="14">
      <c r="A304" s="459" t="s">
        <v>194</v>
      </c>
      <c r="B304" s="461"/>
      <c r="C304" s="461"/>
      <c r="D304" s="462"/>
      <c r="E304" s="462"/>
      <c r="F304" s="462"/>
      <c r="G304" s="462"/>
      <c r="H304" s="462"/>
      <c r="I304" s="463">
        <f>Q36</f>
        <v>2023</v>
      </c>
      <c r="J304" s="464">
        <f>R36</f>
        <v>2022</v>
      </c>
      <c r="K304" s="464">
        <f>S36</f>
        <v>2019</v>
      </c>
      <c r="L304" s="465">
        <v>6</v>
      </c>
      <c r="N304" s="466">
        <v>6</v>
      </c>
      <c r="O304" s="467" t="s">
        <v>562</v>
      </c>
      <c r="P304" s="468"/>
      <c r="Q304" s="468"/>
      <c r="R304" s="468"/>
      <c r="S304" s="468"/>
      <c r="T304" s="468"/>
      <c r="U304" s="468"/>
      <c r="V304" s="468"/>
      <c r="W304" s="468"/>
      <c r="X304" s="468"/>
      <c r="Y304" s="469"/>
    </row>
    <row r="305" spans="1:25" ht="14">
      <c r="A305" s="459" t="s">
        <v>567</v>
      </c>
      <c r="B305" s="461"/>
      <c r="C305" s="461"/>
      <c r="D305" s="462"/>
      <c r="E305" s="462"/>
      <c r="F305" s="462"/>
      <c r="G305" s="462"/>
      <c r="H305" s="462"/>
      <c r="I305" s="463">
        <f>C67</f>
        <v>2023</v>
      </c>
      <c r="J305" s="464">
        <f>D67</f>
        <v>2022</v>
      </c>
      <c r="K305" s="464">
        <f>E67</f>
        <v>2020</v>
      </c>
      <c r="L305" s="465">
        <v>7</v>
      </c>
      <c r="N305" s="466">
        <v>7</v>
      </c>
      <c r="O305" s="467" t="s">
        <v>562</v>
      </c>
      <c r="P305" s="468"/>
      <c r="Q305" s="468"/>
      <c r="R305" s="468"/>
      <c r="S305" s="468"/>
      <c r="T305" s="468"/>
      <c r="U305" s="468"/>
      <c r="V305" s="468"/>
      <c r="W305" s="468"/>
      <c r="X305" s="468"/>
      <c r="Y305" s="469"/>
    </row>
    <row r="306" spans="1:25" ht="14">
      <c r="A306" s="459" t="s">
        <v>568</v>
      </c>
      <c r="B306" s="461"/>
      <c r="C306" s="461"/>
      <c r="D306" s="462"/>
      <c r="E306" s="462"/>
      <c r="F306" s="462"/>
      <c r="G306" s="462"/>
      <c r="H306" s="462"/>
      <c r="I306" s="470">
        <f>J67</f>
        <v>2023</v>
      </c>
      <c r="J306" s="464">
        <f>K67</f>
        <v>2022</v>
      </c>
      <c r="K306" s="464">
        <f>L67</f>
        <v>2020</v>
      </c>
      <c r="L306" s="465">
        <v>8</v>
      </c>
      <c r="N306" s="466">
        <v>8</v>
      </c>
      <c r="O306" s="467" t="s">
        <v>562</v>
      </c>
      <c r="P306" s="468"/>
      <c r="Q306" s="468"/>
      <c r="R306" s="468"/>
      <c r="S306" s="468"/>
      <c r="T306" s="468"/>
      <c r="U306" s="468"/>
      <c r="V306" s="468"/>
      <c r="W306" s="468"/>
      <c r="X306" s="468"/>
      <c r="Y306" s="469"/>
    </row>
    <row r="307" spans="1:25" ht="14">
      <c r="A307" s="459" t="s">
        <v>569</v>
      </c>
      <c r="B307" s="461"/>
      <c r="C307" s="461"/>
      <c r="D307" s="462"/>
      <c r="E307" s="462"/>
      <c r="F307" s="462"/>
      <c r="G307" s="462"/>
      <c r="H307" s="462"/>
      <c r="I307" s="470">
        <f>Q67</f>
        <v>2023</v>
      </c>
      <c r="J307" s="464">
        <f>R67</f>
        <v>2022</v>
      </c>
      <c r="K307" s="464">
        <f>S67</f>
        <v>2020</v>
      </c>
      <c r="L307" s="465">
        <v>9</v>
      </c>
      <c r="N307" s="466">
        <v>9</v>
      </c>
      <c r="O307" s="467" t="s">
        <v>562</v>
      </c>
      <c r="P307" s="468"/>
      <c r="Q307" s="468"/>
      <c r="R307" s="468"/>
      <c r="S307" s="468"/>
      <c r="T307" s="468"/>
      <c r="U307" s="468"/>
      <c r="V307" s="468"/>
      <c r="W307" s="468"/>
      <c r="X307" s="468"/>
      <c r="Y307" s="469"/>
    </row>
    <row r="308" spans="1:25" ht="14">
      <c r="A308" s="459" t="s">
        <v>570</v>
      </c>
      <c r="B308" s="471"/>
      <c r="C308" s="471"/>
      <c r="D308" s="472"/>
      <c r="E308" s="472"/>
      <c r="F308" s="472"/>
      <c r="G308" s="472"/>
      <c r="H308" s="472"/>
      <c r="I308" s="470">
        <f>C98</f>
        <v>2021</v>
      </c>
      <c r="J308" s="464" t="str">
        <f>D98</f>
        <v>-</v>
      </c>
      <c r="K308" s="464">
        <f>E98</f>
        <v>2016</v>
      </c>
      <c r="L308" s="465">
        <v>10</v>
      </c>
      <c r="N308" s="466">
        <v>10</v>
      </c>
      <c r="O308" s="467" t="s">
        <v>562</v>
      </c>
      <c r="P308" s="473"/>
      <c r="Q308" s="473"/>
      <c r="R308" s="473"/>
      <c r="S308" s="473"/>
      <c r="T308" s="473"/>
      <c r="U308" s="473"/>
      <c r="V308" s="473"/>
      <c r="W308" s="473"/>
      <c r="X308" s="473"/>
      <c r="Y308" s="474"/>
    </row>
    <row r="309" spans="1:25" ht="14">
      <c r="A309" s="459" t="s">
        <v>571</v>
      </c>
      <c r="B309" s="471"/>
      <c r="C309" s="471"/>
      <c r="D309" s="472"/>
      <c r="E309" s="472"/>
      <c r="F309" s="472"/>
      <c r="G309" s="472"/>
      <c r="H309" s="472"/>
      <c r="I309" s="470" t="str">
        <f>J98</f>
        <v>-</v>
      </c>
      <c r="J309" s="464" t="str">
        <f>K98</f>
        <v>-</v>
      </c>
      <c r="K309" s="464">
        <f>L98</f>
        <v>2016</v>
      </c>
      <c r="L309" s="465">
        <v>11</v>
      </c>
      <c r="N309" s="466">
        <v>11</v>
      </c>
      <c r="O309" s="467" t="s">
        <v>562</v>
      </c>
      <c r="P309" s="473"/>
      <c r="Q309" s="473"/>
      <c r="R309" s="473"/>
      <c r="S309" s="473"/>
      <c r="T309" s="473"/>
      <c r="U309" s="473"/>
      <c r="V309" s="473"/>
      <c r="W309" s="473"/>
      <c r="X309" s="473"/>
      <c r="Y309" s="474"/>
    </row>
    <row r="310" spans="1:25" ht="14">
      <c r="A310" s="459" t="s">
        <v>572</v>
      </c>
      <c r="B310" s="471"/>
      <c r="C310" s="471"/>
      <c r="D310" s="472"/>
      <c r="E310" s="472"/>
      <c r="F310" s="472"/>
      <c r="G310" s="472"/>
      <c r="H310" s="472"/>
      <c r="I310" s="470" t="str">
        <f>Q98</f>
        <v>-</v>
      </c>
      <c r="J310" s="464" t="str">
        <f>R98</f>
        <v>-</v>
      </c>
      <c r="K310" s="464">
        <f>S98</f>
        <v>2016</v>
      </c>
      <c r="L310" s="465">
        <v>12</v>
      </c>
      <c r="N310" s="466">
        <v>12</v>
      </c>
      <c r="O310" s="467" t="s">
        <v>562</v>
      </c>
      <c r="P310" s="473"/>
      <c r="Q310" s="473"/>
      <c r="R310" s="473"/>
      <c r="S310" s="473"/>
      <c r="T310" s="473"/>
      <c r="U310" s="473"/>
      <c r="V310" s="473"/>
      <c r="W310" s="473"/>
      <c r="X310" s="473"/>
      <c r="Y310" s="474"/>
    </row>
    <row r="311" spans="1:25" ht="13.5" thickBot="1">
      <c r="A311" s="1323">
        <f>VLOOKUP(A298,A299:L310,12,(FALSE))</f>
        <v>6</v>
      </c>
      <c r="B311" s="1324"/>
      <c r="C311" s="1324"/>
      <c r="D311" s="1324"/>
      <c r="E311" s="1324"/>
      <c r="F311" s="1324"/>
      <c r="G311" s="1324"/>
      <c r="H311" s="1324"/>
      <c r="I311" s="1324"/>
      <c r="J311" s="1324"/>
      <c r="K311" s="1324"/>
      <c r="L311" s="1324"/>
      <c r="N311" s="475" t="str">
        <f>VLOOKUP(N298,N299:Y310,2,FALSE)</f>
        <v>Hasil pengukuran keselamatan listrik tertelusur ke Satuan SI melalui PT. Kaliman ( LK-032-IDN )</v>
      </c>
      <c r="O311" s="476"/>
      <c r="P311" s="476"/>
      <c r="Q311" s="477"/>
      <c r="R311" s="477"/>
      <c r="S311" s="477"/>
      <c r="T311" s="477"/>
      <c r="U311" s="477"/>
      <c r="V311" s="477"/>
      <c r="W311" s="477"/>
      <c r="X311" s="477"/>
      <c r="Y311" s="478"/>
    </row>
  </sheetData>
  <mergeCells count="240">
    <mergeCell ref="A311:L311"/>
    <mergeCell ref="H285:K285"/>
    <mergeCell ref="A289:D289"/>
    <mergeCell ref="H289:K289"/>
    <mergeCell ref="H293:K293"/>
    <mergeCell ref="N298:Y298"/>
    <mergeCell ref="H271:J271"/>
    <mergeCell ref="A275:D275"/>
    <mergeCell ref="H277:K277"/>
    <mergeCell ref="H281:K281"/>
    <mergeCell ref="A283:D283"/>
    <mergeCell ref="H274:J274"/>
    <mergeCell ref="A298:L298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D7A6-E506-4045-8DD3-0FB6147FBF74}">
  <sheetPr codeName="Sheet14"/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69D-DEE1-44F4-8F27-5DB85FE75235}">
  <sheetPr codeName="Sheet2"/>
  <dimension ref="A2:E100"/>
  <sheetViews>
    <sheetView workbookViewId="0">
      <selection activeCell="C16" sqref="C16"/>
    </sheetView>
  </sheetViews>
  <sheetFormatPr defaultRowHeight="12.5"/>
  <cols>
    <col min="2" max="2" width="21.453125" customWidth="1"/>
    <col min="3" max="3" width="50.81640625" customWidth="1"/>
    <col min="4" max="4" width="53.453125" customWidth="1"/>
  </cols>
  <sheetData>
    <row r="2" spans="1:5">
      <c r="A2" s="965" t="s">
        <v>87</v>
      </c>
      <c r="B2" s="965" t="s">
        <v>88</v>
      </c>
      <c r="C2" s="965" t="s">
        <v>89</v>
      </c>
      <c r="D2" s="965"/>
      <c r="E2" s="965" t="s">
        <v>90</v>
      </c>
    </row>
    <row r="3" spans="1:5">
      <c r="A3" s="965"/>
      <c r="B3" s="965"/>
      <c r="C3" s="295" t="s">
        <v>9</v>
      </c>
      <c r="D3" s="295" t="s">
        <v>10</v>
      </c>
      <c r="E3" s="965"/>
    </row>
    <row r="4" spans="1:5">
      <c r="A4" s="295">
        <v>1</v>
      </c>
      <c r="B4" s="966" t="s">
        <v>91</v>
      </c>
      <c r="C4" s="299" t="s">
        <v>92</v>
      </c>
      <c r="D4" s="699" t="s">
        <v>93</v>
      </c>
      <c r="E4" s="306" t="s">
        <v>94</v>
      </c>
    </row>
    <row r="5" spans="1:5" ht="50">
      <c r="A5" s="295"/>
      <c r="B5" s="967"/>
      <c r="C5" s="300" t="s">
        <v>95</v>
      </c>
      <c r="D5" s="301" t="s">
        <v>96</v>
      </c>
      <c r="E5" s="307"/>
    </row>
    <row r="6" spans="1:5">
      <c r="A6" s="295"/>
      <c r="B6" s="967"/>
      <c r="C6" s="296"/>
      <c r="D6" s="297" t="s">
        <v>97</v>
      </c>
      <c r="E6" s="308" t="s">
        <v>98</v>
      </c>
    </row>
    <row r="7" spans="1:5">
      <c r="A7" s="295"/>
      <c r="B7" s="968"/>
      <c r="C7" s="302"/>
      <c r="D7" s="303" t="s">
        <v>99</v>
      </c>
      <c r="E7" s="304" t="s">
        <v>98</v>
      </c>
    </row>
    <row r="8" spans="1:5">
      <c r="A8" s="971">
        <v>2</v>
      </c>
      <c r="B8" s="969" t="s">
        <v>100</v>
      </c>
      <c r="C8" s="973" t="s">
        <v>101</v>
      </c>
      <c r="D8" s="297" t="s">
        <v>102</v>
      </c>
      <c r="E8" s="304" t="s">
        <v>103</v>
      </c>
    </row>
    <row r="9" spans="1:5">
      <c r="A9" s="972"/>
      <c r="B9" s="970"/>
      <c r="C9" s="974"/>
      <c r="D9" s="297" t="s">
        <v>104</v>
      </c>
      <c r="E9" s="304" t="s">
        <v>98</v>
      </c>
    </row>
    <row r="10" spans="1:5">
      <c r="A10" s="295"/>
      <c r="B10" s="298"/>
      <c r="C10" s="296"/>
      <c r="D10" s="297"/>
      <c r="E10" s="304"/>
    </row>
    <row r="11" spans="1:5">
      <c r="A11" s="295"/>
      <c r="B11" s="298"/>
      <c r="C11" s="305"/>
      <c r="D11" s="296"/>
      <c r="E11" s="304"/>
    </row>
    <row r="12" spans="1:5">
      <c r="A12" s="295"/>
      <c r="B12" s="298"/>
      <c r="C12" s="296"/>
      <c r="D12" s="297"/>
      <c r="E12" s="304"/>
    </row>
    <row r="13" spans="1:5">
      <c r="A13" s="295"/>
      <c r="B13" s="298"/>
      <c r="C13" s="296"/>
      <c r="D13" s="297"/>
      <c r="E13" s="304"/>
    </row>
    <row r="14" spans="1:5">
      <c r="A14" s="295"/>
      <c r="B14" s="298"/>
      <c r="C14" s="296"/>
      <c r="D14" s="297"/>
      <c r="E14" s="304"/>
    </row>
    <row r="15" spans="1:5">
      <c r="A15" s="295"/>
      <c r="B15" s="298"/>
      <c r="C15" s="296"/>
      <c r="D15" s="297"/>
      <c r="E15" s="304"/>
    </row>
    <row r="16" spans="1:5">
      <c r="A16" s="295"/>
      <c r="B16" s="298"/>
      <c r="C16" s="296"/>
      <c r="D16" s="297"/>
      <c r="E16" s="304"/>
    </row>
    <row r="17" spans="1:5">
      <c r="A17" s="295"/>
      <c r="B17" s="298"/>
      <c r="C17" s="296"/>
      <c r="D17" s="297"/>
      <c r="E17" s="304"/>
    </row>
    <row r="18" spans="1:5">
      <c r="A18" s="295"/>
      <c r="B18" s="298"/>
      <c r="C18" s="296"/>
      <c r="D18" s="297"/>
      <c r="E18" s="304"/>
    </row>
    <row r="19" spans="1:5">
      <c r="A19" s="295"/>
      <c r="B19" s="298"/>
      <c r="C19" s="296"/>
      <c r="D19" s="297"/>
      <c r="E19" s="304"/>
    </row>
    <row r="20" spans="1:5">
      <c r="A20" s="295"/>
      <c r="B20" s="298"/>
      <c r="C20" s="296"/>
      <c r="D20" s="297"/>
      <c r="E20" s="304"/>
    </row>
    <row r="21" spans="1:5">
      <c r="A21" s="295"/>
      <c r="B21" s="298"/>
      <c r="C21" s="296"/>
      <c r="D21" s="297"/>
      <c r="E21" s="304"/>
    </row>
    <row r="22" spans="1:5">
      <c r="A22" s="295"/>
      <c r="B22" s="298"/>
      <c r="C22" s="296"/>
      <c r="D22" s="297"/>
      <c r="E22" s="304"/>
    </row>
    <row r="23" spans="1:5">
      <c r="A23" s="295"/>
      <c r="B23" s="298"/>
      <c r="C23" s="296"/>
      <c r="D23" s="297"/>
      <c r="E23" s="304"/>
    </row>
    <row r="24" spans="1:5">
      <c r="A24" s="295"/>
      <c r="B24" s="298"/>
      <c r="C24" s="296"/>
      <c r="D24" s="297"/>
      <c r="E24" s="304"/>
    </row>
    <row r="25" spans="1:5">
      <c r="A25" s="295"/>
      <c r="B25" s="298"/>
      <c r="C25" s="296"/>
      <c r="D25" s="297"/>
      <c r="E25" s="304"/>
    </row>
    <row r="26" spans="1:5">
      <c r="A26" s="295"/>
      <c r="B26" s="298"/>
      <c r="C26" s="296"/>
      <c r="D26" s="297"/>
      <c r="E26" s="304"/>
    </row>
    <row r="27" spans="1:5">
      <c r="A27" s="295"/>
      <c r="B27" s="298"/>
      <c r="C27" s="296"/>
      <c r="D27" s="297"/>
      <c r="E27" s="304"/>
    </row>
    <row r="28" spans="1:5">
      <c r="A28" s="295"/>
      <c r="B28" s="298"/>
      <c r="C28" s="296"/>
      <c r="D28" s="297"/>
      <c r="E28" s="304"/>
    </row>
    <row r="29" spans="1:5">
      <c r="A29" s="295"/>
      <c r="B29" s="298"/>
      <c r="C29" s="296"/>
      <c r="D29" s="297"/>
      <c r="E29" s="304"/>
    </row>
    <row r="100" spans="1:2">
      <c r="A100" s="798" t="s">
        <v>105</v>
      </c>
      <c r="B100" s="798" t="s">
        <v>106</v>
      </c>
    </row>
  </sheetData>
  <sheetProtection algorithmName="SHA-512" hashValue="z/TzbFpmzb5pPSxppUKXZR++Gk6ZkXjlEzm+/uNCU4SRqNOb/untVOv5WVfEeqGA1pV0CCMIfajXg2x2gugM1g==" saltValue="yXJn8b1np6/kkGchYp8E5A==" spinCount="100000" sheet="1" objects="1" scenarios="1"/>
  <mergeCells count="8">
    <mergeCell ref="E2:E3"/>
    <mergeCell ref="B4:B7"/>
    <mergeCell ref="B8:B9"/>
    <mergeCell ref="A8:A9"/>
    <mergeCell ref="C8:C9"/>
    <mergeCell ref="A2:A3"/>
    <mergeCell ref="B2:B3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</sheetPr>
  <dimension ref="A1:IT177"/>
  <sheetViews>
    <sheetView showGridLines="0" view="pageBreakPreview" topLeftCell="A103" zoomScale="64" zoomScaleNormal="100" zoomScaleSheetLayoutView="64" workbookViewId="0">
      <selection activeCell="F123" sqref="F123"/>
    </sheetView>
  </sheetViews>
  <sheetFormatPr defaultColWidth="9" defaultRowHeight="15.5" outlineLevelRow="1"/>
  <cols>
    <col min="1" max="1" width="17.54296875" style="1" customWidth="1"/>
    <col min="2" max="2" width="12.81640625" style="1" customWidth="1"/>
    <col min="3" max="4" width="9.54296875" style="1" customWidth="1"/>
    <col min="5" max="5" width="10.453125" style="1" customWidth="1"/>
    <col min="6" max="6" width="9.54296875" style="1" customWidth="1"/>
    <col min="7" max="9" width="11.453125" style="1" customWidth="1"/>
    <col min="10" max="12" width="9.54296875" style="1" customWidth="1"/>
    <col min="13" max="13" width="10.54296875" style="1" customWidth="1"/>
    <col min="14" max="14" width="11.81640625" style="1" customWidth="1"/>
    <col min="15" max="15" width="10.81640625" style="1" customWidth="1"/>
    <col min="16" max="16" width="11.453125" style="1" customWidth="1"/>
    <col min="17" max="17" width="13.1796875" style="1" customWidth="1"/>
    <col min="18" max="18" width="10.81640625" style="1" customWidth="1"/>
    <col min="19" max="19" width="11.453125" style="1" customWidth="1"/>
    <col min="20" max="22" width="9.1796875" style="1" customWidth="1"/>
    <col min="23" max="23" width="14.1796875" style="1" customWidth="1"/>
    <col min="24" max="52" width="9.1796875" style="1" customWidth="1"/>
    <col min="53" max="53" width="8.26953125" style="1" customWidth="1"/>
    <col min="54" max="54" width="82.7265625" style="1" customWidth="1"/>
    <col min="55" max="254" width="9.1796875" style="1" customWidth="1"/>
    <col min="255" max="16384" width="9" style="479"/>
  </cols>
  <sheetData>
    <row r="1" spans="1:20" ht="19.5" customHeight="1">
      <c r="A1" s="1016" t="s">
        <v>578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1016"/>
    </row>
    <row r="2" spans="1:20" ht="18.75" customHeight="1">
      <c r="B2" s="845"/>
      <c r="C2" s="845"/>
      <c r="D2" s="845"/>
      <c r="E2" s="845"/>
      <c r="F2" s="845"/>
      <c r="G2" s="845"/>
      <c r="H2" s="846" t="str">
        <f ca="1">R6</f>
        <v>Nomor Sertifikat : 67 /</v>
      </c>
      <c r="I2" s="847" t="s">
        <v>107</v>
      </c>
      <c r="J2" s="845"/>
      <c r="K2" s="845"/>
      <c r="L2" s="845"/>
      <c r="M2" s="845"/>
      <c r="N2" s="845"/>
      <c r="O2" s="845"/>
    </row>
    <row r="3" spans="1:20" ht="18.75" customHeight="1">
      <c r="A3" s="16"/>
      <c r="B3" s="16"/>
      <c r="C3" s="16"/>
      <c r="D3" s="16"/>
      <c r="E3" s="16"/>
      <c r="F3" s="16"/>
      <c r="G3" s="16"/>
      <c r="H3" s="16"/>
      <c r="I3" s="16"/>
    </row>
    <row r="4" spans="1:20" ht="15.75" customHeight="1">
      <c r="A4" s="26"/>
      <c r="B4" s="26"/>
      <c r="C4" s="26"/>
      <c r="D4" s="26"/>
      <c r="E4" s="26"/>
      <c r="F4" s="26"/>
      <c r="G4" s="26"/>
      <c r="H4" s="26"/>
      <c r="I4" s="26"/>
    </row>
    <row r="5" spans="1:20" ht="15.75" customHeight="1">
      <c r="A5" s="1" t="s">
        <v>108</v>
      </c>
      <c r="B5" s="15" t="s">
        <v>2</v>
      </c>
      <c r="C5" s="848" t="s">
        <v>109</v>
      </c>
      <c r="D5" s="39"/>
      <c r="E5" s="39"/>
      <c r="F5" s="39"/>
      <c r="I5" s="1049"/>
      <c r="J5" s="1049"/>
      <c r="K5" s="767"/>
    </row>
    <row r="6" spans="1:20" s="124" customFormat="1" ht="15.75" customHeight="1">
      <c r="A6" s="1" t="s">
        <v>110</v>
      </c>
      <c r="B6" s="15" t="s">
        <v>2</v>
      </c>
      <c r="C6" s="849" t="s">
        <v>111</v>
      </c>
      <c r="D6" s="848"/>
      <c r="E6" s="848"/>
      <c r="F6" s="848"/>
      <c r="I6" s="1049"/>
      <c r="J6" s="1049"/>
      <c r="K6" s="844"/>
      <c r="M6" s="1"/>
      <c r="R6" s="124" t="str">
        <f ca="1">VLOOKUP(Q16,R7:S10,2,0)</f>
        <v>Nomor Sertifikat : 67 /</v>
      </c>
      <c r="S6" s="1"/>
      <c r="T6" s="1"/>
    </row>
    <row r="7" spans="1:20" ht="15.75" customHeight="1">
      <c r="A7" s="1" t="s">
        <v>112</v>
      </c>
      <c r="B7" s="15" t="s">
        <v>2</v>
      </c>
      <c r="C7" s="850" t="s">
        <v>113</v>
      </c>
      <c r="D7" s="39"/>
      <c r="E7" s="39"/>
      <c r="F7" s="39"/>
      <c r="R7" s="26">
        <v>1</v>
      </c>
      <c r="S7" s="124" t="s">
        <v>114</v>
      </c>
      <c r="T7" s="317" t="s">
        <v>115</v>
      </c>
    </row>
    <row r="8" spans="1:20" ht="15.75" customHeight="1">
      <c r="A8" s="1" t="s">
        <v>5</v>
      </c>
      <c r="B8" s="15" t="s">
        <v>2</v>
      </c>
      <c r="C8" s="851">
        <v>1</v>
      </c>
      <c r="D8" s="852" t="s">
        <v>116</v>
      </c>
      <c r="E8" s="853" t="s">
        <v>117</v>
      </c>
      <c r="F8" s="39"/>
      <c r="G8" s="15"/>
      <c r="I8" s="1" t="s">
        <v>118</v>
      </c>
      <c r="J8" s="1" t="str">
        <f>IF(C8&gt;=10,"0",IF(C8&lt;1,"0.0","0"))</f>
        <v>0</v>
      </c>
      <c r="K8" s="1" t="str">
        <f>TEXT(C8,$J$8)</f>
        <v>1</v>
      </c>
      <c r="R8" s="26">
        <v>0</v>
      </c>
      <c r="S8" s="1" t="s">
        <v>119</v>
      </c>
      <c r="T8" s="317" t="s">
        <v>120</v>
      </c>
    </row>
    <row r="9" spans="1:20" ht="15.75" customHeight="1">
      <c r="A9" s="1" t="str">
        <f>'Lembar Kerja'!A8</f>
        <v>Tanggal penerimaan alat</v>
      </c>
      <c r="B9" s="15"/>
      <c r="C9" s="1022" t="s">
        <v>121</v>
      </c>
      <c r="D9" s="1022"/>
      <c r="E9" s="1022"/>
      <c r="F9" s="39"/>
      <c r="G9" s="15"/>
      <c r="I9" s="1" t="s">
        <v>122</v>
      </c>
      <c r="J9" s="1" t="str">
        <f>TEXT('Lembar Penyelia'!O62,ID!$J$8)</f>
        <v>-25</v>
      </c>
      <c r="P9" s="1" t="s">
        <v>117</v>
      </c>
      <c r="R9" s="26"/>
      <c r="T9" s="854"/>
    </row>
    <row r="10" spans="1:20" ht="15.75" customHeight="1">
      <c r="A10" s="1" t="str">
        <f>'Lembar Penyelia'!A9</f>
        <v>Tanggal kalibrasi</v>
      </c>
      <c r="B10" s="15" t="s">
        <v>2</v>
      </c>
      <c r="C10" s="1022" t="s">
        <v>121</v>
      </c>
      <c r="D10" s="1022"/>
      <c r="E10" s="39"/>
      <c r="F10" s="39"/>
      <c r="G10" s="15"/>
      <c r="P10" s="1" t="s">
        <v>123</v>
      </c>
      <c r="R10" s="26">
        <v>2</v>
      </c>
      <c r="S10" s="1" t="s">
        <v>124</v>
      </c>
    </row>
    <row r="11" spans="1:20" ht="15.75" customHeight="1">
      <c r="A11" s="1" t="str">
        <f>'Lembar Penyelia'!A10</f>
        <v>Tempat kalibrasi</v>
      </c>
      <c r="B11" s="15" t="s">
        <v>2</v>
      </c>
      <c r="C11" s="849" t="s">
        <v>126</v>
      </c>
      <c r="D11" s="39"/>
      <c r="E11" s="39"/>
      <c r="F11" s="39"/>
      <c r="G11" s="15"/>
    </row>
    <row r="12" spans="1:20" ht="15.75" customHeight="1">
      <c r="A12" s="1" t="s">
        <v>127</v>
      </c>
      <c r="B12" s="15" t="s">
        <v>2</v>
      </c>
      <c r="C12" s="850" t="s">
        <v>126</v>
      </c>
      <c r="D12" s="39"/>
      <c r="E12" s="39"/>
      <c r="F12" s="39"/>
      <c r="G12" s="15"/>
      <c r="K12" s="1" t="s">
        <v>128</v>
      </c>
    </row>
    <row r="13" spans="1:20" ht="15.75" customHeight="1">
      <c r="A13" s="1" t="s">
        <v>129</v>
      </c>
      <c r="B13" s="15" t="s">
        <v>2</v>
      </c>
      <c r="C13" s="1017" t="s">
        <v>130</v>
      </c>
      <c r="D13" s="1017"/>
      <c r="E13" s="1017"/>
      <c r="F13" s="1017"/>
      <c r="G13" s="1017"/>
      <c r="H13" s="1017"/>
      <c r="I13" s="1017"/>
      <c r="J13" s="1017"/>
    </row>
    <row r="14" spans="1:20" ht="17.25" customHeight="1">
      <c r="C14" s="1017"/>
      <c r="D14" s="1017"/>
      <c r="E14" s="1017"/>
      <c r="F14" s="1017"/>
      <c r="G14" s="1017"/>
      <c r="H14" s="1017"/>
      <c r="I14" s="1017"/>
      <c r="J14" s="1017"/>
    </row>
    <row r="15" spans="1:20" ht="17.25" customHeight="1">
      <c r="H15" s="26"/>
      <c r="I15" s="26"/>
    </row>
    <row r="16" spans="1:20" ht="15.75" customHeight="1">
      <c r="A16" s="27" t="s">
        <v>131</v>
      </c>
      <c r="B16" s="27"/>
      <c r="C16" s="186" t="s">
        <v>9</v>
      </c>
      <c r="D16" s="186" t="s">
        <v>10</v>
      </c>
      <c r="E16" s="192" t="s">
        <v>132</v>
      </c>
      <c r="F16" s="186" t="s">
        <v>133</v>
      </c>
      <c r="G16" s="2"/>
      <c r="H16" s="855"/>
      <c r="I16" s="277"/>
      <c r="J16" s="856"/>
      <c r="K16" s="855"/>
      <c r="Q16" s="1">
        <f ca="1">IF('Lembar Penyelia'!H82&gt;=70,1,0)</f>
        <v>1</v>
      </c>
    </row>
    <row r="17" spans="1:26" ht="18" customHeight="1">
      <c r="A17" s="124" t="s">
        <v>12</v>
      </c>
      <c r="B17" s="15" t="s">
        <v>2</v>
      </c>
      <c r="C17" s="857">
        <v>26.3</v>
      </c>
      <c r="D17" s="857">
        <v>26.2</v>
      </c>
      <c r="E17" s="274">
        <f>(C17+D17)/2</f>
        <v>26.25</v>
      </c>
      <c r="F17" s="38">
        <f>(MAX(C17:D17)-MIN(C17:D17))/2</f>
        <v>5.0000000000000711E-2</v>
      </c>
      <c r="G17" s="1" t="s">
        <v>134</v>
      </c>
      <c r="H17" s="858"/>
      <c r="I17" s="859"/>
      <c r="J17" s="855"/>
      <c r="K17" s="855"/>
    </row>
    <row r="18" spans="1:26" ht="16.5" customHeight="1">
      <c r="A18" s="124" t="s">
        <v>14</v>
      </c>
      <c r="B18" s="15" t="s">
        <v>2</v>
      </c>
      <c r="C18" s="860">
        <v>60.4</v>
      </c>
      <c r="D18" s="860">
        <v>61.3</v>
      </c>
      <c r="E18" s="861">
        <f>(C18+D18)/2</f>
        <v>60.849999999999994</v>
      </c>
      <c r="F18" s="38">
        <f>(MAX(C18:D18)-MIN(C18:D18))/2</f>
        <v>0.44999999999999929</v>
      </c>
      <c r="G18" s="1" t="s">
        <v>15</v>
      </c>
      <c r="H18" s="858"/>
      <c r="I18" s="859"/>
      <c r="J18" s="855"/>
      <c r="K18" s="855"/>
    </row>
    <row r="19" spans="1:26" ht="16.5" customHeight="1">
      <c r="A19" s="124" t="s">
        <v>16</v>
      </c>
      <c r="B19" s="15" t="s">
        <v>2</v>
      </c>
      <c r="C19" s="857">
        <v>233.2</v>
      </c>
      <c r="D19" s="862" t="s">
        <v>135</v>
      </c>
      <c r="E19" s="862"/>
      <c r="G19" s="49"/>
      <c r="H19" s="49"/>
      <c r="I19" s="49"/>
      <c r="P19" s="221" t="s">
        <v>36</v>
      </c>
      <c r="Q19" s="863">
        <v>500</v>
      </c>
      <c r="R19" s="222"/>
      <c r="S19" s="222"/>
      <c r="T19" s="222"/>
      <c r="U19" s="222"/>
      <c r="V19" s="223"/>
      <c r="X19" s="221" t="s">
        <v>136</v>
      </c>
      <c r="Y19" s="975">
        <v>0.2</v>
      </c>
      <c r="Z19" s="975"/>
    </row>
    <row r="20" spans="1:26" ht="17.25" customHeight="1">
      <c r="A20" s="27"/>
      <c r="B20" s="27"/>
      <c r="C20" s="27"/>
      <c r="I20" s="182"/>
      <c r="P20" s="221" t="s">
        <v>137</v>
      </c>
      <c r="Q20" s="863">
        <v>100</v>
      </c>
      <c r="R20" s="222"/>
      <c r="S20" s="222"/>
      <c r="T20" s="222"/>
      <c r="U20" s="222"/>
      <c r="V20" s="223"/>
      <c r="X20" s="221" t="s">
        <v>138</v>
      </c>
      <c r="Y20" s="975">
        <v>0.3</v>
      </c>
      <c r="Z20" s="975"/>
    </row>
    <row r="21" spans="1:26" ht="19.5" customHeight="1">
      <c r="A21" s="27" t="s">
        <v>139</v>
      </c>
      <c r="F21" s="182"/>
      <c r="H21" s="124"/>
    </row>
    <row r="22" spans="1:26" ht="21" customHeight="1">
      <c r="A22" s="1" t="s">
        <v>140</v>
      </c>
      <c r="B22" s="15" t="s">
        <v>2</v>
      </c>
      <c r="C22" s="1018" t="s">
        <v>141</v>
      </c>
      <c r="D22" s="1018"/>
      <c r="F22" s="35"/>
      <c r="G22" s="1021"/>
      <c r="H22" s="1021"/>
      <c r="I22" s="1021"/>
      <c r="J22" s="1021"/>
      <c r="K22" s="1021"/>
      <c r="P22" s="1" t="s">
        <v>142</v>
      </c>
      <c r="T22" s="1" t="s">
        <v>141</v>
      </c>
    </row>
    <row r="23" spans="1:26" ht="15.75" customHeight="1">
      <c r="A23" s="1" t="s">
        <v>143</v>
      </c>
      <c r="B23" s="15" t="s">
        <v>2</v>
      </c>
      <c r="C23" s="1018" t="s">
        <v>141</v>
      </c>
      <c r="D23" s="1018"/>
      <c r="E23" s="35"/>
      <c r="F23" s="35"/>
      <c r="G23" s="1021"/>
      <c r="H23" s="1021"/>
      <c r="I23" s="1021"/>
      <c r="J23" s="1021"/>
      <c r="K23" s="1021"/>
      <c r="P23" s="1" t="s">
        <v>144</v>
      </c>
      <c r="T23" s="1" t="s">
        <v>145</v>
      </c>
    </row>
    <row r="24" spans="1:26" ht="15.75" customHeight="1">
      <c r="B24" s="15"/>
      <c r="E24" s="35"/>
      <c r="F24" s="35"/>
      <c r="G24" s="183"/>
      <c r="H24" s="183"/>
      <c r="I24" s="183"/>
      <c r="J24" s="183"/>
      <c r="K24" s="183"/>
    </row>
    <row r="25" spans="1:26" ht="18.75" customHeight="1" thickBot="1">
      <c r="A25" s="27" t="s">
        <v>146</v>
      </c>
      <c r="I25" s="182"/>
      <c r="P25" s="1" t="s">
        <v>142</v>
      </c>
    </row>
    <row r="26" spans="1:26" ht="33" customHeight="1" thickTop="1" thickBot="1">
      <c r="A26" s="36" t="s">
        <v>23</v>
      </c>
      <c r="B26" s="940" t="s">
        <v>24</v>
      </c>
      <c r="C26" s="940"/>
      <c r="D26" s="940"/>
      <c r="E26" s="940"/>
      <c r="F26" s="940"/>
      <c r="G26" s="940"/>
      <c r="H26" s="940"/>
      <c r="I26" s="1019" t="s">
        <v>25</v>
      </c>
      <c r="J26" s="1020"/>
      <c r="K26" s="1019" t="s">
        <v>26</v>
      </c>
      <c r="L26" s="1020"/>
      <c r="P26" s="864" t="s">
        <v>147</v>
      </c>
    </row>
    <row r="27" spans="1:26" ht="15.75" customHeight="1">
      <c r="A27" s="186">
        <v>1</v>
      </c>
      <c r="B27" s="865" t="s">
        <v>27</v>
      </c>
      <c r="C27" s="37"/>
      <c r="D27" s="37"/>
      <c r="E27" s="37"/>
      <c r="F27" s="866"/>
      <c r="G27" s="37"/>
      <c r="H27" s="187"/>
      <c r="I27" s="867" t="s">
        <v>101</v>
      </c>
      <c r="J27" s="811" t="str">
        <f>IF(I27="-","",IF(I27="OL","","MΩ"))</f>
        <v/>
      </c>
      <c r="K27" s="1043" t="s">
        <v>148</v>
      </c>
      <c r="L27" s="1043"/>
      <c r="N27" s="1050"/>
      <c r="O27" s="1050"/>
      <c r="P27" s="1040">
        <v>20</v>
      </c>
      <c r="U27" s="1" t="str">
        <f>IF(AND(I30&lt;=500,P27&gt;100,N27="G"),"masuk",IF(AND(N27="NG",I30&gt;=500,P27&lt;=100),"keluar",IF(AND(N27="G",I30="-",P27="-"),"uye",IF(AND(I30="-",P27="-"),"masuk",IF(AND(I30&lt;=500,P27&lt;=100),"masuk",IF(AND(I30&gt;500,P27&gt;100),"keluar",IF(AND(I30&gt;500,P27&lt;=100),"masuk",IF(AND(I30&lt;=500,P27="-"),"masuk",IF(AND(I30&lt;=500,P27&gt;=100),"keluar",IF(AND(P27="-",I30&gt;500),"keluar"))))))))))</f>
        <v>masuk</v>
      </c>
    </row>
    <row r="28" spans="1:26" ht="15.75" customHeight="1">
      <c r="A28" s="186">
        <v>2</v>
      </c>
      <c r="B28" s="976" t="s">
        <v>136</v>
      </c>
      <c r="C28" s="977"/>
      <c r="D28" s="977"/>
      <c r="E28" s="977"/>
      <c r="F28" s="977"/>
      <c r="G28" s="977"/>
      <c r="H28" s="187"/>
      <c r="I28" s="868" t="s">
        <v>101</v>
      </c>
      <c r="J28" s="811" t="str">
        <f>IF(I28="-","",IF(I28="OL","",IF(I28="NC","",IF(I28="OR","","Ω"))))</f>
        <v/>
      </c>
      <c r="K28" s="1044">
        <f>VLOOKUP(B28,X19:Z20,2)</f>
        <v>0.2</v>
      </c>
      <c r="L28" s="1044"/>
      <c r="N28" s="1050"/>
      <c r="O28" s="1050"/>
      <c r="P28" s="1041"/>
    </row>
    <row r="29" spans="1:26" hidden="1">
      <c r="A29" s="869"/>
      <c r="B29" s="936"/>
      <c r="C29" s="39"/>
      <c r="D29" s="39"/>
      <c r="E29" s="39"/>
      <c r="F29" s="177"/>
      <c r="G29" s="39"/>
      <c r="H29" s="870"/>
      <c r="I29" s="937"/>
      <c r="J29" s="871"/>
      <c r="K29" s="1045"/>
      <c r="L29" s="1045"/>
      <c r="N29" s="1050"/>
      <c r="O29" s="1050"/>
      <c r="P29" s="1041"/>
    </row>
    <row r="30" spans="1:26" ht="15.75" customHeight="1" thickBot="1">
      <c r="A30" s="186">
        <v>3</v>
      </c>
      <c r="B30" s="978" t="s">
        <v>137</v>
      </c>
      <c r="C30" s="979"/>
      <c r="D30" s="979"/>
      <c r="E30" s="979"/>
      <c r="F30" s="979"/>
      <c r="G30" s="979"/>
      <c r="H30" s="872"/>
      <c r="I30" s="873" t="s">
        <v>101</v>
      </c>
      <c r="J30" s="811" t="str">
        <f>IF(I30="-","",IF(I30="OL","","µA"))</f>
        <v/>
      </c>
      <c r="K30" s="1046">
        <f>VLOOKUP(B30,P19:Q20,2)</f>
        <v>100</v>
      </c>
      <c r="L30" s="1046"/>
      <c r="N30" s="1050"/>
      <c r="O30" s="1050"/>
      <c r="P30" s="1042"/>
    </row>
    <row r="31" spans="1:26" ht="15.75" hidden="1" customHeight="1">
      <c r="A31" s="874"/>
      <c r="B31" s="122"/>
      <c r="C31" s="875"/>
      <c r="D31" s="875"/>
      <c r="E31" s="875"/>
      <c r="F31" s="876"/>
      <c r="G31" s="875"/>
      <c r="H31" s="877"/>
      <c r="I31" s="878"/>
      <c r="J31" s="879"/>
      <c r="K31" s="1047"/>
      <c r="L31" s="1048"/>
      <c r="N31" s="1050"/>
      <c r="O31" s="1050"/>
    </row>
    <row r="32" spans="1:26" ht="20.149999999999999" hidden="1" customHeight="1">
      <c r="A32" s="880"/>
      <c r="B32" s="123"/>
      <c r="C32" s="881"/>
      <c r="D32" s="881"/>
      <c r="E32" s="881"/>
      <c r="F32" s="882"/>
      <c r="G32" s="881"/>
      <c r="H32" s="883"/>
      <c r="I32" s="884"/>
      <c r="J32" s="885"/>
      <c r="K32" s="1026"/>
      <c r="L32" s="1027"/>
    </row>
    <row r="33" spans="1:40" ht="20.149999999999999" customHeight="1" thickTop="1">
      <c r="A33" s="886"/>
      <c r="F33" s="26"/>
      <c r="H33" s="15"/>
      <c r="I33" s="124"/>
      <c r="J33" s="887"/>
      <c r="K33" s="887"/>
      <c r="L33" s="887"/>
    </row>
    <row r="34" spans="1:40" ht="20.149999999999999" customHeight="1">
      <c r="A34" s="27" t="s">
        <v>149</v>
      </c>
      <c r="J34" s="29"/>
      <c r="K34" s="29"/>
      <c r="L34" s="29"/>
      <c r="P34" s="1" t="str">
        <f ca="1">H2</f>
        <v>Nomor Sertifikat : 67 /</v>
      </c>
    </row>
    <row r="35" spans="1:40" ht="20.149999999999999" hidden="1" customHeight="1">
      <c r="A35" s="1" t="s">
        <v>150</v>
      </c>
      <c r="J35" s="29"/>
      <c r="K35" s="29"/>
      <c r="L35" s="29"/>
      <c r="P35" s="1" t="str">
        <f>A110</f>
        <v>Tidak dilakukan pengujian keselamatan listrik karena alat tidak boleh dalam kondisi off</v>
      </c>
      <c r="AN35" s="26"/>
    </row>
    <row r="36" spans="1:40" ht="38.25" hidden="1" customHeight="1" thickBot="1">
      <c r="A36" s="808" t="s">
        <v>151</v>
      </c>
      <c r="B36" s="808" t="s">
        <v>152</v>
      </c>
      <c r="C36" s="808" t="s">
        <v>153</v>
      </c>
      <c r="D36" s="808" t="s">
        <v>154</v>
      </c>
      <c r="E36" s="809"/>
      <c r="F36" s="277" t="s">
        <v>155</v>
      </c>
      <c r="J36" s="29"/>
      <c r="K36" s="29"/>
      <c r="L36" s="29"/>
      <c r="M36" s="14"/>
      <c r="O36" s="24"/>
      <c r="P36" s="1" t="str">
        <f ca="1">A119</f>
        <v>Alat yang dikalibrasi dalam batas toleransi dan dinyatakan LAIK PAKAI, dimana hasil atau skor akhir sama dengan atau melampaui 70% berdasarkan Keputusan Direktur Jenderal Pelayanan Kesehatan No : HK.02.02/V/0412/2020</v>
      </c>
      <c r="AN36" s="14"/>
    </row>
    <row r="37" spans="1:40" ht="30" hidden="1" customHeight="1" thickBot="1">
      <c r="A37" s="888">
        <v>1.46</v>
      </c>
      <c r="B37" s="888">
        <v>0.51</v>
      </c>
      <c r="C37" s="888">
        <v>1.34</v>
      </c>
      <c r="D37" s="38">
        <f>C37*B37*A37</f>
        <v>0.99776399999999998</v>
      </c>
      <c r="F37" s="859">
        <f>0.4*0.33*0.4</f>
        <v>5.2800000000000007E-2</v>
      </c>
      <c r="J37" s="29"/>
      <c r="K37" s="29"/>
      <c r="L37" s="29"/>
      <c r="R37" s="14"/>
      <c r="S37" s="1008" t="s">
        <v>156</v>
      </c>
      <c r="T37" s="1009"/>
      <c r="U37" s="1009"/>
      <c r="V37" s="1009"/>
      <c r="W37" s="1009"/>
      <c r="X37" s="1010"/>
      <c r="AN37" s="14"/>
    </row>
    <row r="38" spans="1:40" ht="20.149999999999999" hidden="1" customHeight="1" thickBot="1">
      <c r="A38" s="266" t="s">
        <v>157</v>
      </c>
      <c r="B38" s="266"/>
      <c r="C38" s="266"/>
      <c r="J38" s="29"/>
      <c r="K38" s="29"/>
      <c r="L38" s="29"/>
      <c r="R38" s="889"/>
      <c r="S38" s="890" t="s">
        <v>142</v>
      </c>
      <c r="T38" s="891" t="s">
        <v>158</v>
      </c>
      <c r="U38" s="892" t="s">
        <v>159</v>
      </c>
      <c r="V38" s="892" t="s">
        <v>160</v>
      </c>
      <c r="W38" s="893" t="s">
        <v>161</v>
      </c>
      <c r="X38" s="894" t="s">
        <v>162</v>
      </c>
    </row>
    <row r="39" spans="1:40" ht="36.75" hidden="1" customHeight="1">
      <c r="A39" s="808" t="s">
        <v>163</v>
      </c>
      <c r="B39" s="808" t="s">
        <v>164</v>
      </c>
      <c r="C39" s="980" t="s">
        <v>165</v>
      </c>
      <c r="D39" s="981"/>
      <c r="E39" s="1034" t="s">
        <v>166</v>
      </c>
      <c r="F39" s="1035"/>
      <c r="G39" s="186" t="s">
        <v>142</v>
      </c>
      <c r="H39" s="980" t="s">
        <v>167</v>
      </c>
      <c r="I39" s="985"/>
      <c r="J39" s="981"/>
      <c r="K39" s="1011"/>
      <c r="L39" s="1012"/>
      <c r="M39" s="1012"/>
      <c r="N39" s="1012"/>
      <c r="O39" s="1012"/>
      <c r="P39" s="896"/>
      <c r="Q39" s="896"/>
      <c r="R39" s="889"/>
      <c r="S39" s="897">
        <v>1</v>
      </c>
      <c r="T39" s="898">
        <v>11.3</v>
      </c>
      <c r="U39" s="806">
        <v>15</v>
      </c>
      <c r="V39" s="810">
        <v>23</v>
      </c>
      <c r="W39" s="899">
        <v>45</v>
      </c>
      <c r="X39" s="900">
        <v>120</v>
      </c>
    </row>
    <row r="40" spans="1:40" ht="23.25" hidden="1" customHeight="1">
      <c r="A40" s="186">
        <v>2</v>
      </c>
      <c r="B40" s="186">
        <v>4</v>
      </c>
      <c r="C40" s="990">
        <f>A63-C17</f>
        <v>-59.3</v>
      </c>
      <c r="D40" s="992"/>
      <c r="E40" s="1032">
        <f>(100*B40)/(100+C40)</f>
        <v>9.8280098280098276</v>
      </c>
      <c r="F40" s="1033"/>
      <c r="G40" s="186" t="str">
        <f>IF(E40&lt;=0.151,"14",IF(E40&lt;=0.125,"13",IF(E40&lt;=0.2135,"13",IF(E40&lt;=0.177,"12",IF(E40&lt;=0.302,"12",IF(E40&lt;=0.25,"11",IF(E40&lt;=0.427,"11",IF(E40&lt;=0.354,"10",IF(E40&lt;=0.6035,"10",IF(E40&lt;=0.5,"9",IF(E40&lt;=0.8535,"9",IF(E40&lt;=0.707,"8",IF(E40&lt;=1.205,"8",IF(E40&lt;=1,"7",IF(E40&lt;=1.705,"7",IF(E40&lt;=1.4,"6",IF(E40&lt;=2.41,"6",IF(E40&lt;=2,"5",IF(E40&lt;=3.415,"5",IF(E40&lt;=2.83,"4",IF(E40&lt;=4.83,"4",IF(E40&lt;=4,"3",IF(E40&lt;=6.83,"3",IF(E40&lt;=5.66,"2",IF(E40&lt;=9.65,"2",IF(E40&lt;=8,"1",IF(E40&lt;=11.3,"1","0")))))))))))))))))))))))))))</f>
        <v>1</v>
      </c>
      <c r="H40" s="1036">
        <f>ABS(3+(3*(G40^0.6)*(D37^0.2)))</f>
        <v>5.9986571984606138</v>
      </c>
      <c r="I40" s="1037"/>
      <c r="J40" s="1038"/>
      <c r="K40" s="26"/>
      <c r="L40" s="1004"/>
      <c r="M40" s="1004"/>
      <c r="N40" s="1013"/>
      <c r="O40" s="1013"/>
      <c r="P40" s="1014"/>
      <c r="Q40" s="1014"/>
      <c r="R40" s="889">
        <f>(T39+T40)/2</f>
        <v>9.65</v>
      </c>
      <c r="S40" s="901">
        <v>2</v>
      </c>
      <c r="T40" s="807">
        <v>8</v>
      </c>
      <c r="U40" s="274">
        <v>10</v>
      </c>
      <c r="V40" s="186">
        <v>16</v>
      </c>
      <c r="W40" s="738">
        <v>32</v>
      </c>
      <c r="X40" s="902">
        <v>88</v>
      </c>
    </row>
    <row r="41" spans="1:40" ht="20.149999999999999" hidden="1" customHeight="1">
      <c r="A41" s="26">
        <v>1.5</v>
      </c>
      <c r="B41" s="26">
        <f>2*1.5</f>
        <v>3</v>
      </c>
      <c r="C41" s="1004">
        <f>37-25</f>
        <v>12</v>
      </c>
      <c r="D41" s="1004"/>
      <c r="E41" s="1028">
        <f>(100*3)/(100+12)</f>
        <v>2.6785714285714284</v>
      </c>
      <c r="F41" s="1028"/>
      <c r="G41" s="26">
        <v>5</v>
      </c>
      <c r="H41" s="1029">
        <f>3+3*5^0.6*0.05^0.2</f>
        <v>7.3280997177216403</v>
      </c>
      <c r="I41" s="1029"/>
      <c r="J41" s="1029"/>
      <c r="R41" s="889">
        <f t="shared" ref="R41:R52" si="0">(T40+T41)/2</f>
        <v>6.83</v>
      </c>
      <c r="S41" s="901">
        <v>3</v>
      </c>
      <c r="T41" s="895">
        <v>5.66</v>
      </c>
      <c r="U41" s="186">
        <v>7.4</v>
      </c>
      <c r="V41" s="186">
        <v>11</v>
      </c>
      <c r="W41" s="738">
        <v>23</v>
      </c>
      <c r="X41" s="902">
        <v>62</v>
      </c>
    </row>
    <row r="42" spans="1:40" ht="20.149999999999999" hidden="1" customHeight="1">
      <c r="A42" s="1" t="s">
        <v>168</v>
      </c>
      <c r="J42" s="20"/>
      <c r="K42" s="20"/>
      <c r="R42" s="889">
        <f t="shared" si="0"/>
        <v>4.83</v>
      </c>
      <c r="S42" s="901">
        <v>4</v>
      </c>
      <c r="T42" s="895">
        <v>4</v>
      </c>
      <c r="U42" s="186">
        <v>5.2</v>
      </c>
      <c r="V42" s="186">
        <v>8</v>
      </c>
      <c r="W42" s="738">
        <v>16</v>
      </c>
      <c r="X42" s="902">
        <v>44</v>
      </c>
    </row>
    <row r="43" spans="1:40" ht="20.149999999999999" customHeight="1">
      <c r="A43" s="1004" t="s">
        <v>169</v>
      </c>
      <c r="B43" s="1004"/>
      <c r="C43" s="1005" t="s">
        <v>200</v>
      </c>
      <c r="D43" s="1005"/>
      <c r="E43" s="1005"/>
      <c r="J43" s="20"/>
      <c r="K43" s="20"/>
      <c r="L43" s="29"/>
      <c r="R43" s="889">
        <f t="shared" si="0"/>
        <v>3.415</v>
      </c>
      <c r="S43" s="901">
        <v>5</v>
      </c>
      <c r="T43" s="895">
        <v>2.83</v>
      </c>
      <c r="U43" s="186">
        <v>3.7</v>
      </c>
      <c r="V43" s="186">
        <v>5.7</v>
      </c>
      <c r="W43" s="738">
        <v>11</v>
      </c>
      <c r="X43" s="902">
        <v>31</v>
      </c>
    </row>
    <row r="44" spans="1:40" ht="20.149999999999999" customHeight="1">
      <c r="B44" s="1004"/>
      <c r="C44" s="1004"/>
      <c r="D44" s="1004"/>
      <c r="E44" s="1004"/>
      <c r="F44" s="1004"/>
      <c r="G44" s="1004"/>
      <c r="H44" s="1004"/>
      <c r="I44" s="1004"/>
      <c r="J44" s="1004"/>
      <c r="K44" s="1004"/>
      <c r="L44" s="1004"/>
      <c r="M44" s="1004"/>
      <c r="R44" s="889">
        <f t="shared" si="0"/>
        <v>2.415</v>
      </c>
      <c r="S44" s="901">
        <v>6</v>
      </c>
      <c r="T44" s="895">
        <v>2</v>
      </c>
      <c r="U44" s="186">
        <v>2.6</v>
      </c>
      <c r="V44" s="186">
        <v>4</v>
      </c>
      <c r="W44" s="274">
        <v>8</v>
      </c>
      <c r="X44" s="902">
        <v>22</v>
      </c>
    </row>
    <row r="45" spans="1:40" ht="20.149999999999999" customHeight="1">
      <c r="B45" s="1004"/>
      <c r="C45" s="1004"/>
      <c r="D45" s="1004"/>
      <c r="E45" s="1004"/>
      <c r="F45" s="1004"/>
      <c r="G45" s="1004"/>
      <c r="H45" s="1004"/>
      <c r="I45" s="1004"/>
      <c r="J45" s="1004"/>
      <c r="K45" s="1004"/>
      <c r="L45" s="1004"/>
      <c r="M45" s="1004"/>
      <c r="R45" s="889">
        <f t="shared" si="0"/>
        <v>1.7050000000000001</v>
      </c>
      <c r="S45" s="901">
        <v>7</v>
      </c>
      <c r="T45" s="895">
        <v>1.41</v>
      </c>
      <c r="U45" s="186">
        <v>1.8</v>
      </c>
      <c r="V45" s="186">
        <v>2.8</v>
      </c>
      <c r="W45" s="274">
        <v>5.7</v>
      </c>
      <c r="X45" s="902">
        <v>16</v>
      </c>
    </row>
    <row r="46" spans="1:40" ht="20.149999999999999" customHeight="1">
      <c r="B46" s="1004"/>
      <c r="C46" s="1004"/>
      <c r="D46" s="1004"/>
      <c r="E46" s="1004"/>
      <c r="F46" s="1004"/>
      <c r="G46" s="1004"/>
      <c r="H46" s="1004"/>
      <c r="I46" s="1004"/>
      <c r="J46" s="1004"/>
      <c r="K46" s="1004"/>
      <c r="L46" s="1004"/>
      <c r="M46" s="1004"/>
      <c r="R46" s="889">
        <f t="shared" si="0"/>
        <v>1.2050000000000001</v>
      </c>
      <c r="S46" s="901">
        <v>8</v>
      </c>
      <c r="T46" s="895">
        <v>1</v>
      </c>
      <c r="U46" s="186">
        <v>1.3</v>
      </c>
      <c r="V46" s="186">
        <v>2</v>
      </c>
      <c r="W46" s="274">
        <v>4</v>
      </c>
      <c r="X46" s="902">
        <v>11</v>
      </c>
    </row>
    <row r="47" spans="1:40" ht="20.149999999999999" customHeight="1">
      <c r="B47" s="1004"/>
      <c r="C47" s="1004"/>
      <c r="D47" s="1004"/>
      <c r="E47" s="1004"/>
      <c r="F47" s="1004"/>
      <c r="G47" s="1004"/>
      <c r="H47" s="1004"/>
      <c r="I47" s="1004"/>
      <c r="J47" s="1004"/>
      <c r="K47" s="1004"/>
      <c r="L47" s="1004"/>
      <c r="M47" s="1004"/>
      <c r="R47" s="889">
        <f t="shared" si="0"/>
        <v>0.85349999999999993</v>
      </c>
      <c r="S47" s="901">
        <v>9</v>
      </c>
      <c r="T47" s="895">
        <v>0.70699999999999996</v>
      </c>
      <c r="U47" s="186">
        <v>0.92</v>
      </c>
      <c r="V47" s="186">
        <v>1.4</v>
      </c>
      <c r="W47" s="274">
        <v>2.8</v>
      </c>
      <c r="X47" s="903">
        <v>7.8</v>
      </c>
    </row>
    <row r="48" spans="1:40" ht="20.149999999999999" customHeight="1">
      <c r="B48" s="1004"/>
      <c r="C48" s="1004"/>
      <c r="D48" s="1004"/>
      <c r="E48" s="1004"/>
      <c r="F48" s="1004"/>
      <c r="G48" s="1004"/>
      <c r="H48" s="1004"/>
      <c r="I48" s="1004"/>
      <c r="J48" s="1004"/>
      <c r="K48" s="1004"/>
      <c r="L48" s="1004"/>
      <c r="M48" s="1004"/>
      <c r="R48" s="889">
        <f t="shared" si="0"/>
        <v>0.60349999999999993</v>
      </c>
      <c r="S48" s="901">
        <v>10</v>
      </c>
      <c r="T48" s="895">
        <v>0.5</v>
      </c>
      <c r="U48" s="186">
        <v>0.65</v>
      </c>
      <c r="V48" s="186">
        <v>1</v>
      </c>
      <c r="W48" s="274">
        <v>2</v>
      </c>
      <c r="X48" s="903">
        <v>5.5</v>
      </c>
    </row>
    <row r="49" spans="1:24" ht="20.149999999999999" customHeight="1">
      <c r="B49" s="1004"/>
      <c r="C49" s="1004"/>
      <c r="D49" s="1004"/>
      <c r="E49" s="1004"/>
      <c r="F49" s="1004"/>
      <c r="G49" s="1004"/>
      <c r="H49" s="1004"/>
      <c r="I49" s="1004"/>
      <c r="J49" s="1004"/>
      <c r="K49" s="1004"/>
      <c r="L49" s="1004"/>
      <c r="M49" s="1004"/>
      <c r="R49" s="889">
        <f>(T48+T49)/2</f>
        <v>0.42699999999999999</v>
      </c>
      <c r="S49" s="901">
        <v>11</v>
      </c>
      <c r="T49" s="895">
        <v>0.35399999999999998</v>
      </c>
      <c r="U49" s="186">
        <v>0.46</v>
      </c>
      <c r="V49" s="186">
        <v>0.71</v>
      </c>
      <c r="W49" s="274">
        <v>1.4</v>
      </c>
      <c r="X49" s="903">
        <v>3.9</v>
      </c>
    </row>
    <row r="50" spans="1:24" ht="20.149999999999999" customHeight="1">
      <c r="B50" s="1004"/>
      <c r="C50" s="1004"/>
      <c r="D50" s="1004"/>
      <c r="E50" s="1004"/>
      <c r="F50" s="1004"/>
      <c r="G50" s="1004"/>
      <c r="H50" s="1004"/>
      <c r="I50" s="1004"/>
      <c r="J50" s="1004"/>
      <c r="K50" s="1004"/>
      <c r="L50" s="1004"/>
      <c r="M50" s="1004"/>
      <c r="R50" s="889">
        <f t="shared" si="0"/>
        <v>0.30199999999999999</v>
      </c>
      <c r="S50" s="901">
        <v>12</v>
      </c>
      <c r="T50" s="895">
        <v>0.25</v>
      </c>
      <c r="U50" s="186">
        <v>0.33</v>
      </c>
      <c r="V50" s="186">
        <v>0.5</v>
      </c>
      <c r="W50" s="274">
        <v>1</v>
      </c>
      <c r="X50" s="903">
        <v>2.8</v>
      </c>
    </row>
    <row r="51" spans="1:24" ht="20.149999999999999" customHeight="1">
      <c r="B51" s="1004"/>
      <c r="C51" s="1004"/>
      <c r="D51" s="1004"/>
      <c r="E51" s="1004"/>
      <c r="F51" s="1004"/>
      <c r="G51" s="1004"/>
      <c r="H51" s="1004"/>
      <c r="I51" s="1004"/>
      <c r="J51" s="1004"/>
      <c r="K51" s="1004"/>
      <c r="L51" s="1004"/>
      <c r="M51" s="1004"/>
      <c r="R51" s="889">
        <f t="shared" si="0"/>
        <v>0.2135</v>
      </c>
      <c r="S51" s="901">
        <v>13</v>
      </c>
      <c r="T51" s="895">
        <v>0.17699999999999999</v>
      </c>
      <c r="U51" s="186">
        <v>0.23</v>
      </c>
      <c r="V51" s="186">
        <v>0.35</v>
      </c>
      <c r="W51" s="38">
        <v>0.71</v>
      </c>
      <c r="X51" s="903">
        <v>2</v>
      </c>
    </row>
    <row r="52" spans="1:24" ht="20.149999999999999" customHeight="1" thickBot="1">
      <c r="B52" s="1004"/>
      <c r="C52" s="1004"/>
      <c r="D52" s="1004"/>
      <c r="E52" s="1004"/>
      <c r="F52" s="1004"/>
      <c r="G52" s="1004"/>
      <c r="H52" s="1004"/>
      <c r="I52" s="1004"/>
      <c r="J52" s="1004"/>
      <c r="K52" s="1004"/>
      <c r="L52" s="1004"/>
      <c r="M52" s="1004"/>
      <c r="R52" s="889">
        <f t="shared" si="0"/>
        <v>0.151</v>
      </c>
      <c r="S52" s="904">
        <v>14</v>
      </c>
      <c r="T52" s="905">
        <v>0.125</v>
      </c>
      <c r="U52" s="906">
        <v>0.16</v>
      </c>
      <c r="V52" s="906">
        <v>0.25</v>
      </c>
      <c r="W52" s="907">
        <v>0.5</v>
      </c>
      <c r="X52" s="908">
        <v>1.4</v>
      </c>
    </row>
    <row r="53" spans="1:24" ht="20.149999999999999" customHeight="1">
      <c r="B53" s="1004"/>
      <c r="C53" s="1004"/>
      <c r="D53" s="1004"/>
      <c r="E53" s="1004"/>
      <c r="F53" s="1004"/>
      <c r="G53" s="1004"/>
      <c r="H53" s="1004"/>
      <c r="I53" s="1004"/>
      <c r="J53" s="1004"/>
      <c r="K53" s="1004"/>
      <c r="L53" s="1004"/>
      <c r="M53" s="1004"/>
    </row>
    <row r="54" spans="1:24" ht="20.149999999999999" customHeight="1">
      <c r="B54" s="1004"/>
      <c r="C54" s="1004"/>
      <c r="D54" s="1004"/>
      <c r="E54" s="1004"/>
      <c r="F54" s="1004"/>
      <c r="G54" s="1004"/>
      <c r="H54" s="1004"/>
      <c r="I54" s="1004"/>
      <c r="J54" s="1004"/>
      <c r="K54" s="1004"/>
      <c r="L54" s="1004"/>
      <c r="M54" s="1004"/>
    </row>
    <row r="55" spans="1:24" ht="20.149999999999999" customHeight="1">
      <c r="B55" s="1004"/>
      <c r="C55" s="1004"/>
      <c r="D55" s="1004"/>
      <c r="E55" s="1004"/>
      <c r="F55" s="1004"/>
      <c r="G55" s="1004"/>
      <c r="H55" s="1004"/>
      <c r="I55" s="1004"/>
      <c r="J55" s="1004"/>
      <c r="K55" s="1004"/>
      <c r="L55" s="1004"/>
      <c r="M55" s="1004"/>
    </row>
    <row r="56" spans="1:24" ht="20.149999999999999" customHeight="1">
      <c r="B56" s="1004"/>
      <c r="C56" s="1004"/>
      <c r="D56" s="1004"/>
      <c r="E56" s="1004"/>
      <c r="F56" s="1004"/>
      <c r="G56" s="1004"/>
      <c r="H56" s="1004"/>
      <c r="I56" s="1004"/>
      <c r="J56" s="1004"/>
      <c r="K56" s="1004"/>
      <c r="L56" s="1004"/>
      <c r="M56" s="1004"/>
    </row>
    <row r="57" spans="1:24" ht="20.149999999999999" customHeight="1">
      <c r="B57" s="1004"/>
      <c r="C57" s="1004"/>
      <c r="D57" s="1004"/>
      <c r="E57" s="1004"/>
      <c r="F57" s="1004"/>
      <c r="G57" s="1004"/>
      <c r="H57" s="1004"/>
      <c r="I57" s="1004"/>
      <c r="J57" s="1004"/>
      <c r="K57" s="1004"/>
      <c r="L57" s="1004"/>
      <c r="M57" s="1004"/>
    </row>
    <row r="58" spans="1:24" ht="20.149999999999999" customHeight="1">
      <c r="B58" s="1004"/>
      <c r="C58" s="1004"/>
      <c r="D58" s="1004"/>
      <c r="E58" s="1004"/>
      <c r="F58" s="1004"/>
      <c r="G58" s="1004"/>
      <c r="H58" s="1004"/>
      <c r="I58" s="1004"/>
      <c r="J58" s="1004"/>
      <c r="K58" s="1004"/>
      <c r="L58" s="1004"/>
      <c r="M58" s="1004"/>
    </row>
    <row r="59" spans="1:24" ht="20.149999999999999" customHeight="1">
      <c r="A59" s="1039" t="s">
        <v>171</v>
      </c>
      <c r="B59" s="1039"/>
      <c r="C59" s="39"/>
      <c r="D59" s="909"/>
      <c r="E59" s="909"/>
      <c r="F59" s="909"/>
      <c r="G59" s="909"/>
      <c r="H59" s="909"/>
      <c r="I59" s="909"/>
      <c r="J59" s="909"/>
      <c r="K59" s="39"/>
      <c r="L59" s="39"/>
      <c r="M59" s="39"/>
      <c r="N59" s="39"/>
      <c r="O59" s="39"/>
    </row>
    <row r="60" spans="1:24" s="1" customFormat="1" ht="10.4" customHeight="1">
      <c r="A60" s="1030"/>
      <c r="B60" s="1030"/>
      <c r="C60" s="1031"/>
      <c r="D60" s="1031"/>
      <c r="E60" s="1031"/>
      <c r="F60" s="1031"/>
      <c r="G60" s="1031"/>
      <c r="H60" s="1031"/>
      <c r="I60" s="910"/>
      <c r="J60" s="852"/>
      <c r="K60" s="852"/>
      <c r="L60" s="39"/>
      <c r="M60" s="39"/>
      <c r="N60" s="39"/>
      <c r="O60" s="39"/>
      <c r="P60" s="1004"/>
      <c r="Q60" s="1004"/>
      <c r="R60" s="1004"/>
    </row>
    <row r="61" spans="1:24" s="1" customFormat="1" ht="20.149999999999999" customHeight="1">
      <c r="A61" s="984" t="s">
        <v>576</v>
      </c>
      <c r="B61" s="984" t="s">
        <v>42</v>
      </c>
      <c r="C61" s="980" t="s">
        <v>172</v>
      </c>
      <c r="D61" s="985"/>
      <c r="E61" s="985"/>
      <c r="F61" s="985"/>
      <c r="G61" s="985"/>
      <c r="H61" s="985"/>
      <c r="I61" s="985"/>
      <c r="J61" s="985"/>
      <c r="K61" s="985"/>
      <c r="L61" s="981"/>
    </row>
    <row r="62" spans="1:24" s="1" customFormat="1" ht="29.5" customHeight="1">
      <c r="A62" s="984"/>
      <c r="B62" s="984"/>
      <c r="C62" s="808" t="s">
        <v>45</v>
      </c>
      <c r="D62" s="808" t="s">
        <v>46</v>
      </c>
      <c r="E62" s="808" t="s">
        <v>47</v>
      </c>
      <c r="F62" s="808" t="s">
        <v>48</v>
      </c>
      <c r="G62" s="808" t="s">
        <v>49</v>
      </c>
      <c r="H62" s="808" t="s">
        <v>50</v>
      </c>
      <c r="I62" s="808" t="s">
        <v>51</v>
      </c>
      <c r="J62" s="808" t="s">
        <v>52</v>
      </c>
      <c r="K62" s="808" t="s">
        <v>53</v>
      </c>
      <c r="L62" s="808" t="s">
        <v>54</v>
      </c>
      <c r="P62" s="910"/>
      <c r="Q62" s="910"/>
      <c r="R62" s="910"/>
    </row>
    <row r="63" spans="1:24" s="39" customFormat="1" ht="20.149999999999999" customHeight="1">
      <c r="A63" s="1023">
        <v>-33</v>
      </c>
      <c r="B63" s="186">
        <v>1</v>
      </c>
      <c r="C63" s="911">
        <v>-27</v>
      </c>
      <c r="D63" s="911">
        <v>-27</v>
      </c>
      <c r="E63" s="911">
        <v>-27</v>
      </c>
      <c r="F63" s="911">
        <v>-27</v>
      </c>
      <c r="G63" s="911">
        <v>-27</v>
      </c>
      <c r="H63" s="911">
        <v>-27</v>
      </c>
      <c r="I63" s="911">
        <v>-27</v>
      </c>
      <c r="J63" s="911">
        <v>-27</v>
      </c>
      <c r="K63" s="911">
        <v>-27</v>
      </c>
      <c r="L63" s="911">
        <v>-27</v>
      </c>
      <c r="O63" s="910"/>
      <c r="P63" s="910"/>
      <c r="Q63" s="910"/>
      <c r="R63" s="910"/>
    </row>
    <row r="64" spans="1:24" s="39" customFormat="1" ht="20.149999999999999" customHeight="1">
      <c r="A64" s="1024"/>
      <c r="B64" s="186">
        <v>2</v>
      </c>
      <c r="C64" s="911">
        <v>-27</v>
      </c>
      <c r="D64" s="911">
        <v>-27</v>
      </c>
      <c r="E64" s="911">
        <v>-27</v>
      </c>
      <c r="F64" s="911">
        <v>-27</v>
      </c>
      <c r="G64" s="911">
        <v>-27</v>
      </c>
      <c r="H64" s="911">
        <v>-27</v>
      </c>
      <c r="I64" s="911">
        <v>-27</v>
      </c>
      <c r="J64" s="911">
        <v>-27</v>
      </c>
      <c r="K64" s="911">
        <v>-27</v>
      </c>
      <c r="L64" s="911">
        <v>-27</v>
      </c>
      <c r="O64" s="910"/>
      <c r="P64" s="910"/>
      <c r="Q64" s="910"/>
      <c r="R64" s="910"/>
    </row>
    <row r="65" spans="1:254" s="39" customFormat="1" ht="20.149999999999999" customHeight="1">
      <c r="A65" s="1024"/>
      <c r="B65" s="186">
        <v>3</v>
      </c>
      <c r="C65" s="911">
        <v>-27</v>
      </c>
      <c r="D65" s="911">
        <v>-27</v>
      </c>
      <c r="E65" s="911">
        <v>-27</v>
      </c>
      <c r="F65" s="911">
        <v>-27</v>
      </c>
      <c r="G65" s="911">
        <v>-27</v>
      </c>
      <c r="H65" s="911">
        <v>-27</v>
      </c>
      <c r="I65" s="911">
        <v>-27</v>
      </c>
      <c r="J65" s="911">
        <v>-27</v>
      </c>
      <c r="K65" s="911">
        <v>-27</v>
      </c>
      <c r="L65" s="911">
        <v>-27</v>
      </c>
      <c r="O65" s="910"/>
      <c r="P65" s="910"/>
      <c r="Q65" s="910"/>
      <c r="R65" s="910"/>
    </row>
    <row r="66" spans="1:254" s="39" customFormat="1" ht="20.149999999999999" customHeight="1">
      <c r="A66" s="1024"/>
      <c r="B66" s="186">
        <v>4</v>
      </c>
      <c r="C66" s="911">
        <v>-27</v>
      </c>
      <c r="D66" s="911">
        <v>-27</v>
      </c>
      <c r="E66" s="911">
        <v>-27</v>
      </c>
      <c r="F66" s="911">
        <v>-27</v>
      </c>
      <c r="G66" s="911">
        <v>-27</v>
      </c>
      <c r="H66" s="911">
        <v>-27</v>
      </c>
      <c r="I66" s="911">
        <v>-27</v>
      </c>
      <c r="J66" s="911">
        <v>-27</v>
      </c>
      <c r="K66" s="911">
        <v>-27</v>
      </c>
      <c r="L66" s="911">
        <v>-27</v>
      </c>
      <c r="O66" s="910"/>
      <c r="P66" s="910"/>
      <c r="Q66" s="910"/>
      <c r="R66" s="910"/>
    </row>
    <row r="67" spans="1:254" s="912" customFormat="1" ht="20.149999999999999" customHeight="1">
      <c r="A67" s="1024"/>
      <c r="B67" s="186">
        <v>5</v>
      </c>
      <c r="C67" s="911">
        <v>-27</v>
      </c>
      <c r="D67" s="911">
        <v>-27</v>
      </c>
      <c r="E67" s="911">
        <v>-27</v>
      </c>
      <c r="F67" s="911">
        <v>-27</v>
      </c>
      <c r="G67" s="911">
        <v>-27</v>
      </c>
      <c r="H67" s="911">
        <v>-27</v>
      </c>
      <c r="I67" s="911">
        <v>-27</v>
      </c>
      <c r="J67" s="911">
        <v>-27</v>
      </c>
      <c r="K67" s="911">
        <v>-27</v>
      </c>
      <c r="L67" s="911">
        <v>-27</v>
      </c>
      <c r="O67" s="910"/>
      <c r="P67" s="910"/>
      <c r="Q67" s="910"/>
      <c r="R67" s="910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  <c r="IN67" s="39"/>
      <c r="IO67" s="39"/>
      <c r="IP67" s="39"/>
      <c r="IQ67" s="39"/>
      <c r="IR67" s="39"/>
      <c r="IS67" s="39"/>
      <c r="IT67" s="39"/>
    </row>
    <row r="68" spans="1:254" s="912" customFormat="1" ht="20.149999999999999" customHeight="1">
      <c r="A68" s="1024"/>
      <c r="B68" s="186">
        <v>6</v>
      </c>
      <c r="C68" s="911">
        <v>-27</v>
      </c>
      <c r="D68" s="911">
        <v>-27</v>
      </c>
      <c r="E68" s="911">
        <v>-27</v>
      </c>
      <c r="F68" s="911">
        <v>-27</v>
      </c>
      <c r="G68" s="911">
        <v>-27</v>
      </c>
      <c r="H68" s="911">
        <v>-27</v>
      </c>
      <c r="I68" s="911">
        <v>-27</v>
      </c>
      <c r="J68" s="911">
        <v>-27</v>
      </c>
      <c r="K68" s="911">
        <v>-27</v>
      </c>
      <c r="L68" s="911">
        <v>-27</v>
      </c>
      <c r="O68" s="910"/>
      <c r="P68" s="910"/>
      <c r="Q68" s="910"/>
      <c r="R68" s="910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  <c r="IN68" s="39"/>
      <c r="IO68" s="39"/>
      <c r="IP68" s="39"/>
      <c r="IQ68" s="39"/>
      <c r="IR68" s="39"/>
      <c r="IS68" s="39"/>
      <c r="IT68" s="39"/>
    </row>
    <row r="69" spans="1:254" s="912" customFormat="1" ht="20.149999999999999" customHeight="1">
      <c r="A69" s="1024"/>
      <c r="B69" s="186">
        <v>7</v>
      </c>
      <c r="C69" s="911">
        <v>-27</v>
      </c>
      <c r="D69" s="911">
        <v>-27</v>
      </c>
      <c r="E69" s="911">
        <v>-27</v>
      </c>
      <c r="F69" s="911">
        <v>-27</v>
      </c>
      <c r="G69" s="911">
        <v>-27</v>
      </c>
      <c r="H69" s="911">
        <v>-27</v>
      </c>
      <c r="I69" s="911">
        <v>-27</v>
      </c>
      <c r="J69" s="911">
        <v>-27</v>
      </c>
      <c r="K69" s="911">
        <v>-27</v>
      </c>
      <c r="L69" s="911">
        <v>-27</v>
      </c>
      <c r="O69" s="910"/>
      <c r="P69" s="910"/>
      <c r="Q69" s="910"/>
      <c r="R69" s="910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39"/>
      <c r="IS69" s="39"/>
      <c r="IT69" s="39"/>
    </row>
    <row r="70" spans="1:254" s="912" customFormat="1" ht="20.149999999999999" customHeight="1">
      <c r="A70" s="1025"/>
      <c r="B70" s="186">
        <v>8</v>
      </c>
      <c r="C70" s="911">
        <v>-27</v>
      </c>
      <c r="D70" s="911">
        <v>-27</v>
      </c>
      <c r="E70" s="911">
        <v>-27</v>
      </c>
      <c r="F70" s="911">
        <v>-27</v>
      </c>
      <c r="G70" s="911">
        <v>-27</v>
      </c>
      <c r="H70" s="911">
        <v>-27</v>
      </c>
      <c r="I70" s="911">
        <v>-27</v>
      </c>
      <c r="J70" s="911">
        <v>-27</v>
      </c>
      <c r="K70" s="911">
        <v>-27</v>
      </c>
      <c r="L70" s="911">
        <v>-27</v>
      </c>
      <c r="O70" s="910"/>
      <c r="P70" s="910"/>
      <c r="Q70" s="910"/>
      <c r="R70" s="910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39"/>
      <c r="IS70" s="39"/>
      <c r="IT70" s="39"/>
    </row>
    <row r="71" spans="1:254" ht="20.149999999999999" customHeight="1">
      <c r="A71" s="980" t="s">
        <v>173</v>
      </c>
      <c r="B71" s="981"/>
      <c r="C71" s="986">
        <v>-25</v>
      </c>
      <c r="D71" s="986"/>
      <c r="E71" s="986"/>
      <c r="F71" s="986"/>
      <c r="G71" s="986"/>
      <c r="H71" s="987">
        <v>-25</v>
      </c>
      <c r="I71" s="988"/>
      <c r="J71" s="988"/>
      <c r="K71" s="988"/>
      <c r="L71" s="989"/>
    </row>
    <row r="72" spans="1:254" ht="20.149999999999999" customHeight="1">
      <c r="A72" s="980" t="s">
        <v>174</v>
      </c>
      <c r="B72" s="981"/>
      <c r="C72" s="941">
        <f>MAX(C17:D17)</f>
        <v>26.3</v>
      </c>
      <c r="D72" s="941"/>
      <c r="E72" s="941"/>
      <c r="F72" s="941"/>
      <c r="G72" s="941"/>
      <c r="H72" s="990">
        <f>MIN(C17:D17)</f>
        <v>26.2</v>
      </c>
      <c r="I72" s="991"/>
      <c r="J72" s="991"/>
      <c r="K72" s="991"/>
      <c r="L72" s="992"/>
    </row>
    <row r="73" spans="1:254" ht="20.149999999999999" customHeight="1">
      <c r="A73" s="26"/>
      <c r="B73" s="26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254" ht="20.149999999999999" customHeight="1">
      <c r="A74" s="26"/>
      <c r="B74" s="26"/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1:254" ht="20.149999999999999" customHeight="1">
      <c r="A75" s="26"/>
      <c r="B75" s="26"/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1:254" ht="20.149999999999999" customHeight="1">
      <c r="A76" s="26"/>
      <c r="B76" s="26"/>
      <c r="C76" s="49"/>
      <c r="D76" s="49"/>
      <c r="E76" s="49"/>
      <c r="F76" s="49"/>
      <c r="G76" s="49"/>
      <c r="H76" s="49"/>
      <c r="I76" s="49"/>
      <c r="J76" s="49"/>
      <c r="K76" s="49"/>
      <c r="L76" s="49"/>
    </row>
    <row r="77" spans="1:254" ht="20.149999999999999" customHeight="1">
      <c r="A77" s="26"/>
      <c r="B77" s="26"/>
      <c r="C77" s="49"/>
      <c r="D77" s="49"/>
      <c r="E77" s="49"/>
      <c r="F77" s="49"/>
      <c r="G77" s="49"/>
      <c r="H77" s="49"/>
      <c r="I77" s="49"/>
      <c r="J77" s="49"/>
      <c r="K77" s="49"/>
      <c r="L77" s="49"/>
    </row>
    <row r="78" spans="1:254" ht="20.149999999999999" customHeight="1">
      <c r="A78" s="26"/>
      <c r="B78" s="26"/>
      <c r="C78" s="49"/>
      <c r="D78" s="49"/>
      <c r="E78" s="49"/>
      <c r="F78" s="49"/>
      <c r="G78" s="49"/>
      <c r="H78" s="49"/>
      <c r="I78" s="49"/>
      <c r="J78" s="49"/>
      <c r="K78" s="49"/>
      <c r="L78" s="49"/>
    </row>
    <row r="79" spans="1:254" ht="20.149999999999999" customHeight="1">
      <c r="A79" s="26"/>
      <c r="B79" s="26"/>
      <c r="C79" s="49"/>
      <c r="D79" s="49"/>
      <c r="E79" s="49"/>
      <c r="F79" s="49"/>
      <c r="G79" s="49"/>
      <c r="H79" s="49"/>
      <c r="I79" s="49"/>
      <c r="J79" s="49"/>
      <c r="K79" s="49"/>
      <c r="L79" s="49"/>
    </row>
    <row r="80" spans="1:254" ht="20.149999999999999" customHeight="1">
      <c r="A80" s="26"/>
      <c r="B80" s="26"/>
      <c r="C80" s="49"/>
      <c r="D80" s="49"/>
      <c r="E80" s="49"/>
      <c r="F80" s="49"/>
      <c r="G80" s="49"/>
      <c r="H80" s="49"/>
      <c r="I80" s="49"/>
      <c r="J80" s="49"/>
      <c r="K80" s="49"/>
      <c r="L80" s="49"/>
    </row>
    <row r="81" spans="1:20" ht="20.149999999999999" customHeight="1">
      <c r="A81" s="26"/>
      <c r="B81" s="26"/>
      <c r="C81" s="49"/>
      <c r="D81" s="49"/>
      <c r="E81" s="49"/>
      <c r="F81" s="49"/>
      <c r="G81" s="49"/>
      <c r="H81" s="49"/>
      <c r="I81" s="49"/>
      <c r="J81" s="49"/>
      <c r="K81" s="49"/>
      <c r="L81" s="49"/>
    </row>
    <row r="82" spans="1:20" ht="20.149999999999999" customHeight="1">
      <c r="A82" s="26"/>
      <c r="B82" s="26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20" ht="20.149999999999999" customHeight="1">
      <c r="A83" s="26"/>
      <c r="B83" s="26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20" ht="20.149999999999999" customHeight="1">
      <c r="K84" s="20"/>
      <c r="L84" s="20"/>
    </row>
    <row r="85" spans="1:20" ht="20.149999999999999" customHeight="1">
      <c r="A85" s="984" t="str">
        <f>A61</f>
        <v>Setting</v>
      </c>
      <c r="B85" s="984" t="s">
        <v>42</v>
      </c>
      <c r="C85" s="980" t="s">
        <v>172</v>
      </c>
      <c r="D85" s="985"/>
      <c r="E85" s="985"/>
      <c r="F85" s="985"/>
      <c r="G85" s="985"/>
      <c r="H85" s="985"/>
      <c r="I85" s="985"/>
      <c r="J85" s="985"/>
      <c r="K85" s="985"/>
      <c r="L85" s="981"/>
      <c r="M85" s="1015" t="s">
        <v>175</v>
      </c>
      <c r="N85" s="984" t="s">
        <v>176</v>
      </c>
      <c r="O85" s="984" t="s">
        <v>177</v>
      </c>
      <c r="Q85" s="984" t="s">
        <v>178</v>
      </c>
      <c r="R85" s="984" t="s">
        <v>179</v>
      </c>
      <c r="S85" s="984" t="s">
        <v>180</v>
      </c>
      <c r="T85" s="1004" t="s">
        <v>181</v>
      </c>
    </row>
    <row r="86" spans="1:20" ht="19.5" customHeight="1">
      <c r="A86" s="984"/>
      <c r="B86" s="984"/>
      <c r="C86" s="808" t="s">
        <v>45</v>
      </c>
      <c r="D86" s="808" t="s">
        <v>46</v>
      </c>
      <c r="E86" s="808" t="s">
        <v>47</v>
      </c>
      <c r="F86" s="808" t="s">
        <v>48</v>
      </c>
      <c r="G86" s="808" t="s">
        <v>49</v>
      </c>
      <c r="H86" s="808" t="s">
        <v>50</v>
      </c>
      <c r="I86" s="808" t="s">
        <v>51</v>
      </c>
      <c r="J86" s="808" t="s">
        <v>52</v>
      </c>
      <c r="K86" s="808" t="s">
        <v>53</v>
      </c>
      <c r="L86" s="808" t="s">
        <v>54</v>
      </c>
      <c r="M86" s="1015"/>
      <c r="N86" s="984"/>
      <c r="O86" s="984"/>
      <c r="Q86" s="984"/>
      <c r="R86" s="984"/>
      <c r="S86" s="984"/>
      <c r="T86" s="1004"/>
    </row>
    <row r="87" spans="1:20" ht="20.149999999999999" customHeight="1">
      <c r="A87" s="995">
        <f>A63</f>
        <v>-33</v>
      </c>
      <c r="B87" s="186">
        <v>1</v>
      </c>
      <c r="C87" s="38">
        <f ca="1">'Data Standar'!D251</f>
        <v>-26.698</v>
      </c>
      <c r="D87" s="38">
        <f ca="1">'Data Standar'!J251</f>
        <v>-26.698</v>
      </c>
      <c r="E87" s="38">
        <f ca="1">'Data Standar'!D264</f>
        <v>-26.698</v>
      </c>
      <c r="F87" s="38">
        <f ca="1">'Data Standar'!J264</f>
        <v>-26.698</v>
      </c>
      <c r="G87" s="38">
        <f ca="1">'Data Standar'!D277</f>
        <v>-26.698</v>
      </c>
      <c r="H87" s="38">
        <f ca="1">'Data Standar'!J277</f>
        <v>-26.698</v>
      </c>
      <c r="I87" s="38">
        <f ca="1">'Data Standar'!D290</f>
        <v>-26.698</v>
      </c>
      <c r="J87" s="38">
        <f ca="1">'Data Standar'!J290</f>
        <v>-26.698</v>
      </c>
      <c r="K87" s="38">
        <f ca="1">'Data Standar'!D303</f>
        <v>-26.698</v>
      </c>
      <c r="L87" s="38">
        <f ca="1">'Data Standar'!J303</f>
        <v>-26.698</v>
      </c>
      <c r="M87" s="38">
        <f ca="1">IFERROR(STDEV(C87:L87),0)</f>
        <v>0</v>
      </c>
      <c r="N87" s="38">
        <f ca="1">MAX(C87:L87)-MIN(C87:L87)</f>
        <v>0</v>
      </c>
      <c r="O87" s="38">
        <f ca="1">AVERAGE(C87:L87)</f>
        <v>-26.698</v>
      </c>
      <c r="Q87" s="913">
        <f>36.03-35.94</f>
        <v>9.0000000000003411E-2</v>
      </c>
      <c r="R87" s="914">
        <f>(36.03+35.94)/2</f>
        <v>35.984999999999999</v>
      </c>
      <c r="S87" s="913">
        <f>35.99+0.13</f>
        <v>36.120000000000005</v>
      </c>
      <c r="T87" s="915"/>
    </row>
    <row r="88" spans="1:20" ht="20.149999999999999" customHeight="1">
      <c r="A88" s="996"/>
      <c r="B88" s="186">
        <v>2</v>
      </c>
      <c r="C88" s="38">
        <f ca="1">'Data Standar'!D252</f>
        <v>-26.728000000000002</v>
      </c>
      <c r="D88" s="38">
        <f ca="1">'Data Standar'!J252</f>
        <v>-26.728000000000002</v>
      </c>
      <c r="E88" s="38">
        <f ca="1">'Data Standar'!D265</f>
        <v>-26.728000000000002</v>
      </c>
      <c r="F88" s="38">
        <f ca="1">'Data Standar'!J265</f>
        <v>-26.728000000000002</v>
      </c>
      <c r="G88" s="38">
        <f ca="1">'Data Standar'!D278</f>
        <v>-26.728000000000002</v>
      </c>
      <c r="H88" s="38">
        <f ca="1">'Data Standar'!J278</f>
        <v>-26.728000000000002</v>
      </c>
      <c r="I88" s="38">
        <f ca="1">'Data Standar'!D291</f>
        <v>-26.728000000000002</v>
      </c>
      <c r="J88" s="38">
        <f ca="1">'Data Standar'!J291</f>
        <v>-26.728000000000002</v>
      </c>
      <c r="K88" s="38">
        <f ca="1">'Data Standar'!D304</f>
        <v>-26.728000000000002</v>
      </c>
      <c r="L88" s="38">
        <f ca="1">'Data Standar'!J304</f>
        <v>-26.728000000000002</v>
      </c>
      <c r="M88" s="38">
        <f ca="1">IFERROR(STDEV(C88:L88),0)</f>
        <v>0</v>
      </c>
      <c r="N88" s="38">
        <f t="shared" ref="N88:N92" ca="1" si="1">MAX(C88:L88)-MIN(C88:L88)</f>
        <v>0</v>
      </c>
      <c r="O88" s="38">
        <f t="shared" ref="O88:O92" ca="1" si="2">AVERAGE(C88:L88)</f>
        <v>-26.728000000000002</v>
      </c>
      <c r="Q88" s="913">
        <f>36.12-35.97</f>
        <v>0.14999999999999858</v>
      </c>
      <c r="R88" s="914">
        <f>(36.12+35.97)/2</f>
        <v>36.045000000000002</v>
      </c>
      <c r="S88" s="913">
        <f>36.05+0.14</f>
        <v>36.19</v>
      </c>
      <c r="T88" s="915"/>
    </row>
    <row r="89" spans="1:20" ht="20.149999999999999" customHeight="1">
      <c r="A89" s="996"/>
      <c r="B89" s="186">
        <v>3</v>
      </c>
      <c r="C89" s="38">
        <f ca="1">'Data Standar'!D253</f>
        <v>-26.693999999999999</v>
      </c>
      <c r="D89" s="38">
        <f ca="1">'Data Standar'!J253</f>
        <v>-26.693999999999999</v>
      </c>
      <c r="E89" s="38">
        <f ca="1">'Data Standar'!D266</f>
        <v>-26.693999999999999</v>
      </c>
      <c r="F89" s="38">
        <f ca="1">'Data Standar'!J266</f>
        <v>-26.693999999999999</v>
      </c>
      <c r="G89" s="38">
        <f ca="1">'Data Standar'!D279</f>
        <v>-26.693999999999999</v>
      </c>
      <c r="H89" s="38">
        <f ca="1">'Data Standar'!J279</f>
        <v>-26.693999999999999</v>
      </c>
      <c r="I89" s="38">
        <f ca="1">'Data Standar'!D292</f>
        <v>-26.693999999999999</v>
      </c>
      <c r="J89" s="38">
        <f ca="1">'Data Standar'!J292</f>
        <v>-26.693999999999999</v>
      </c>
      <c r="K89" s="38">
        <f ca="1">'Data Standar'!D305</f>
        <v>-26.693999999999999</v>
      </c>
      <c r="L89" s="38">
        <f ca="1">'Data Standar'!J305</f>
        <v>-26.693999999999999</v>
      </c>
      <c r="M89" s="38">
        <f ca="1">IFERROR(STDEV(C89:L89),0)</f>
        <v>3.7448890331484813E-15</v>
      </c>
      <c r="N89" s="38">
        <f t="shared" ca="1" si="1"/>
        <v>0</v>
      </c>
      <c r="O89" s="38">
        <f t="shared" ca="1" si="2"/>
        <v>-26.693999999999996</v>
      </c>
      <c r="Q89" s="913">
        <f>36.07-35.95</f>
        <v>0.11999999999999744</v>
      </c>
      <c r="R89" s="914">
        <f>(36.07+35.95)/2</f>
        <v>36.010000000000005</v>
      </c>
      <c r="S89" s="913">
        <f>36.01+0.14</f>
        <v>36.15</v>
      </c>
      <c r="T89" s="915"/>
    </row>
    <row r="90" spans="1:20" ht="20.149999999999999" customHeight="1">
      <c r="A90" s="996"/>
      <c r="B90" s="186">
        <v>4</v>
      </c>
      <c r="C90" s="38">
        <f ca="1">'Data Standar'!D254</f>
        <v>-26.687999999999999</v>
      </c>
      <c r="D90" s="38">
        <f ca="1">'Data Standar'!J254</f>
        <v>-26.687999999999999</v>
      </c>
      <c r="E90" s="38">
        <f ca="1">'Data Standar'!D267</f>
        <v>-26.687999999999999</v>
      </c>
      <c r="F90" s="38">
        <f ca="1">'Data Standar'!J267</f>
        <v>-26.687999999999999</v>
      </c>
      <c r="G90" s="38">
        <f ca="1">'Data Standar'!D280</f>
        <v>-26.687999999999999</v>
      </c>
      <c r="H90" s="38">
        <f ca="1">'Data Standar'!J280</f>
        <v>-26.687999999999999</v>
      </c>
      <c r="I90" s="38">
        <f ca="1">'Data Standar'!D293</f>
        <v>-26.687999999999999</v>
      </c>
      <c r="J90" s="38">
        <f ca="1">'Data Standar'!J293</f>
        <v>-26.687999999999999</v>
      </c>
      <c r="K90" s="38">
        <f ca="1">'Data Standar'!D306</f>
        <v>-26.687999999999999</v>
      </c>
      <c r="L90" s="38">
        <f ca="1">'Data Standar'!J306</f>
        <v>-26.687999999999999</v>
      </c>
      <c r="M90" s="38">
        <f ca="1">IFERROR(STDEV(C90:L90),0)</f>
        <v>3.7448890331484813E-15</v>
      </c>
      <c r="N90" s="38">
        <f t="shared" ca="1" si="1"/>
        <v>0</v>
      </c>
      <c r="O90" s="38">
        <f t="shared" ca="1" si="2"/>
        <v>-26.687999999999995</v>
      </c>
      <c r="Q90" s="913">
        <f>36.08-35.96</f>
        <v>0.11999999999999744</v>
      </c>
      <c r="R90" s="914">
        <f>(36.08+35.96)/2</f>
        <v>36.019999999999996</v>
      </c>
      <c r="S90" s="888">
        <f>36.02+0.14</f>
        <v>36.160000000000004</v>
      </c>
      <c r="T90" s="915"/>
    </row>
    <row r="91" spans="1:20" ht="20.149999999999999" customHeight="1">
      <c r="A91" s="996"/>
      <c r="B91" s="186">
        <v>5</v>
      </c>
      <c r="C91" s="38">
        <f ca="1">'Data Standar'!D255</f>
        <v>-26.684000000000001</v>
      </c>
      <c r="D91" s="38">
        <f ca="1">'Data Standar'!J255</f>
        <v>-26.684000000000001</v>
      </c>
      <c r="E91" s="38">
        <f ca="1">'Data Standar'!D268</f>
        <v>-26.684000000000001</v>
      </c>
      <c r="F91" s="38">
        <f ca="1">'Data Standar'!J268</f>
        <v>-26.684000000000001</v>
      </c>
      <c r="G91" s="38">
        <f ca="1">'Data Standar'!D281</f>
        <v>-26.684000000000001</v>
      </c>
      <c r="H91" s="38">
        <f ca="1">'Data Standar'!J281</f>
        <v>-26.684000000000001</v>
      </c>
      <c r="I91" s="38">
        <f ca="1">'Data Standar'!D294</f>
        <v>-26.684000000000001</v>
      </c>
      <c r="J91" s="38">
        <f ca="1">'Data Standar'!J294</f>
        <v>-26.684000000000001</v>
      </c>
      <c r="K91" s="38">
        <f ca="1">'Data Standar'!D307</f>
        <v>-26.684000000000001</v>
      </c>
      <c r="L91" s="38">
        <f ca="1">'Data Standar'!J307</f>
        <v>-26.684000000000001</v>
      </c>
      <c r="M91" s="38">
        <f ca="1">IFERROR(STDEV(C91:L91),0)</f>
        <v>3.7448890331484813E-15</v>
      </c>
      <c r="N91" s="38">
        <f t="shared" ca="1" si="1"/>
        <v>0</v>
      </c>
      <c r="O91" s="38">
        <f t="shared" ca="1" si="2"/>
        <v>-26.684000000000005</v>
      </c>
      <c r="Q91" s="913">
        <f>36.04-35.95</f>
        <v>8.9999999999996305E-2</v>
      </c>
      <c r="R91" s="914">
        <f>(36.04+35.95)/2</f>
        <v>35.995000000000005</v>
      </c>
      <c r="S91" s="913">
        <f>36+0.13</f>
        <v>36.130000000000003</v>
      </c>
      <c r="T91" s="915"/>
    </row>
    <row r="92" spans="1:20" ht="20.149999999999999" customHeight="1">
      <c r="A92" s="996"/>
      <c r="B92" s="186">
        <v>6</v>
      </c>
      <c r="C92" s="38">
        <f ca="1">'Data Standar'!D256</f>
        <v>-26.681999999999999</v>
      </c>
      <c r="D92" s="38">
        <f ca="1">'Data Standar'!J256</f>
        <v>-26.681999999999999</v>
      </c>
      <c r="E92" s="38">
        <f ca="1">'Data Standar'!D269</f>
        <v>-26.681999999999999</v>
      </c>
      <c r="F92" s="38">
        <f ca="1">'Data Standar'!J269</f>
        <v>-26.681999999999999</v>
      </c>
      <c r="G92" s="38">
        <f ca="1">'Data Standar'!D282</f>
        <v>-26.681999999999999</v>
      </c>
      <c r="H92" s="38">
        <f ca="1">'Data Standar'!J282</f>
        <v>-26.681999999999999</v>
      </c>
      <c r="I92" s="38">
        <f ca="1">'Data Standar'!D295</f>
        <v>-26.681999999999999</v>
      </c>
      <c r="J92" s="38">
        <f ca="1">'Data Standar'!J295</f>
        <v>-26.681999999999999</v>
      </c>
      <c r="K92" s="38">
        <f ca="1">'Data Standar'!D308</f>
        <v>-26.681999999999999</v>
      </c>
      <c r="L92" s="38">
        <f ca="1">'Data Standar'!J308</f>
        <v>-26.681999999999999</v>
      </c>
      <c r="M92" s="38">
        <f ca="1">IFERROR(STDEV(C92:L92),0)</f>
        <v>3.7448890331484813E-15</v>
      </c>
      <c r="N92" s="38">
        <f t="shared" ca="1" si="1"/>
        <v>0</v>
      </c>
      <c r="O92" s="38">
        <f t="shared" ca="1" si="2"/>
        <v>-26.681999999999995</v>
      </c>
      <c r="Q92" s="913">
        <f>36.15-36.03</f>
        <v>0.11999999999999744</v>
      </c>
      <c r="R92" s="913">
        <f>(36.15+36.03)/2</f>
        <v>36.090000000000003</v>
      </c>
      <c r="S92" s="913">
        <f>36.09+0.14</f>
        <v>36.230000000000004</v>
      </c>
      <c r="T92" s="915"/>
    </row>
    <row r="93" spans="1:20" ht="19.5" customHeight="1">
      <c r="A93" s="996"/>
      <c r="B93" s="186">
        <v>7</v>
      </c>
      <c r="C93" s="38">
        <f ca="1">'Data Standar'!D257</f>
        <v>-26.658000000000001</v>
      </c>
      <c r="D93" s="38">
        <f ca="1">'Data Standar'!J257</f>
        <v>-26.658000000000001</v>
      </c>
      <c r="E93" s="38">
        <f ca="1">'Data Standar'!D270</f>
        <v>-26.658000000000001</v>
      </c>
      <c r="F93" s="38">
        <f ca="1">'Data Standar'!J270</f>
        <v>-26.658000000000001</v>
      </c>
      <c r="G93" s="38">
        <f ca="1">'Data Standar'!D283</f>
        <v>-26.658000000000001</v>
      </c>
      <c r="H93" s="38">
        <f ca="1">'Data Standar'!J283</f>
        <v>-26.658000000000001</v>
      </c>
      <c r="I93" s="38">
        <f ca="1">'Data Standar'!D296</f>
        <v>-26.658000000000001</v>
      </c>
      <c r="J93" s="38">
        <f ca="1">'Data Standar'!J296</f>
        <v>-26.658000000000001</v>
      </c>
      <c r="K93" s="38">
        <f ca="1">'Data Standar'!D309</f>
        <v>-26.658000000000001</v>
      </c>
      <c r="L93" s="38">
        <f ca="1">'Data Standar'!J309</f>
        <v>-26.658000000000001</v>
      </c>
      <c r="M93" s="38">
        <f ca="1">IFERROR(STDEV(C93:L93),0)</f>
        <v>7.4897780662969626E-15</v>
      </c>
      <c r="N93" s="38">
        <f ca="1">MAX(C93:L93)-MIN(C93:L93)</f>
        <v>0</v>
      </c>
      <c r="O93" s="38">
        <f ca="1">AVERAGE(C93:L93)</f>
        <v>-26.658000000000008</v>
      </c>
      <c r="Q93" s="913">
        <f>36.07-35.97</f>
        <v>0.10000000000000142</v>
      </c>
      <c r="R93" s="914">
        <f>(36.07+35.97)/2</f>
        <v>36.019999999999996</v>
      </c>
      <c r="S93" s="913">
        <f>36.02+0.19</f>
        <v>36.21</v>
      </c>
      <c r="T93" s="915"/>
    </row>
    <row r="94" spans="1:20" ht="19.5" customHeight="1">
      <c r="A94" s="916"/>
      <c r="B94" s="186">
        <v>8</v>
      </c>
      <c r="C94" s="38">
        <f ca="1">'Data Standar'!D258</f>
        <v>-26.664000000000001</v>
      </c>
      <c r="D94" s="38">
        <f ca="1">'Data Standar'!J258</f>
        <v>-26.664000000000001</v>
      </c>
      <c r="E94" s="38">
        <f ca="1">'Data Standar'!D271</f>
        <v>-26.664000000000001</v>
      </c>
      <c r="F94" s="38">
        <f ca="1">'Data Standar'!J271</f>
        <v>-26.664000000000001</v>
      </c>
      <c r="G94" s="38">
        <f ca="1">'Data Standar'!D284</f>
        <v>-26.664000000000001</v>
      </c>
      <c r="H94" s="38">
        <f ca="1">'Data Standar'!J284</f>
        <v>-26.664000000000001</v>
      </c>
      <c r="I94" s="38">
        <f ca="1">'Data Standar'!D297</f>
        <v>-26.664000000000001</v>
      </c>
      <c r="J94" s="38">
        <f ca="1">'Data Standar'!J297</f>
        <v>-26.664000000000001</v>
      </c>
      <c r="K94" s="38">
        <f ca="1">'Data Standar'!D310</f>
        <v>-26.664000000000001</v>
      </c>
      <c r="L94" s="38">
        <f ca="1">'Data Standar'!J310</f>
        <v>-26.664000000000001</v>
      </c>
      <c r="M94" s="38">
        <f ca="1">IFERROR(STDEV(C94:L94),0)</f>
        <v>7.4897780662969626E-15</v>
      </c>
      <c r="N94" s="38">
        <f ca="1">MAX(C94:L94)-MIN(C94:L94)</f>
        <v>0</v>
      </c>
      <c r="O94" s="38">
        <f ca="1">AVERAGE(C94:L94)</f>
        <v>-26.663999999999994</v>
      </c>
      <c r="Q94" s="913"/>
      <c r="R94" s="914"/>
      <c r="S94" s="913"/>
      <c r="T94" s="915"/>
    </row>
    <row r="95" spans="1:20" ht="20.149999999999999" customHeight="1">
      <c r="A95" s="980" t="s">
        <v>173</v>
      </c>
      <c r="B95" s="981"/>
      <c r="C95" s="941">
        <f>C71</f>
        <v>-25</v>
      </c>
      <c r="D95" s="941"/>
      <c r="E95" s="941"/>
      <c r="F95" s="941"/>
      <c r="G95" s="941"/>
      <c r="H95" s="990">
        <f>H71</f>
        <v>-25</v>
      </c>
      <c r="I95" s="991"/>
      <c r="J95" s="991"/>
      <c r="K95" s="991"/>
      <c r="L95" s="992"/>
      <c r="M95" s="997">
        <f ca="1">MAX(M87:M93)</f>
        <v>7.4897780662969626E-15</v>
      </c>
      <c r="N95" s="38">
        <f t="shared" ref="N95:N96" si="3">MAX(C95:L95)-MIN(C95:L95)</f>
        <v>0</v>
      </c>
      <c r="O95" s="38">
        <f>AVERAGE(C95:L95)</f>
        <v>-25</v>
      </c>
      <c r="Q95" s="38">
        <f>37-37</f>
        <v>0</v>
      </c>
      <c r="R95" s="38">
        <f>(37+37)/2</f>
        <v>37</v>
      </c>
      <c r="S95" s="186"/>
      <c r="T95" s="915"/>
    </row>
    <row r="96" spans="1:20" ht="20.149999999999999" customHeight="1">
      <c r="A96" s="980" t="s">
        <v>174</v>
      </c>
      <c r="B96" s="981"/>
      <c r="C96" s="941">
        <f>C72</f>
        <v>26.3</v>
      </c>
      <c r="D96" s="941"/>
      <c r="E96" s="941"/>
      <c r="F96" s="941"/>
      <c r="G96" s="941"/>
      <c r="H96" s="990">
        <f>H72</f>
        <v>26.2</v>
      </c>
      <c r="I96" s="991"/>
      <c r="J96" s="991"/>
      <c r="K96" s="991"/>
      <c r="L96" s="992"/>
      <c r="M96" s="998"/>
      <c r="N96" s="38">
        <f t="shared" si="3"/>
        <v>0.10000000000000142</v>
      </c>
      <c r="O96" s="38">
        <f>AVERAGE(C96:L96)</f>
        <v>26.25</v>
      </c>
      <c r="Q96" s="38">
        <f>25.2-25</f>
        <v>0.19999999999999929</v>
      </c>
      <c r="R96" s="38">
        <f>(25.2+25)/2</f>
        <v>25.1</v>
      </c>
      <c r="S96" s="186"/>
      <c r="T96" s="915"/>
    </row>
    <row r="97" spans="1:17" ht="20.149999999999999" customHeight="1">
      <c r="A97" s="980">
        <v>1</v>
      </c>
      <c r="B97" s="981"/>
      <c r="C97" s="993" t="s">
        <v>182</v>
      </c>
      <c r="D97" s="993"/>
      <c r="E97" s="993"/>
      <c r="F97" s="993"/>
      <c r="G97" s="993"/>
      <c r="H97" s="993"/>
      <c r="I97" s="993"/>
      <c r="J97" s="993"/>
      <c r="K97" s="994">
        <f>O95</f>
        <v>-25</v>
      </c>
      <c r="L97" s="994"/>
    </row>
    <row r="98" spans="1:17" ht="20.149999999999999" customHeight="1">
      <c r="A98" s="980">
        <v>2</v>
      </c>
      <c r="B98" s="981"/>
      <c r="C98" s="993" t="s">
        <v>183</v>
      </c>
      <c r="D98" s="993"/>
      <c r="E98" s="993"/>
      <c r="F98" s="993"/>
      <c r="G98" s="993"/>
      <c r="H98" s="993"/>
      <c r="I98" s="993"/>
      <c r="J98" s="993"/>
      <c r="K98" s="983">
        <f ca="1">(MAX(O87:O94)+(MIN(O87:O94)))/2</f>
        <v>-26.693000000000005</v>
      </c>
      <c r="L98" s="983"/>
    </row>
    <row r="99" spans="1:17" ht="20.149999999999999" customHeight="1">
      <c r="A99" s="980">
        <v>3</v>
      </c>
      <c r="B99" s="981"/>
      <c r="C99" s="993" t="s">
        <v>184</v>
      </c>
      <c r="D99" s="993"/>
      <c r="E99" s="993"/>
      <c r="F99" s="993"/>
      <c r="G99" s="993"/>
      <c r="H99" s="993"/>
      <c r="I99" s="993"/>
      <c r="J99" s="993"/>
      <c r="K99" s="983">
        <f ca="1">MAX(O87:O94)-MIN(O87:O94)</f>
        <v>6.9999999999993179E-2</v>
      </c>
      <c r="L99" s="983"/>
    </row>
    <row r="100" spans="1:17" ht="20.149999999999999" customHeight="1">
      <c r="A100" s="980">
        <v>4</v>
      </c>
      <c r="B100" s="981"/>
      <c r="C100" s="982" t="s">
        <v>185</v>
      </c>
      <c r="D100" s="982"/>
      <c r="E100" s="982"/>
      <c r="F100" s="982"/>
      <c r="G100" s="982"/>
      <c r="H100" s="982"/>
      <c r="I100" s="982"/>
      <c r="J100" s="982"/>
      <c r="K100" s="1000">
        <f ca="1">MAX(N87:N94)</f>
        <v>0</v>
      </c>
      <c r="L100" s="1001"/>
      <c r="N100" s="266"/>
    </row>
    <row r="101" spans="1:17" ht="20.149999999999999" customHeight="1">
      <c r="A101" s="980">
        <v>5</v>
      </c>
      <c r="B101" s="981"/>
      <c r="C101" s="982" t="s">
        <v>186</v>
      </c>
      <c r="D101" s="982"/>
      <c r="E101" s="982"/>
      <c r="F101" s="982"/>
      <c r="G101" s="982"/>
      <c r="H101" s="982"/>
      <c r="I101" s="982"/>
      <c r="J101" s="982"/>
      <c r="K101" s="1000">
        <f ca="1">MAX(C87:L94)-MIN(C87:L94)</f>
        <v>7.0000000000000284E-2</v>
      </c>
      <c r="L101" s="1001"/>
    </row>
    <row r="102" spans="1:17" ht="20.149999999999999" customHeight="1">
      <c r="A102" s="980">
        <v>6</v>
      </c>
      <c r="B102" s="981"/>
      <c r="C102" s="993" t="s">
        <v>65</v>
      </c>
      <c r="D102" s="993"/>
      <c r="E102" s="993"/>
      <c r="F102" s="993"/>
      <c r="G102" s="993"/>
      <c r="H102" s="993"/>
      <c r="I102" s="993"/>
      <c r="J102" s="993"/>
      <c r="K102" s="941">
        <f>O96</f>
        <v>26.25</v>
      </c>
      <c r="L102" s="941"/>
    </row>
    <row r="103" spans="1:17" ht="20.149999999999999" customHeight="1">
      <c r="A103" s="980">
        <v>7</v>
      </c>
      <c r="B103" s="981"/>
      <c r="C103" s="993" t="s">
        <v>187</v>
      </c>
      <c r="D103" s="993"/>
      <c r="E103" s="993"/>
      <c r="F103" s="993"/>
      <c r="G103" s="993"/>
      <c r="H103" s="993"/>
      <c r="I103" s="993"/>
      <c r="J103" s="993"/>
      <c r="K103" s="983">
        <f ca="1">K101/2</f>
        <v>3.5000000000000142E-2</v>
      </c>
      <c r="L103" s="983"/>
    </row>
    <row r="104" spans="1:17" ht="20.149999999999999" customHeight="1">
      <c r="A104" s="980">
        <v>8</v>
      </c>
      <c r="B104" s="981"/>
      <c r="C104" s="982" t="s">
        <v>188</v>
      </c>
      <c r="D104" s="982"/>
      <c r="E104" s="982"/>
      <c r="F104" s="982"/>
      <c r="G104" s="982"/>
      <c r="H104" s="982"/>
      <c r="I104" s="982"/>
      <c r="J104" s="982"/>
      <c r="K104" s="1006">
        <f ca="1">A87-K98</f>
        <v>-6.3069999999999951</v>
      </c>
      <c r="L104" s="1006"/>
    </row>
    <row r="105" spans="1:17" ht="20.149999999999999" customHeight="1"/>
    <row r="106" spans="1:17" ht="20.149999999999999" customHeight="1">
      <c r="A106" s="917" t="s">
        <v>66</v>
      </c>
      <c r="E106" s="27"/>
      <c r="F106" s="27"/>
      <c r="G106" s="27"/>
      <c r="M106" s="1003"/>
      <c r="N106" s="1003"/>
      <c r="O106" s="1003"/>
    </row>
    <row r="107" spans="1:17" ht="20.149999999999999" customHeight="1">
      <c r="A107" s="124" t="s">
        <v>67</v>
      </c>
      <c r="E107" s="27"/>
      <c r="F107" s="27"/>
      <c r="G107" s="27"/>
      <c r="M107" s="1003"/>
      <c r="N107" s="1003"/>
      <c r="O107" s="1003"/>
    </row>
    <row r="108" spans="1:17" ht="20.149999999999999" customHeight="1">
      <c r="A108" s="266" t="str">
        <f>'DB Kelistrikan'!N311</f>
        <v>Hasil pengukuran keselamatan listrik tertelusur ke Satuan SI melalui PT. Kaliman ( LK-032-IDN )</v>
      </c>
      <c r="E108" s="27"/>
      <c r="F108" s="27"/>
      <c r="G108" s="27"/>
      <c r="M108" s="50"/>
      <c r="N108" s="50"/>
      <c r="O108" s="50"/>
    </row>
    <row r="109" spans="1:17" ht="19.5" customHeight="1">
      <c r="A109" s="1" t="str">
        <f>'Data Alat'!A32</f>
        <v>Hasil pengujian kinerja suhu tertelusur ke Satuan SI melalui Laboratorium SNSU-BSN</v>
      </c>
      <c r="E109" s="27"/>
      <c r="F109" s="27"/>
      <c r="G109" s="27"/>
      <c r="M109" s="50"/>
      <c r="N109" s="50"/>
      <c r="O109" s="50"/>
      <c r="P109" s="918"/>
    </row>
    <row r="110" spans="1:17" ht="19.5" customHeight="1">
      <c r="A110" s="124" t="str">
        <f>'Lembar Penyelia'!V6</f>
        <v>Tidak dilakukan pengujian keselamatan listrik karena alat tidak boleh dalam kondisi off</v>
      </c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50"/>
      <c r="N110" s="50"/>
      <c r="O110" s="50"/>
      <c r="P110" s="918"/>
    </row>
    <row r="111" spans="1:17" ht="19.5" customHeight="1">
      <c r="A111" s="1" t="str">
        <f ca="1">IF(K98&gt;=-25,"Titik ukur atas permintaan pelanggan","")</f>
        <v/>
      </c>
      <c r="E111" s="27"/>
      <c r="F111" s="27"/>
      <c r="G111" s="27"/>
      <c r="M111" s="919"/>
      <c r="N111" s="919"/>
      <c r="O111" s="919"/>
      <c r="P111" s="918"/>
    </row>
    <row r="112" spans="1:17" ht="19.5" customHeight="1">
      <c r="A112" s="42" t="s">
        <v>68</v>
      </c>
      <c r="B112" s="39"/>
      <c r="C112" s="39"/>
      <c r="D112" s="39"/>
      <c r="E112" s="42"/>
      <c r="F112" s="42"/>
      <c r="G112" s="42"/>
      <c r="H112" s="39"/>
      <c r="M112" s="919"/>
      <c r="N112" s="919"/>
      <c r="O112" s="919"/>
      <c r="P112" s="918"/>
      <c r="Q112" s="1" t="s">
        <v>189</v>
      </c>
    </row>
    <row r="113" spans="1:17" ht="19.5" customHeight="1">
      <c r="A113" s="1005" t="s">
        <v>190</v>
      </c>
      <c r="B113" s="1005"/>
      <c r="C113" s="1005"/>
      <c r="D113" s="1005"/>
      <c r="E113" s="1005"/>
      <c r="F113" s="1005"/>
      <c r="G113" s="1005"/>
      <c r="H113" s="1005"/>
      <c r="I113" s="39"/>
      <c r="J113" s="39"/>
      <c r="K113" s="39"/>
      <c r="L113" s="39"/>
      <c r="M113" s="919"/>
      <c r="N113" s="919"/>
      <c r="O113" s="919"/>
      <c r="P113" s="918"/>
      <c r="Q113" s="1" t="s">
        <v>191</v>
      </c>
    </row>
    <row r="114" spans="1:17" ht="19.5" customHeight="1">
      <c r="A114" s="1005" t="s">
        <v>192</v>
      </c>
      <c r="B114" s="1005"/>
      <c r="C114" s="1005"/>
      <c r="D114" s="1005"/>
      <c r="E114" s="1005"/>
      <c r="F114" s="1005"/>
      <c r="G114" s="1005"/>
      <c r="H114" s="1005"/>
      <c r="I114" s="39"/>
      <c r="J114" s="39"/>
      <c r="K114" s="39"/>
      <c r="L114" s="39"/>
      <c r="M114" s="919"/>
      <c r="N114" s="919"/>
      <c r="O114" s="919"/>
      <c r="P114" s="918"/>
      <c r="Q114" s="1" t="s">
        <v>193</v>
      </c>
    </row>
    <row r="115" spans="1:17" ht="15" customHeight="1">
      <c r="A115" s="1005" t="s">
        <v>194</v>
      </c>
      <c r="B115" s="1005"/>
      <c r="C115" s="1005"/>
      <c r="D115" s="1005"/>
      <c r="E115" s="1005"/>
      <c r="F115" s="1005"/>
      <c r="G115" s="1005"/>
      <c r="H115" s="1005"/>
      <c r="I115" s="39"/>
      <c r="J115" s="39"/>
      <c r="K115" s="39"/>
      <c r="L115" s="39"/>
      <c r="M115" s="919"/>
      <c r="N115" s="919"/>
      <c r="O115" s="919"/>
      <c r="P115" s="918"/>
    </row>
    <row r="116" spans="1:17" ht="21" customHeight="1">
      <c r="A116" s="1005" t="s">
        <v>195</v>
      </c>
      <c r="B116" s="1005"/>
      <c r="C116" s="1005"/>
      <c r="D116" s="1005"/>
      <c r="E116" s="1005"/>
      <c r="F116" s="1005"/>
      <c r="G116" s="1005"/>
      <c r="H116" s="1005"/>
      <c r="I116" s="39"/>
      <c r="J116" s="39"/>
      <c r="K116" s="39"/>
      <c r="L116" s="39"/>
      <c r="M116" s="919"/>
      <c r="N116" s="919"/>
      <c r="O116" s="919"/>
      <c r="P116" s="918"/>
    </row>
    <row r="117" spans="1:17" ht="19.5" customHeight="1">
      <c r="I117" s="39"/>
      <c r="J117" s="39"/>
      <c r="K117" s="39"/>
      <c r="L117" s="39"/>
      <c r="M117" s="919"/>
      <c r="N117" s="919"/>
      <c r="O117" s="919"/>
      <c r="P117" s="918"/>
    </row>
    <row r="118" spans="1:17" ht="19.5" customHeight="1">
      <c r="A118" s="920" t="s">
        <v>196</v>
      </c>
      <c r="E118" s="27"/>
      <c r="F118" s="27"/>
      <c r="G118" s="27"/>
      <c r="M118" s="50"/>
      <c r="N118" s="50"/>
      <c r="O118" s="50"/>
      <c r="P118" s="918"/>
    </row>
    <row r="119" spans="1:17" ht="35.5" customHeight="1">
      <c r="A119" s="1002" t="str">
        <f ca="1">'Data Alat'!A42</f>
        <v>Alat yang dikalibrasi dalam batas toleransi dan dinyatakan LAIK PAKAI, dimana hasil atau skor akhir sama dengan atau melampaui 70% berdasarkan Keputusan Direktur Jenderal Pelayanan Kesehatan No : HK.02.02/V/0412/2020</v>
      </c>
      <c r="B119" s="1002"/>
      <c r="C119" s="1002"/>
      <c r="D119" s="1002"/>
      <c r="E119" s="1002"/>
      <c r="F119" s="1002"/>
      <c r="G119" s="1002"/>
      <c r="H119" s="1002"/>
      <c r="I119" s="1002"/>
      <c r="J119" s="1002"/>
      <c r="K119" s="1002"/>
      <c r="L119" s="1002"/>
      <c r="M119" s="1002"/>
      <c r="N119" s="1002"/>
      <c r="O119" s="50"/>
      <c r="P119" s="918"/>
    </row>
    <row r="120" spans="1:17" ht="19.5" customHeight="1">
      <c r="I120" s="39"/>
      <c r="J120" s="39"/>
      <c r="K120" s="39"/>
      <c r="L120" s="848"/>
      <c r="M120" s="919"/>
      <c r="N120" s="919"/>
      <c r="O120" s="919"/>
    </row>
    <row r="121" spans="1:17" ht="16.5" customHeight="1">
      <c r="A121" s="934" t="str">
        <f>'Lembar Penyelia'!B76</f>
        <v>Petugas kalibrasi</v>
      </c>
      <c r="E121" s="27"/>
      <c r="F121" s="27"/>
      <c r="G121" s="27"/>
      <c r="L121" s="124"/>
      <c r="M121" s="919"/>
      <c r="N121" s="50"/>
      <c r="O121" s="1004"/>
    </row>
    <row r="122" spans="1:17" ht="19.5" customHeight="1">
      <c r="A122" s="1005" t="s">
        <v>412</v>
      </c>
      <c r="B122" s="1005"/>
      <c r="C122" s="1005"/>
      <c r="O122" s="1004"/>
    </row>
    <row r="123" spans="1:17" ht="20.149999999999999" customHeight="1"/>
    <row r="124" spans="1:17" ht="16.5" customHeight="1">
      <c r="A124" s="27" t="s">
        <v>198</v>
      </c>
      <c r="E124" s="27"/>
      <c r="F124" s="27"/>
      <c r="G124" s="27"/>
    </row>
    <row r="125" spans="1:17" ht="20.149999999999999" customHeight="1">
      <c r="A125" s="1005" t="s">
        <v>577</v>
      </c>
      <c r="B125" s="1005"/>
      <c r="C125" s="1005"/>
      <c r="E125" s="27"/>
      <c r="F125" s="27"/>
      <c r="G125" s="27"/>
      <c r="L125" s="20"/>
    </row>
    <row r="126" spans="1:17" ht="20.149999999999999" customHeight="1">
      <c r="D126" s="39"/>
      <c r="E126" s="42"/>
      <c r="F126" s="27"/>
      <c r="G126" s="27"/>
      <c r="L126" s="22"/>
    </row>
    <row r="127" spans="1:17" ht="16.5" customHeight="1">
      <c r="A127" s="124"/>
      <c r="E127" s="27"/>
      <c r="F127" s="27"/>
      <c r="G127" s="27"/>
    </row>
    <row r="128" spans="1:17" ht="20.149999999999999" customHeight="1">
      <c r="D128" s="24"/>
      <c r="E128" s="24"/>
      <c r="F128" s="24"/>
      <c r="G128" s="24"/>
      <c r="H128" s="24"/>
      <c r="I128" s="24"/>
      <c r="J128" s="24"/>
    </row>
    <row r="129" spans="2:28" ht="20.149999999999999" customHeight="1">
      <c r="B129" s="39"/>
      <c r="C129" s="39"/>
      <c r="D129" s="39"/>
      <c r="M129" s="26"/>
      <c r="N129" s="26"/>
      <c r="P129" s="182"/>
    </row>
    <row r="130" spans="2:28" ht="20.25" customHeight="1">
      <c r="M130" s="26"/>
      <c r="N130" s="26"/>
      <c r="P130" s="182"/>
    </row>
    <row r="131" spans="2:28" ht="20.25" customHeight="1"/>
    <row r="132" spans="2:28" ht="20.25" customHeight="1">
      <c r="Z132" s="27"/>
      <c r="AA132" s="27"/>
      <c r="AB132" s="27"/>
    </row>
    <row r="133" spans="2:28" ht="20.25" customHeight="1"/>
    <row r="134" spans="2:28" ht="20.25" customHeight="1"/>
    <row r="135" spans="2:28" ht="20.25" customHeight="1">
      <c r="B135" s="479"/>
      <c r="C135" s="479"/>
      <c r="D135" s="479"/>
      <c r="E135" s="479"/>
      <c r="F135" s="479"/>
      <c r="G135" s="479"/>
      <c r="H135" s="479"/>
    </row>
    <row r="136" spans="2:28" ht="20.25" customHeight="1"/>
    <row r="137" spans="2:28" ht="20.25" customHeight="1"/>
    <row r="138" spans="2:28" ht="20.25" customHeight="1"/>
    <row r="140" spans="2:28" ht="18.5">
      <c r="K140" s="921"/>
    </row>
    <row r="141" spans="2:28" ht="18.5" hidden="1">
      <c r="K141" s="921"/>
    </row>
    <row r="142" spans="2:28" ht="18.5">
      <c r="K142" s="921"/>
    </row>
    <row r="144" spans="2:28">
      <c r="K144" s="124"/>
    </row>
    <row r="145" spans="1:37" ht="18.5">
      <c r="K145" s="182"/>
      <c r="Z145" s="1007"/>
      <c r="AA145" s="1007"/>
      <c r="AB145" s="1007"/>
      <c r="AC145" s="1007"/>
      <c r="AD145" s="1007"/>
      <c r="AE145" s="1007"/>
      <c r="AF145" s="1007"/>
      <c r="AG145" s="1007"/>
      <c r="AH145" s="1007"/>
      <c r="AI145" s="1007"/>
      <c r="AJ145" s="1007"/>
      <c r="AK145" s="1007"/>
    </row>
    <row r="146" spans="1:37" ht="18.5">
      <c r="K146" s="182"/>
      <c r="Z146" s="1007"/>
      <c r="AA146" s="1007"/>
      <c r="AB146" s="1007"/>
      <c r="AC146" s="1007"/>
      <c r="AD146" s="1007"/>
      <c r="AE146" s="1007"/>
      <c r="AF146" s="1007"/>
      <c r="AG146" s="1007"/>
      <c r="AH146" s="30"/>
      <c r="AI146" s="30"/>
      <c r="AJ146" s="266"/>
      <c r="AK146" s="266"/>
    </row>
    <row r="147" spans="1:37">
      <c r="K147" s="124"/>
      <c r="Z147" s="1007"/>
      <c r="AA147" s="1007"/>
      <c r="AB147" s="1007"/>
      <c r="AC147" s="1007"/>
      <c r="AD147" s="1007"/>
      <c r="AE147" s="1007"/>
      <c r="AF147" s="1007"/>
      <c r="AG147" s="1007"/>
      <c r="AH147" s="20"/>
      <c r="AI147" s="30"/>
      <c r="AJ147" s="266"/>
      <c r="AK147" s="266"/>
    </row>
    <row r="148" spans="1:37">
      <c r="AD148" s="29"/>
      <c r="AE148" s="29"/>
      <c r="AF148" s="29"/>
    </row>
    <row r="149" spans="1:37" ht="18.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Z149" s="1004"/>
      <c r="AA149" s="1004"/>
      <c r="AB149" s="1004"/>
      <c r="AC149" s="20"/>
      <c r="AD149" s="29"/>
      <c r="AE149" s="29"/>
      <c r="AF149" s="29"/>
      <c r="AI149" s="266"/>
      <c r="AJ149" s="999"/>
      <c r="AK149" s="999"/>
    </row>
    <row r="150" spans="1:37" ht="18.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Z150" s="1004"/>
      <c r="AA150" s="1004"/>
      <c r="AB150" s="1004"/>
      <c r="AC150" s="20"/>
      <c r="AD150" s="29"/>
      <c r="AE150" s="29"/>
      <c r="AF150" s="29"/>
      <c r="AI150" s="266"/>
      <c r="AJ150" s="999"/>
      <c r="AK150" s="999"/>
    </row>
    <row r="151" spans="1:37" ht="18.5">
      <c r="A151" s="39"/>
      <c r="B151" s="177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Z151" s="1004"/>
      <c r="AA151" s="1004"/>
      <c r="AB151" s="1004"/>
      <c r="AC151" s="22"/>
      <c r="AI151" s="14"/>
      <c r="AJ151" s="999"/>
      <c r="AK151" s="999"/>
    </row>
    <row r="152" spans="1:37" ht="18.5">
      <c r="A152" s="39"/>
      <c r="B152" s="39"/>
      <c r="C152" s="39"/>
      <c r="D152" s="39"/>
      <c r="E152" s="39"/>
      <c r="F152" s="39"/>
      <c r="G152" s="39" t="s">
        <v>199</v>
      </c>
      <c r="H152" s="39"/>
      <c r="I152" s="39"/>
      <c r="J152" s="39"/>
      <c r="K152" s="39"/>
      <c r="L152" s="39"/>
      <c r="M152" s="39"/>
      <c r="N152" s="39"/>
      <c r="O152" s="39"/>
      <c r="Z152" s="1004"/>
      <c r="AA152" s="1004"/>
      <c r="AB152" s="1004"/>
      <c r="AC152" s="124"/>
      <c r="AF152" s="26"/>
      <c r="AG152" s="26"/>
      <c r="AI152" s="14"/>
      <c r="AJ152" s="999"/>
      <c r="AK152" s="999"/>
    </row>
    <row r="153" spans="1:37" ht="18.5" outlineLevel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Z153" s="1004"/>
      <c r="AA153" s="1004"/>
      <c r="AB153" s="1004"/>
      <c r="AC153" s="124"/>
      <c r="AF153" s="26"/>
      <c r="AG153" s="26"/>
      <c r="AI153" s="20"/>
      <c r="AJ153" s="999"/>
      <c r="AK153" s="999"/>
    </row>
    <row r="154" spans="1:3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Z154" s="1004"/>
      <c r="AA154" s="1004"/>
      <c r="AB154" s="1004"/>
      <c r="AC154" s="20"/>
    </row>
    <row r="155" spans="1:37" hidden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Z155" s="1004"/>
      <c r="AA155" s="1004"/>
      <c r="AB155" s="1004"/>
      <c r="AC155" s="20"/>
    </row>
    <row r="156" spans="1:37">
      <c r="A156" s="39"/>
      <c r="B156" s="39"/>
      <c r="C156" s="202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Z156" s="1004"/>
      <c r="AA156" s="1004"/>
      <c r="AB156" s="1004"/>
      <c r="AC156" s="20"/>
    </row>
    <row r="157" spans="1:37">
      <c r="A157" s="39"/>
      <c r="B157" s="177"/>
      <c r="C157" s="202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</row>
    <row r="158" spans="1:37">
      <c r="A158" s="39"/>
      <c r="B158" s="177"/>
      <c r="C158" s="202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</row>
    <row r="159" spans="1:37">
      <c r="A159" s="39"/>
      <c r="B159" s="177"/>
      <c r="C159" s="202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</row>
    <row r="160" spans="1:37">
      <c r="A160" s="39"/>
      <c r="B160" s="177"/>
      <c r="C160" s="202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</row>
    <row r="161" spans="1:53">
      <c r="A161" s="39"/>
      <c r="B161" s="177"/>
      <c r="C161" s="202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</row>
    <row r="162" spans="1:53">
      <c r="A162" s="39"/>
      <c r="B162" s="177"/>
      <c r="C162" s="202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</row>
    <row r="163" spans="1:53">
      <c r="A163" s="39"/>
      <c r="B163" s="178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</row>
    <row r="164" spans="1:53">
      <c r="A164" s="39"/>
      <c r="B164" s="178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</row>
    <row r="165" spans="1:5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</row>
    <row r="170" spans="1:53" ht="18.5">
      <c r="P170" s="29"/>
      <c r="Q170" s="29"/>
      <c r="T170" s="266"/>
      <c r="U170" s="999"/>
      <c r="V170" s="999"/>
    </row>
    <row r="171" spans="1:53" ht="18.5">
      <c r="P171" s="29"/>
      <c r="Q171" s="29"/>
      <c r="T171" s="266"/>
      <c r="U171" s="999"/>
      <c r="V171" s="999"/>
    </row>
    <row r="172" spans="1:53" ht="294.75" customHeight="1">
      <c r="T172" s="14"/>
      <c r="U172" s="999"/>
      <c r="V172" s="999"/>
      <c r="BA172" s="792" t="s">
        <v>170</v>
      </c>
    </row>
    <row r="173" spans="1:53" ht="309.75" customHeight="1">
      <c r="Q173" s="26"/>
      <c r="R173" s="26"/>
      <c r="T173" s="14"/>
      <c r="U173" s="999"/>
      <c r="V173" s="999"/>
      <c r="BA173" s="792" t="s">
        <v>200</v>
      </c>
    </row>
    <row r="174" spans="1:53" ht="18.5">
      <c r="Q174" s="26"/>
      <c r="R174" s="26"/>
      <c r="T174" s="20"/>
      <c r="U174" s="999"/>
      <c r="V174" s="999"/>
    </row>
    <row r="175" spans="1:53" ht="18.5">
      <c r="Q175" s="26"/>
      <c r="R175" s="26"/>
      <c r="T175" s="20"/>
      <c r="U175" s="999"/>
      <c r="V175" s="999"/>
    </row>
    <row r="176" spans="1:53" ht="18.5">
      <c r="Q176" s="26"/>
      <c r="R176" s="26"/>
      <c r="T176" s="266"/>
      <c r="U176" s="999"/>
      <c r="V176" s="999"/>
    </row>
    <row r="177" spans="17:22" ht="18.5">
      <c r="Q177" s="26"/>
      <c r="R177" s="26"/>
      <c r="T177" s="266"/>
      <c r="U177" s="999"/>
      <c r="V177" s="999"/>
    </row>
  </sheetData>
  <sheetProtection formatCells="0" formatColumns="0" formatRows="0" insertColumns="0" insertRows="0" deleteColumns="0" deleteRows="0"/>
  <mergeCells count="133">
    <mergeCell ref="A125:C125"/>
    <mergeCell ref="P27:P30"/>
    <mergeCell ref="K27:L27"/>
    <mergeCell ref="K28:L28"/>
    <mergeCell ref="K29:L29"/>
    <mergeCell ref="K30:L30"/>
    <mergeCell ref="K31:L31"/>
    <mergeCell ref="I5:J5"/>
    <mergeCell ref="I6:J6"/>
    <mergeCell ref="N27:O31"/>
    <mergeCell ref="A63:A70"/>
    <mergeCell ref="K32:L32"/>
    <mergeCell ref="C41:D41"/>
    <mergeCell ref="E41:F41"/>
    <mergeCell ref="H41:J41"/>
    <mergeCell ref="A60:B60"/>
    <mergeCell ref="C60:H60"/>
    <mergeCell ref="C95:G95"/>
    <mergeCell ref="H95:L95"/>
    <mergeCell ref="A61:A62"/>
    <mergeCell ref="B61:B62"/>
    <mergeCell ref="E40:F40"/>
    <mergeCell ref="C40:D40"/>
    <mergeCell ref="E39:F39"/>
    <mergeCell ref="C39:D39"/>
    <mergeCell ref="C61:L61"/>
    <mergeCell ref="A43:B43"/>
    <mergeCell ref="C43:E43"/>
    <mergeCell ref="H40:J40"/>
    <mergeCell ref="H39:J39"/>
    <mergeCell ref="B44:M58"/>
    <mergeCell ref="A59:B59"/>
    <mergeCell ref="A1:O1"/>
    <mergeCell ref="C13:J13"/>
    <mergeCell ref="C14:J14"/>
    <mergeCell ref="C22:D22"/>
    <mergeCell ref="C23:D23"/>
    <mergeCell ref="B26:H26"/>
    <mergeCell ref="I26:J26"/>
    <mergeCell ref="K26:L26"/>
    <mergeCell ref="G22:K23"/>
    <mergeCell ref="C9:E9"/>
    <mergeCell ref="C10:D10"/>
    <mergeCell ref="S37:X37"/>
    <mergeCell ref="K39:O39"/>
    <mergeCell ref="L40:M40"/>
    <mergeCell ref="N40:O40"/>
    <mergeCell ref="P40:Q40"/>
    <mergeCell ref="Z153:AB153"/>
    <mergeCell ref="AJ153:AK153"/>
    <mergeCell ref="Z154:AB154"/>
    <mergeCell ref="Z155:AB155"/>
    <mergeCell ref="Q85:Q86"/>
    <mergeCell ref="R85:R86"/>
    <mergeCell ref="S85:S86"/>
    <mergeCell ref="T85:T86"/>
    <mergeCell ref="N85:N86"/>
    <mergeCell ref="O85:O86"/>
    <mergeCell ref="K100:L100"/>
    <mergeCell ref="M85:M86"/>
    <mergeCell ref="P60:R60"/>
    <mergeCell ref="Z156:AB156"/>
    <mergeCell ref="U170:V170"/>
    <mergeCell ref="U171:V171"/>
    <mergeCell ref="Z145:AK145"/>
    <mergeCell ref="U172:V172"/>
    <mergeCell ref="Z146:AG146"/>
    <mergeCell ref="Z147:AG147"/>
    <mergeCell ref="Z149:AB149"/>
    <mergeCell ref="AJ149:AK149"/>
    <mergeCell ref="Z150:AB150"/>
    <mergeCell ref="AJ150:AK150"/>
    <mergeCell ref="Z151:AB151"/>
    <mergeCell ref="AJ151:AK151"/>
    <mergeCell ref="Z152:AB152"/>
    <mergeCell ref="AJ152:AK152"/>
    <mergeCell ref="U174:V174"/>
    <mergeCell ref="K103:L103"/>
    <mergeCell ref="K102:L102"/>
    <mergeCell ref="K101:L101"/>
    <mergeCell ref="A119:N119"/>
    <mergeCell ref="U175:V175"/>
    <mergeCell ref="U176:V176"/>
    <mergeCell ref="U177:V177"/>
    <mergeCell ref="M106:M107"/>
    <mergeCell ref="N106:N107"/>
    <mergeCell ref="O106:O107"/>
    <mergeCell ref="O121:O122"/>
    <mergeCell ref="A114:H114"/>
    <mergeCell ref="U173:V173"/>
    <mergeCell ref="C104:J104"/>
    <mergeCell ref="C103:J103"/>
    <mergeCell ref="K104:L104"/>
    <mergeCell ref="A122:C122"/>
    <mergeCell ref="A116:H116"/>
    <mergeCell ref="A115:H115"/>
    <mergeCell ref="A113:H113"/>
    <mergeCell ref="C102:J102"/>
    <mergeCell ref="C101:J101"/>
    <mergeCell ref="A104:B104"/>
    <mergeCell ref="C99:J99"/>
    <mergeCell ref="C98:J98"/>
    <mergeCell ref="C97:J97"/>
    <mergeCell ref="K97:L97"/>
    <mergeCell ref="A97:B97"/>
    <mergeCell ref="A87:A93"/>
    <mergeCell ref="M95:M96"/>
    <mergeCell ref="C96:G96"/>
    <mergeCell ref="H96:L96"/>
    <mergeCell ref="Y19:Z19"/>
    <mergeCell ref="Y20:Z20"/>
    <mergeCell ref="B28:G28"/>
    <mergeCell ref="B30:G30"/>
    <mergeCell ref="A103:B103"/>
    <mergeCell ref="A102:B102"/>
    <mergeCell ref="A101:B101"/>
    <mergeCell ref="A100:B100"/>
    <mergeCell ref="A99:B99"/>
    <mergeCell ref="A98:B98"/>
    <mergeCell ref="C100:J100"/>
    <mergeCell ref="K99:L99"/>
    <mergeCell ref="K98:L98"/>
    <mergeCell ref="A71:B71"/>
    <mergeCell ref="A72:B72"/>
    <mergeCell ref="A85:A86"/>
    <mergeCell ref="B85:B86"/>
    <mergeCell ref="C85:L85"/>
    <mergeCell ref="A95:B95"/>
    <mergeCell ref="A96:B96"/>
    <mergeCell ref="C71:G71"/>
    <mergeCell ref="H71:L71"/>
    <mergeCell ref="C72:G72"/>
    <mergeCell ref="H72:L72"/>
  </mergeCells>
  <dataValidations count="11">
    <dataValidation type="list" allowBlank="1" showInputMessage="1" showErrorMessage="1" sqref="C24" xr:uid="{00000000-0002-0000-0100-000000000000}">
      <formula1>$N$25:$N$26</formula1>
    </dataValidation>
    <dataValidation type="list" allowBlank="1" showInputMessage="1" showErrorMessage="1" sqref="E158 L124:L125 L120:L121 L118" xr:uid="{00000000-0002-0000-0100-000002000000}">
      <formula1>#REF!</formula1>
    </dataValidation>
    <dataValidation type="list" allowBlank="1" showInputMessage="1" showErrorMessage="1" sqref="L127" xr:uid="{00000000-0002-0000-0100-000004000000}">
      <formula1>$G$152:$G$153</formula1>
    </dataValidation>
    <dataValidation type="list" allowBlank="1" showInputMessage="1" showErrorMessage="1" sqref="E157" xr:uid="{00000000-0002-0000-0100-000005000000}">
      <formula1>$M$151:$M$155</formula1>
    </dataValidation>
    <dataValidation type="list" allowBlank="1" showInputMessage="1" showErrorMessage="1" sqref="C110:L110" xr:uid="{B7A6B64C-A625-4245-8521-04F85FF22499}">
      <formula1>$Q$112:$Q$113</formula1>
    </dataValidation>
    <dataValidation type="list" allowBlank="1" showInputMessage="1" showErrorMessage="1" sqref="E8" xr:uid="{31AE67BD-6144-4113-A4B9-06FE73917578}">
      <formula1>$P$9:$P$10</formula1>
    </dataValidation>
    <dataValidation type="list" allowBlank="1" showInputMessage="1" showErrorMessage="1" sqref="B30 H30" xr:uid="{02B46C6F-08CA-47AB-8535-0DCE2EADD0D8}">
      <formula1>$P$19:$P$20</formula1>
    </dataValidation>
    <dataValidation type="list" allowBlank="1" showInputMessage="1" showErrorMessage="1" sqref="B28" xr:uid="{27AE3408-A84C-444A-B1BF-37FD672A0E8D}">
      <formula1>$X$19:$X$20</formula1>
    </dataValidation>
    <dataValidation type="list" allowBlank="1" showInputMessage="1" showErrorMessage="1" sqref="P25" xr:uid="{1DBFD86C-D845-4D3E-8E1A-FBC2695C00F6}">
      <formula1>$P$22:$P$23</formula1>
    </dataValidation>
    <dataValidation type="list" allowBlank="1" showInputMessage="1" showErrorMessage="1" sqref="C43" xr:uid="{2C800503-FDBF-4663-81D6-1E0171209856}">
      <formula1>$BA$172:$BA$173</formula1>
    </dataValidation>
    <dataValidation type="list" allowBlank="1" showInputMessage="1" showErrorMessage="1" sqref="C22:D22 C23:D23" xr:uid="{5E44539F-FB31-49FB-B878-520186EF7387}">
      <formula1>$T$22:$T$23</formula1>
    </dataValidation>
  </dataValidations>
  <printOptions horizontalCentered="1"/>
  <pageMargins left="0.62992125984251968" right="0.23622047244094491" top="0.59055118110236227" bottom="0.23622047244094491" header="0.23622047244094491" footer="0.23622047244094491"/>
  <pageSetup paperSize="9" scale="56" orientation="portrait" r:id="rId1"/>
  <headerFooter>
    <oddHeader>&amp;R&amp;"-,Regular"&amp;8SH.ID - 031-18 / Rev 0</oddHeader>
  </headerFooter>
  <rowBreaks count="1" manualBreakCount="1">
    <brk id="84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D000000}">
          <x14:formula1>
            <xm:f>'Data Alat'!$O$6:$O$30</xm:f>
          </x14:formula1>
          <xm:sqref>A122</xm:sqref>
        </x14:dataValidation>
        <x14:dataValidation type="list" allowBlank="1" showInputMessage="1" showErrorMessage="1" xr:uid="{3A530EE3-F94A-4182-BBC9-AC82AA1388BD}">
          <x14:formula1>
            <xm:f>'Data Alat'!$A$4:$A$19</xm:f>
          </x14:formula1>
          <xm:sqref>A113:H113</xm:sqref>
        </x14:dataValidation>
        <x14:dataValidation type="list" allowBlank="1" showInputMessage="1" showErrorMessage="1" xr:uid="{CF0D1843-DE91-40DB-B8D9-C70BD21CB21D}">
          <x14:formula1>
            <xm:f>'Data Alat'!$A$20:$A$24</xm:f>
          </x14:formula1>
          <xm:sqref>A114:H114</xm:sqref>
        </x14:dataValidation>
        <x14:dataValidation type="list" allowBlank="1" showInputMessage="1" showErrorMessage="1" xr:uid="{782FFAC6-AD6D-4EE8-9D3E-D6CC6A4E4246}">
          <x14:formula1>
            <xm:f>'DB Kelistrikan'!$A$299:$A$310</xm:f>
          </x14:formula1>
          <xm:sqref>A115:H115</xm:sqref>
        </x14:dataValidation>
        <x14:dataValidation type="list" allowBlank="1" showInputMessage="1" showErrorMessage="1" xr:uid="{0B3C0405-B2F6-449B-894B-9E57FED75DC3}">
          <x14:formula1>
            <xm:f>'DB Thermohygro'!$A$390:$A$408</xm:f>
          </x14:formula1>
          <xm:sqref>A116:H116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B050"/>
  </sheetPr>
  <dimension ref="A2:IP88"/>
  <sheetViews>
    <sheetView showGridLines="0" view="pageBreakPreview" zoomScale="87" zoomScaleNormal="80" zoomScaleSheetLayoutView="87" workbookViewId="0">
      <selection activeCell="F10" sqref="F10"/>
    </sheetView>
  </sheetViews>
  <sheetFormatPr defaultColWidth="9" defaultRowHeight="13"/>
  <cols>
    <col min="1" max="1" width="14.81640625" style="65" customWidth="1"/>
    <col min="2" max="2" width="14.1796875" style="65" customWidth="1"/>
    <col min="3" max="3" width="4" style="65" customWidth="1"/>
    <col min="4" max="4" width="6.54296875" style="65" customWidth="1"/>
    <col min="5" max="5" width="10.54296875" style="65" customWidth="1"/>
    <col min="6" max="6" width="8.453125" style="65" customWidth="1"/>
    <col min="7" max="7" width="9.453125" style="65" customWidth="1"/>
    <col min="8" max="8" width="11.453125" style="65" customWidth="1"/>
    <col min="9" max="9" width="8.1796875" style="65" customWidth="1"/>
    <col min="10" max="10" width="4" style="65" hidden="1"/>
    <col min="11" max="11" width="12.54296875" style="65" customWidth="1"/>
    <col min="12" max="12" width="8.54296875" style="65" customWidth="1"/>
    <col min="13" max="13" width="19.54296875" style="65" customWidth="1"/>
    <col min="14" max="14" width="20.453125" style="65" customWidth="1"/>
    <col min="15" max="21" width="9.1796875" style="65" customWidth="1"/>
    <col min="22" max="22" width="17.54296875" style="65" customWidth="1"/>
    <col min="23" max="250" width="9.1796875" style="65" customWidth="1"/>
  </cols>
  <sheetData>
    <row r="2" spans="1:14" ht="18.5">
      <c r="A2" s="1083" t="s">
        <v>201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1083"/>
    </row>
    <row r="3" spans="1:14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4" ht="18" customHeight="1">
      <c r="A5" s="67" t="s">
        <v>202</v>
      </c>
      <c r="B5" s="68">
        <f>ID!C8</f>
        <v>1</v>
      </c>
      <c r="C5" s="67" t="s">
        <v>203</v>
      </c>
      <c r="D5" s="68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8" customHeight="1">
      <c r="A6" s="67" t="s">
        <v>204</v>
      </c>
      <c r="B6" s="286">
        <f>ID!A63</f>
        <v>-33</v>
      </c>
      <c r="C6" s="67" t="s">
        <v>203</v>
      </c>
      <c r="D6" s="67"/>
      <c r="E6" s="67"/>
      <c r="F6" s="67"/>
      <c r="G6" s="67"/>
      <c r="H6" s="67"/>
      <c r="I6" s="91"/>
      <c r="J6" s="67"/>
      <c r="K6" s="67"/>
      <c r="L6" s="67"/>
      <c r="M6" s="67"/>
      <c r="N6" s="67"/>
    </row>
    <row r="7" spans="1:14" ht="18" customHeight="1">
      <c r="A7" s="1054" t="s">
        <v>205</v>
      </c>
      <c r="B7" s="1054"/>
      <c r="C7" s="1054"/>
      <c r="D7" s="1054" t="s">
        <v>206</v>
      </c>
      <c r="E7" s="1054" t="s">
        <v>207</v>
      </c>
      <c r="F7" s="1054" t="s">
        <v>208</v>
      </c>
      <c r="G7" s="1054" t="s">
        <v>209</v>
      </c>
      <c r="H7" s="1054" t="s">
        <v>210</v>
      </c>
      <c r="I7" s="1054" t="s">
        <v>211</v>
      </c>
      <c r="J7" s="1054"/>
      <c r="K7" s="1054" t="s">
        <v>212</v>
      </c>
      <c r="L7" s="1054" t="s">
        <v>213</v>
      </c>
      <c r="M7" s="1054" t="s">
        <v>214</v>
      </c>
      <c r="N7" s="1054" t="s">
        <v>215</v>
      </c>
    </row>
    <row r="8" spans="1:14" ht="18" customHeight="1">
      <c r="A8" s="1054"/>
      <c r="B8" s="1054"/>
      <c r="C8" s="1054"/>
      <c r="D8" s="1054"/>
      <c r="E8" s="1054"/>
      <c r="F8" s="1054"/>
      <c r="G8" s="1054"/>
      <c r="H8" s="1054"/>
      <c r="I8" s="1054"/>
      <c r="J8" s="1054"/>
      <c r="K8" s="1054"/>
      <c r="L8" s="1054"/>
      <c r="M8" s="1054"/>
      <c r="N8" s="1054"/>
    </row>
    <row r="9" spans="1:14" ht="18" customHeight="1">
      <c r="A9" s="1080" t="s">
        <v>216</v>
      </c>
      <c r="B9" s="1081"/>
      <c r="C9" s="1082"/>
      <c r="D9" s="70" t="s">
        <v>217</v>
      </c>
      <c r="E9" s="69" t="s">
        <v>218</v>
      </c>
      <c r="F9" s="71">
        <f>'Data Standar'!C245</f>
        <v>0.11</v>
      </c>
      <c r="G9" s="171">
        <v>2</v>
      </c>
      <c r="H9" s="171">
        <f>F9/G9</f>
        <v>5.5E-2</v>
      </c>
      <c r="I9" s="69">
        <v>1</v>
      </c>
      <c r="J9" s="69"/>
      <c r="K9" s="171">
        <f t="shared" ref="K9:K15" si="0">H9*I9</f>
        <v>5.5E-2</v>
      </c>
      <c r="L9" s="92">
        <v>50</v>
      </c>
      <c r="M9" s="93">
        <f>(H9*I9)^2</f>
        <v>3.0249999999999999E-3</v>
      </c>
      <c r="N9" s="175">
        <f t="shared" ref="N9:N15" si="1">(K9)^4/L9</f>
        <v>1.8301250000000001E-7</v>
      </c>
    </row>
    <row r="10" spans="1:14" ht="18" customHeight="1">
      <c r="A10" s="1080" t="s">
        <v>219</v>
      </c>
      <c r="B10" s="1081"/>
      <c r="C10" s="1082"/>
      <c r="D10" s="70" t="s">
        <v>217</v>
      </c>
      <c r="E10" s="69" t="s">
        <v>220</v>
      </c>
      <c r="F10" s="71">
        <f ca="1">'Data Standar'!C244</f>
        <v>3.6666666666666667E-2</v>
      </c>
      <c r="G10" s="93">
        <f t="shared" ref="G10:G15" si="2">SQRT(3)</f>
        <v>1.7320508075688772</v>
      </c>
      <c r="H10" s="171">
        <f ca="1">F10/G10</f>
        <v>2.116950987028628E-2</v>
      </c>
      <c r="I10" s="92">
        <v>1</v>
      </c>
      <c r="J10" s="69"/>
      <c r="K10" s="171">
        <f t="shared" ca="1" si="0"/>
        <v>2.116950987028628E-2</v>
      </c>
      <c r="L10" s="92">
        <v>50</v>
      </c>
      <c r="M10" s="93">
        <f ca="1">(H10*I10)^2</f>
        <v>4.4814814814814826E-4</v>
      </c>
      <c r="N10" s="175">
        <f t="shared" ca="1" si="1"/>
        <v>4.0167352537722931E-9</v>
      </c>
    </row>
    <row r="11" spans="1:14" ht="18" customHeight="1">
      <c r="A11" s="1070" t="s">
        <v>221</v>
      </c>
      <c r="B11" s="1070"/>
      <c r="C11" s="1070"/>
      <c r="D11" s="70" t="s">
        <v>217</v>
      </c>
      <c r="E11" s="69" t="s">
        <v>220</v>
      </c>
      <c r="F11" s="71">
        <f>B5/2</f>
        <v>0.5</v>
      </c>
      <c r="G11" s="171">
        <f t="shared" si="2"/>
        <v>1.7320508075688772</v>
      </c>
      <c r="H11" s="171">
        <f t="shared" ref="H11:H15" si="3">F11/G11</f>
        <v>0.28867513459481292</v>
      </c>
      <c r="I11" s="69">
        <v>1</v>
      </c>
      <c r="J11" s="70"/>
      <c r="K11" s="171">
        <f t="shared" si="0"/>
        <v>0.28867513459481292</v>
      </c>
      <c r="L11" s="92">
        <v>50</v>
      </c>
      <c r="M11" s="93">
        <f t="shared" ref="M11:M15" si="4">(H11*I11)^2</f>
        <v>8.3333333333333356E-2</v>
      </c>
      <c r="N11" s="175">
        <f t="shared" si="1"/>
        <v>1.3888888888888897E-4</v>
      </c>
    </row>
    <row r="12" spans="1:14" ht="18" customHeight="1">
      <c r="A12" s="1070" t="s">
        <v>222</v>
      </c>
      <c r="B12" s="1070"/>
      <c r="C12" s="1070"/>
      <c r="D12" s="70" t="s">
        <v>217</v>
      </c>
      <c r="E12" s="69" t="s">
        <v>220</v>
      </c>
      <c r="F12" s="71">
        <f ca="1">ID!K99/2</f>
        <v>3.4999999999996589E-2</v>
      </c>
      <c r="G12" s="171">
        <f t="shared" si="2"/>
        <v>1.7320508075688772</v>
      </c>
      <c r="H12" s="171">
        <f t="shared" ca="1" si="3"/>
        <v>2.0207259421634934E-2</v>
      </c>
      <c r="I12" s="69">
        <v>1</v>
      </c>
      <c r="J12" s="70"/>
      <c r="K12" s="171">
        <f t="shared" ca="1" si="0"/>
        <v>2.0207259421634934E-2</v>
      </c>
      <c r="L12" s="92">
        <v>50</v>
      </c>
      <c r="M12" s="93">
        <f t="shared" ca="1" si="4"/>
        <v>4.0833333333325378E-4</v>
      </c>
      <c r="N12" s="175">
        <f t="shared" ca="1" si="1"/>
        <v>3.3347222222209231E-9</v>
      </c>
    </row>
    <row r="13" spans="1:14" ht="18" customHeight="1">
      <c r="A13" s="1080" t="s">
        <v>223</v>
      </c>
      <c r="B13" s="1081"/>
      <c r="C13" s="1082"/>
      <c r="D13" s="70" t="s">
        <v>217</v>
      </c>
      <c r="E13" s="69" t="s">
        <v>220</v>
      </c>
      <c r="F13" s="71">
        <f ca="1">ID!K100/2</f>
        <v>0</v>
      </c>
      <c r="G13" s="171">
        <f t="shared" si="2"/>
        <v>1.7320508075688772</v>
      </c>
      <c r="H13" s="171">
        <f t="shared" ca="1" si="3"/>
        <v>0</v>
      </c>
      <c r="I13" s="69">
        <v>1</v>
      </c>
      <c r="J13" s="70"/>
      <c r="K13" s="171">
        <f t="shared" ca="1" si="0"/>
        <v>0</v>
      </c>
      <c r="L13" s="92">
        <v>50</v>
      </c>
      <c r="M13" s="93">
        <f t="shared" ca="1" si="4"/>
        <v>0</v>
      </c>
      <c r="N13" s="175">
        <f ca="1">(K13)^4/L13</f>
        <v>0</v>
      </c>
    </row>
    <row r="14" spans="1:14" ht="18" customHeight="1">
      <c r="A14" s="271" t="s">
        <v>224</v>
      </c>
      <c r="B14" s="272"/>
      <c r="C14" s="273"/>
      <c r="D14" s="70" t="s">
        <v>217</v>
      </c>
      <c r="E14" s="69" t="s">
        <v>220</v>
      </c>
      <c r="F14" s="71">
        <f ca="1">ID!K101/2</f>
        <v>3.5000000000000142E-2</v>
      </c>
      <c r="G14" s="171">
        <f t="shared" si="2"/>
        <v>1.7320508075688772</v>
      </c>
      <c r="H14" s="171">
        <f t="shared" ca="1" si="3"/>
        <v>2.0207259421636984E-2</v>
      </c>
      <c r="I14" s="69">
        <v>1</v>
      </c>
      <c r="J14" s="70"/>
      <c r="K14" s="171">
        <f t="shared" ca="1" si="0"/>
        <v>2.0207259421636984E-2</v>
      </c>
      <c r="L14" s="92">
        <v>50</v>
      </c>
      <c r="M14" s="93">
        <f t="shared" ca="1" si="4"/>
        <v>4.0833333333333666E-4</v>
      </c>
      <c r="N14" s="175">
        <f ca="1">(K14)^4/L14</f>
        <v>3.3347222222222768E-9</v>
      </c>
    </row>
    <row r="15" spans="1:14" ht="18" customHeight="1">
      <c r="A15" s="1070" t="s">
        <v>225</v>
      </c>
      <c r="B15" s="1070"/>
      <c r="C15" s="1070"/>
      <c r="D15" s="70" t="s">
        <v>217</v>
      </c>
      <c r="E15" s="69" t="s">
        <v>220</v>
      </c>
      <c r="F15" s="71">
        <f>ID!N95/2</f>
        <v>0</v>
      </c>
      <c r="G15" s="171">
        <f t="shared" si="2"/>
        <v>1.7320508075688772</v>
      </c>
      <c r="H15" s="171">
        <f t="shared" si="3"/>
        <v>0</v>
      </c>
      <c r="I15" s="69">
        <v>1</v>
      </c>
      <c r="J15" s="70"/>
      <c r="K15" s="171">
        <f t="shared" si="0"/>
        <v>0</v>
      </c>
      <c r="L15" s="92">
        <v>50</v>
      </c>
      <c r="M15" s="93">
        <f t="shared" si="4"/>
        <v>0</v>
      </c>
      <c r="N15" s="175">
        <f t="shared" si="1"/>
        <v>0</v>
      </c>
    </row>
    <row r="16" spans="1:14" ht="18" customHeight="1">
      <c r="A16" s="1070"/>
      <c r="B16" s="1070"/>
      <c r="C16" s="1070"/>
      <c r="D16" s="70"/>
      <c r="E16" s="69"/>
      <c r="F16" s="71"/>
      <c r="G16" s="71"/>
      <c r="H16" s="71"/>
      <c r="I16" s="69"/>
      <c r="J16" s="70"/>
      <c r="K16" s="71"/>
      <c r="L16" s="92"/>
      <c r="M16" s="93"/>
      <c r="N16" s="93"/>
    </row>
    <row r="17" spans="1:22" ht="18" customHeight="1">
      <c r="A17" s="67"/>
      <c r="B17" s="67"/>
      <c r="C17" s="67"/>
      <c r="D17" s="67"/>
      <c r="E17" s="68"/>
      <c r="F17" s="67"/>
      <c r="G17" s="67"/>
      <c r="H17" s="1070" t="s">
        <v>226</v>
      </c>
      <c r="I17" s="1070"/>
      <c r="J17" s="1070"/>
      <c r="K17" s="1070"/>
      <c r="L17" s="1070"/>
      <c r="M17" s="94">
        <f ca="1">SQRT(SUM(M9:M16))</f>
        <v>0.29601207432830862</v>
      </c>
      <c r="N17" s="176">
        <f ca="1">SUM(N9:N16)</f>
        <v>1.3908258756858716E-4</v>
      </c>
    </row>
    <row r="18" spans="1:22" ht="18" customHeight="1">
      <c r="A18" s="67"/>
      <c r="B18" s="67"/>
      <c r="C18" s="67"/>
      <c r="D18" s="67"/>
      <c r="E18" s="67"/>
      <c r="F18" s="67"/>
      <c r="G18" s="67"/>
      <c r="H18" s="1070" t="s">
        <v>227</v>
      </c>
      <c r="I18" s="1070"/>
      <c r="J18" s="1070"/>
      <c r="K18" s="1070"/>
      <c r="L18" s="1070"/>
      <c r="M18" s="95"/>
      <c r="N18" s="94">
        <f ca="1">M17^4/N17</f>
        <v>55.203287669680961</v>
      </c>
      <c r="Q18" s="62"/>
      <c r="R18" s="62"/>
      <c r="S18" s="62"/>
      <c r="T18" s="62"/>
      <c r="U18" s="62"/>
      <c r="V18" s="62"/>
    </row>
    <row r="19" spans="1:22" ht="18" customHeight="1">
      <c r="A19" s="67"/>
      <c r="B19" s="67"/>
      <c r="C19" s="67"/>
      <c r="D19" s="67"/>
      <c r="E19" s="67"/>
      <c r="F19" s="67"/>
      <c r="G19" s="67"/>
      <c r="H19" s="1070" t="s">
        <v>228</v>
      </c>
      <c r="I19" s="1070"/>
      <c r="J19" s="1070"/>
      <c r="K19" s="1070"/>
      <c r="L19" s="1070"/>
      <c r="M19" s="96"/>
      <c r="N19" s="97">
        <f ca="1">1.95996+(2.37356/N18)+(2.818745/N18^2)+(2.546662/N18^3)+(1.761829/N18^4)+(0.245458/N18^5)+(1.000764/N18^6)</f>
        <v>2.0038970093030142</v>
      </c>
      <c r="O19" s="712" t="s">
        <v>229</v>
      </c>
      <c r="P19" s="712" t="s">
        <v>230</v>
      </c>
      <c r="Q19" s="713" t="s">
        <v>231</v>
      </c>
      <c r="R19" s="713"/>
      <c r="S19" s="62"/>
      <c r="T19" s="62"/>
      <c r="U19" s="62"/>
      <c r="V19" s="62"/>
    </row>
    <row r="20" spans="1:22" ht="18" customHeight="1">
      <c r="A20" s="67"/>
      <c r="B20" s="67"/>
      <c r="C20" s="67"/>
      <c r="D20" s="67"/>
      <c r="E20" s="67"/>
      <c r="F20" s="67"/>
      <c r="G20" s="67"/>
      <c r="H20" s="1071" t="s">
        <v>232</v>
      </c>
      <c r="I20" s="1071"/>
      <c r="J20" s="1071"/>
      <c r="K20" s="1071"/>
      <c r="L20" s="1071"/>
      <c r="M20" s="98"/>
      <c r="N20" s="99">
        <f ca="1">M17*N19</f>
        <v>0.59317771046407919</v>
      </c>
      <c r="O20" s="714">
        <f ca="1">N20</f>
        <v>0.59317771046407919</v>
      </c>
      <c r="P20" s="712" t="str">
        <f ca="1">IF(O20&gt;=10,"0",IF(O20&lt;1,"0.00","0.0"))</f>
        <v>0.00</v>
      </c>
      <c r="Q20" s="713" t="str">
        <f ca="1">TEXT(O20,$P$20)</f>
        <v>0.59</v>
      </c>
      <c r="R20" s="713"/>
      <c r="S20" s="62"/>
      <c r="T20" s="62"/>
      <c r="U20" s="62"/>
      <c r="V20" s="62"/>
    </row>
    <row r="21" spans="1:22" ht="18" customHeight="1">
      <c r="E21" s="72"/>
      <c r="O21" s="712"/>
      <c r="P21" s="712"/>
      <c r="Q21" s="713"/>
      <c r="R21" s="713"/>
      <c r="S21" s="62"/>
      <c r="T21" s="62"/>
      <c r="U21" s="62"/>
      <c r="V21" s="62"/>
    </row>
    <row r="22" spans="1:22" s="62" customFormat="1" ht="18" customHeight="1"/>
    <row r="23" spans="1:22" s="63" customFormat="1" ht="18" customHeight="1">
      <c r="A23" s="1072" t="s">
        <v>233</v>
      </c>
      <c r="B23" s="1072"/>
      <c r="C23" s="1072"/>
      <c r="D23" s="1072"/>
      <c r="E23" s="1072"/>
      <c r="F23" s="1072"/>
      <c r="G23" s="1072"/>
      <c r="H23" s="1072"/>
      <c r="I23" s="1072"/>
      <c r="J23" s="1072"/>
      <c r="K23" s="1072"/>
      <c r="L23" s="1072"/>
      <c r="M23" s="1072"/>
      <c r="N23" s="1072"/>
    </row>
    <row r="24" spans="1:22" s="62" customFormat="1" ht="18" customHeight="1">
      <c r="A24" s="73" t="s">
        <v>202</v>
      </c>
      <c r="B24" s="74">
        <f>ID!$C$8</f>
        <v>1</v>
      </c>
      <c r="C24" s="73" t="s">
        <v>203</v>
      </c>
      <c r="D24" s="74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22" s="62" customFormat="1" ht="16" customHeight="1">
      <c r="A25" s="73" t="s">
        <v>204</v>
      </c>
      <c r="B25" s="74">
        <f>ID!A63</f>
        <v>-33</v>
      </c>
      <c r="C25" s="73" t="s">
        <v>203</v>
      </c>
      <c r="D25" s="73"/>
      <c r="E25" s="73"/>
      <c r="F25" s="73"/>
      <c r="G25" s="73"/>
      <c r="H25" s="73"/>
      <c r="I25" s="100"/>
      <c r="J25" s="73"/>
      <c r="K25" s="73"/>
      <c r="L25" s="73"/>
      <c r="M25" s="73"/>
      <c r="N25" s="73"/>
    </row>
    <row r="26" spans="1:22" s="62" customFormat="1" ht="16" customHeight="1">
      <c r="A26" s="1075" t="s">
        <v>205</v>
      </c>
      <c r="B26" s="1057"/>
      <c r="C26" s="1076"/>
      <c r="D26" s="1055" t="s">
        <v>206</v>
      </c>
      <c r="E26" s="1057" t="s">
        <v>207</v>
      </c>
      <c r="F26" s="1057" t="s">
        <v>208</v>
      </c>
      <c r="G26" s="1057" t="s">
        <v>209</v>
      </c>
      <c r="H26" s="1057" t="s">
        <v>234</v>
      </c>
      <c r="I26" s="1057" t="s">
        <v>235</v>
      </c>
      <c r="J26" s="1057"/>
      <c r="K26" s="1057" t="s">
        <v>236</v>
      </c>
      <c r="L26" s="1057" t="s">
        <v>237</v>
      </c>
      <c r="M26" s="1057" t="s">
        <v>238</v>
      </c>
      <c r="N26" s="1073" t="s">
        <v>239</v>
      </c>
      <c r="Q26" s="1052"/>
      <c r="R26" s="1052"/>
      <c r="S26" s="1052"/>
      <c r="T26" s="1052"/>
    </row>
    <row r="27" spans="1:22" s="62" customFormat="1" ht="16" customHeight="1">
      <c r="A27" s="1077"/>
      <c r="B27" s="1078"/>
      <c r="C27" s="1079"/>
      <c r="D27" s="1056"/>
      <c r="E27" s="1058"/>
      <c r="F27" s="1058"/>
      <c r="G27" s="1058"/>
      <c r="H27" s="1058"/>
      <c r="I27" s="1058"/>
      <c r="J27" s="1058"/>
      <c r="K27" s="1058"/>
      <c r="L27" s="1058"/>
      <c r="M27" s="1058"/>
      <c r="N27" s="1074"/>
      <c r="Q27" s="66"/>
      <c r="R27" s="66"/>
      <c r="S27" s="66"/>
      <c r="T27" s="66"/>
    </row>
    <row r="28" spans="1:22" s="62" customFormat="1" ht="16" customHeight="1">
      <c r="A28" s="76" t="s">
        <v>216</v>
      </c>
      <c r="B28" s="77"/>
      <c r="C28" s="78"/>
      <c r="D28" s="79" t="s">
        <v>240</v>
      </c>
      <c r="E28" s="75" t="s">
        <v>218</v>
      </c>
      <c r="F28" s="172"/>
      <c r="G28" s="172"/>
      <c r="H28" s="170"/>
      <c r="I28" s="75"/>
      <c r="J28" s="75"/>
      <c r="K28" s="170"/>
      <c r="L28" s="101"/>
      <c r="M28" s="102"/>
      <c r="N28" s="103"/>
    </row>
    <row r="29" spans="1:22" s="62" customFormat="1" ht="16" customHeight="1">
      <c r="A29" s="76" t="s">
        <v>219</v>
      </c>
      <c r="B29" s="77"/>
      <c r="C29" s="78"/>
      <c r="D29" s="79" t="s">
        <v>240</v>
      </c>
      <c r="E29" s="75" t="s">
        <v>220</v>
      </c>
      <c r="F29" s="172"/>
      <c r="G29" s="172"/>
      <c r="H29" s="170"/>
      <c r="I29" s="101"/>
      <c r="J29" s="75"/>
      <c r="K29" s="170"/>
      <c r="L29" s="101"/>
      <c r="M29" s="102"/>
      <c r="N29" s="103"/>
    </row>
    <row r="30" spans="1:22" s="62" customFormat="1" ht="16" customHeight="1">
      <c r="A30" s="1062" t="s">
        <v>221</v>
      </c>
      <c r="B30" s="1063"/>
      <c r="C30" s="1064"/>
      <c r="D30" s="79" t="s">
        <v>240</v>
      </c>
      <c r="E30" s="75" t="s">
        <v>220</v>
      </c>
      <c r="F30" s="172"/>
      <c r="G30" s="172"/>
      <c r="H30" s="170"/>
      <c r="I30" s="75"/>
      <c r="J30" s="104"/>
      <c r="K30" s="170"/>
      <c r="L30" s="101"/>
      <c r="M30" s="102"/>
      <c r="N30" s="103"/>
    </row>
    <row r="31" spans="1:22" s="62" customFormat="1" ht="16" customHeight="1">
      <c r="A31" s="1062" t="s">
        <v>222</v>
      </c>
      <c r="B31" s="1063"/>
      <c r="C31" s="1064"/>
      <c r="D31" s="79" t="s">
        <v>240</v>
      </c>
      <c r="E31" s="75" t="s">
        <v>218</v>
      </c>
      <c r="F31" s="799"/>
      <c r="G31" s="172"/>
      <c r="H31" s="170"/>
      <c r="I31" s="75"/>
      <c r="J31" s="104"/>
      <c r="K31" s="170"/>
      <c r="L31" s="101"/>
      <c r="M31" s="102"/>
      <c r="N31" s="686"/>
    </row>
    <row r="32" spans="1:22" s="62" customFormat="1" ht="16" customHeight="1">
      <c r="A32" s="80" t="s">
        <v>223</v>
      </c>
      <c r="B32" s="81"/>
      <c r="C32" s="82"/>
      <c r="D32" s="79" t="s">
        <v>240</v>
      </c>
      <c r="E32" s="75" t="s">
        <v>218</v>
      </c>
      <c r="F32" s="173"/>
      <c r="G32" s="172"/>
      <c r="H32" s="170"/>
      <c r="I32" s="75"/>
      <c r="J32" s="104"/>
      <c r="K32" s="170"/>
      <c r="L32" s="101"/>
      <c r="M32" s="102"/>
      <c r="N32" s="103"/>
    </row>
    <row r="33" spans="1:22" s="62" customFormat="1" ht="16" customHeight="1">
      <c r="A33" s="1065" t="s">
        <v>225</v>
      </c>
      <c r="B33" s="1066"/>
      <c r="C33" s="1067"/>
      <c r="D33" s="83" t="s">
        <v>240</v>
      </c>
      <c r="E33" s="84" t="s">
        <v>220</v>
      </c>
      <c r="F33" s="174"/>
      <c r="G33" s="172"/>
      <c r="H33" s="170"/>
      <c r="I33" s="84"/>
      <c r="J33" s="105"/>
      <c r="K33" s="170"/>
      <c r="L33" s="101"/>
      <c r="M33" s="102"/>
      <c r="N33" s="103"/>
      <c r="V33" s="119"/>
    </row>
    <row r="34" spans="1:22" s="62" customFormat="1" ht="16" customHeight="1">
      <c r="A34" s="73"/>
      <c r="B34" s="73"/>
      <c r="C34" s="73"/>
      <c r="D34" s="73"/>
      <c r="E34" s="74"/>
      <c r="F34" s="73"/>
      <c r="G34" s="73"/>
      <c r="H34" s="1068" t="s">
        <v>226</v>
      </c>
      <c r="I34" s="1069"/>
      <c r="J34" s="1069"/>
      <c r="K34" s="1069"/>
      <c r="L34" s="1069"/>
      <c r="M34" s="106"/>
      <c r="N34" s="107"/>
    </row>
    <row r="35" spans="1:22" s="62" customFormat="1" ht="16" customHeight="1">
      <c r="A35" s="73"/>
      <c r="B35" s="73"/>
      <c r="C35" s="73"/>
      <c r="D35" s="73"/>
      <c r="E35" s="73"/>
      <c r="F35" s="73"/>
      <c r="G35" s="73"/>
      <c r="H35" s="1062" t="s">
        <v>227</v>
      </c>
      <c r="I35" s="1063"/>
      <c r="J35" s="1063"/>
      <c r="K35" s="1063"/>
      <c r="L35" s="1063"/>
      <c r="M35" s="108"/>
      <c r="N35" s="109"/>
    </row>
    <row r="36" spans="1:22" s="62" customFormat="1" ht="16" customHeight="1">
      <c r="A36" s="73"/>
      <c r="B36" s="73"/>
      <c r="C36" s="73"/>
      <c r="D36" s="73"/>
      <c r="E36" s="73"/>
      <c r="F36" s="73"/>
      <c r="G36" s="73"/>
      <c r="H36" s="1062" t="s">
        <v>228</v>
      </c>
      <c r="I36" s="1063"/>
      <c r="J36" s="1063"/>
      <c r="K36" s="1063"/>
      <c r="L36" s="1063"/>
      <c r="M36" s="110"/>
      <c r="N36" s="111"/>
    </row>
    <row r="37" spans="1:22" s="62" customFormat="1" ht="16" customHeight="1">
      <c r="A37" s="73"/>
      <c r="B37" s="73"/>
      <c r="C37" s="73"/>
      <c r="D37" s="73"/>
      <c r="E37" s="73"/>
      <c r="F37" s="73"/>
      <c r="G37" s="73"/>
      <c r="H37" s="1060" t="s">
        <v>232</v>
      </c>
      <c r="I37" s="1061"/>
      <c r="J37" s="1061"/>
      <c r="K37" s="1061"/>
      <c r="L37" s="1061"/>
      <c r="M37" s="112"/>
      <c r="N37" s="113"/>
    </row>
    <row r="38" spans="1:22" s="62" customFormat="1" ht="16" customHeight="1">
      <c r="A38" s="85"/>
      <c r="B38" s="85"/>
      <c r="C38" s="85"/>
      <c r="D38" s="85"/>
      <c r="E38" s="86"/>
      <c r="F38" s="85"/>
      <c r="G38" s="85"/>
      <c r="H38" s="85"/>
      <c r="I38" s="85"/>
      <c r="J38" s="85"/>
      <c r="K38" s="85"/>
      <c r="L38" s="85"/>
      <c r="M38" s="85"/>
      <c r="N38" s="85"/>
    </row>
    <row r="39" spans="1:22" s="62" customFormat="1" ht="16" customHeight="1"/>
    <row r="40" spans="1:22" s="62" customFormat="1" ht="16" customHeight="1"/>
    <row r="41" spans="1:22" s="62" customFormat="1" ht="16" customHeight="1"/>
    <row r="42" spans="1:22" s="62" customFormat="1" ht="16" customHeight="1">
      <c r="A42" s="1052"/>
      <c r="B42" s="1052"/>
    </row>
    <row r="43" spans="1:22" s="62" customFormat="1" ht="16" customHeight="1">
      <c r="A43" s="1052"/>
      <c r="B43" s="1052"/>
      <c r="C43" s="66"/>
      <c r="D43" s="66"/>
      <c r="E43" s="66"/>
      <c r="F43" s="66"/>
      <c r="G43" s="66"/>
      <c r="H43" s="66"/>
      <c r="I43" s="66"/>
      <c r="J43" s="66"/>
      <c r="K43" s="66"/>
      <c r="M43" s="66"/>
      <c r="N43" s="66"/>
      <c r="O43" s="66"/>
    </row>
    <row r="44" spans="1:22" s="62" customFormat="1" ht="16" customHeight="1">
      <c r="A44" s="1051"/>
      <c r="B44" s="1051"/>
      <c r="C44" s="87"/>
      <c r="D44" s="87"/>
      <c r="E44" s="87"/>
      <c r="F44" s="87"/>
      <c r="G44" s="87"/>
      <c r="H44" s="87"/>
      <c r="I44" s="87"/>
      <c r="J44" s="114"/>
      <c r="K44" s="87"/>
      <c r="M44" s="115"/>
      <c r="N44" s="66"/>
      <c r="O44" s="115"/>
    </row>
    <row r="45" spans="1:22" s="62" customFormat="1" ht="16" customHeight="1">
      <c r="A45" s="1051"/>
      <c r="B45" s="1051"/>
      <c r="C45" s="87"/>
      <c r="D45" s="87"/>
      <c r="E45" s="87"/>
      <c r="F45" s="87"/>
      <c r="G45" s="87"/>
      <c r="H45" s="87"/>
      <c r="I45" s="88"/>
      <c r="J45" s="116"/>
      <c r="K45" s="88"/>
      <c r="L45" s="64"/>
      <c r="M45" s="117"/>
      <c r="N45" s="117"/>
      <c r="O45" s="117"/>
    </row>
    <row r="46" spans="1:22" s="62" customFormat="1" ht="16" customHeight="1">
      <c r="A46" s="1051"/>
      <c r="B46" s="1051"/>
      <c r="C46" s="87"/>
      <c r="D46" s="87"/>
      <c r="E46" s="87"/>
      <c r="F46" s="87"/>
      <c r="G46" s="87"/>
      <c r="H46" s="87"/>
      <c r="I46" s="88"/>
      <c r="J46" s="116"/>
      <c r="K46" s="88"/>
      <c r="L46" s="64"/>
      <c r="M46" s="64"/>
      <c r="N46" s="64"/>
      <c r="O46" s="64"/>
    </row>
    <row r="47" spans="1:22" s="62" customFormat="1" ht="16" customHeight="1">
      <c r="A47" s="1051"/>
      <c r="B47" s="1051"/>
      <c r="C47" s="87"/>
      <c r="D47" s="87"/>
      <c r="E47" s="87"/>
      <c r="F47" s="87"/>
      <c r="G47" s="87"/>
      <c r="H47" s="87"/>
      <c r="I47" s="88"/>
      <c r="J47" s="116"/>
      <c r="K47" s="88"/>
      <c r="L47" s="64"/>
      <c r="M47" s="64"/>
      <c r="N47" s="64"/>
      <c r="O47" s="64"/>
    </row>
    <row r="48" spans="1:22" s="62" customFormat="1" ht="16" customHeight="1">
      <c r="A48" s="1051"/>
      <c r="B48" s="1051"/>
      <c r="C48" s="88"/>
      <c r="D48" s="88"/>
      <c r="E48" s="88"/>
      <c r="F48" s="88"/>
      <c r="G48" s="88"/>
      <c r="H48" s="88"/>
      <c r="I48" s="88"/>
      <c r="J48" s="116"/>
      <c r="K48" s="88"/>
      <c r="L48" s="64"/>
      <c r="M48" s="64"/>
      <c r="N48" s="64"/>
      <c r="O48" s="64"/>
      <c r="P48" s="64"/>
      <c r="Q48" s="64"/>
    </row>
    <row r="49" spans="1:17" s="62" customFormat="1" ht="16" customHeight="1">
      <c r="A49" s="1051"/>
      <c r="B49" s="1051"/>
      <c r="C49" s="89"/>
      <c r="D49" s="89"/>
      <c r="E49" s="88"/>
      <c r="F49" s="88"/>
      <c r="G49" s="88"/>
      <c r="H49" s="88"/>
      <c r="I49" s="88"/>
      <c r="J49" s="116"/>
      <c r="K49" s="88"/>
      <c r="L49" s="64"/>
      <c r="M49" s="64"/>
      <c r="N49" s="64"/>
      <c r="O49" s="64"/>
      <c r="P49" s="64"/>
      <c r="Q49" s="64"/>
    </row>
    <row r="50" spans="1:17" s="64" customFormat="1" ht="16" customHeight="1">
      <c r="A50" s="1059"/>
      <c r="B50" s="1059"/>
      <c r="C50" s="89"/>
      <c r="D50" s="89"/>
      <c r="E50" s="88"/>
      <c r="F50" s="88"/>
      <c r="G50" s="88"/>
      <c r="H50" s="88"/>
      <c r="I50" s="88"/>
      <c r="J50" s="116"/>
      <c r="K50" s="88"/>
    </row>
    <row r="51" spans="1:17" s="64" customFormat="1" ht="16" customHeight="1">
      <c r="A51" s="1059"/>
      <c r="B51" s="1059"/>
      <c r="C51" s="89"/>
      <c r="D51" s="89"/>
      <c r="E51" s="88"/>
      <c r="F51" s="88"/>
      <c r="G51" s="88"/>
      <c r="H51" s="88"/>
      <c r="I51" s="88"/>
      <c r="J51" s="116"/>
      <c r="K51" s="88"/>
    </row>
    <row r="52" spans="1:17" s="64" customFormat="1" ht="16" customHeight="1">
      <c r="A52" s="1059"/>
      <c r="B52" s="1059"/>
      <c r="C52" s="89"/>
      <c r="D52" s="89"/>
      <c r="E52" s="88"/>
      <c r="F52" s="88"/>
      <c r="G52" s="88"/>
      <c r="H52" s="88"/>
      <c r="I52" s="88"/>
      <c r="J52" s="116"/>
      <c r="K52" s="88"/>
    </row>
    <row r="53" spans="1:17" s="62" customFormat="1" ht="16" customHeight="1">
      <c r="A53" s="1051"/>
      <c r="B53" s="1051"/>
      <c r="C53" s="89"/>
      <c r="D53" s="89"/>
      <c r="E53" s="88"/>
      <c r="F53" s="88"/>
      <c r="G53" s="88"/>
      <c r="H53" s="88"/>
      <c r="I53" s="88"/>
      <c r="J53" s="116"/>
      <c r="K53" s="88"/>
      <c r="L53" s="64"/>
      <c r="M53" s="64"/>
      <c r="N53" s="64"/>
      <c r="O53" s="64"/>
      <c r="P53" s="64"/>
      <c r="Q53" s="64"/>
    </row>
    <row r="54" spans="1:17" s="62" customFormat="1" ht="16" customHeight="1">
      <c r="A54" s="1052"/>
      <c r="B54" s="1052"/>
      <c r="C54" s="66"/>
      <c r="D54" s="66"/>
      <c r="E54" s="66"/>
      <c r="F54" s="66"/>
      <c r="G54" s="66"/>
      <c r="H54" s="66"/>
      <c r="I54" s="117"/>
      <c r="J54" s="64"/>
      <c r="K54" s="117"/>
      <c r="L54" s="64"/>
      <c r="M54" s="64"/>
      <c r="N54" s="64"/>
      <c r="O54" s="64"/>
      <c r="P54" s="64"/>
      <c r="Q54" s="64"/>
    </row>
    <row r="55" spans="1:17" s="62" customFormat="1" ht="16" customHeight="1">
      <c r="I55" s="64"/>
      <c r="J55" s="64"/>
      <c r="K55" s="64"/>
      <c r="L55" s="64"/>
      <c r="M55" s="64"/>
      <c r="N55" s="64"/>
      <c r="O55" s="64"/>
      <c r="P55" s="64"/>
      <c r="Q55" s="64"/>
    </row>
    <row r="56" spans="1:17" s="62" customFormat="1" ht="16" customHeight="1">
      <c r="I56" s="64"/>
      <c r="J56" s="64"/>
      <c r="K56" s="64"/>
      <c r="L56" s="64"/>
      <c r="M56" s="64"/>
      <c r="N56" s="64"/>
      <c r="O56" s="64"/>
      <c r="P56" s="64"/>
      <c r="Q56" s="64"/>
    </row>
    <row r="57" spans="1:17" s="62" customFormat="1" ht="16" customHeight="1">
      <c r="I57" s="64"/>
      <c r="J57" s="64"/>
      <c r="K57" s="64"/>
      <c r="L57" s="64"/>
      <c r="M57" s="64"/>
      <c r="N57" s="64"/>
      <c r="O57" s="64"/>
      <c r="P57" s="64"/>
      <c r="Q57" s="64"/>
    </row>
    <row r="58" spans="1:17" s="62" customFormat="1" ht="16" customHeight="1">
      <c r="I58" s="64"/>
      <c r="J58" s="64"/>
      <c r="K58" s="64"/>
      <c r="L58" s="64"/>
      <c r="M58" s="64"/>
      <c r="N58" s="64"/>
      <c r="O58" s="64"/>
      <c r="P58" s="64"/>
      <c r="Q58" s="64"/>
    </row>
    <row r="59" spans="1:17" s="62" customFormat="1" ht="16" customHeight="1">
      <c r="I59" s="64"/>
      <c r="J59" s="64"/>
      <c r="K59" s="64"/>
      <c r="L59" s="64"/>
      <c r="M59" s="64"/>
      <c r="N59" s="64"/>
      <c r="O59" s="64"/>
      <c r="P59" s="64"/>
      <c r="Q59" s="64"/>
    </row>
    <row r="60" spans="1:17" ht="16" customHeight="1">
      <c r="I60" s="118"/>
      <c r="J60" s="118"/>
      <c r="K60" s="118"/>
      <c r="L60" s="118"/>
      <c r="M60" s="64"/>
      <c r="N60" s="64"/>
      <c r="O60" s="64"/>
      <c r="P60" s="64"/>
      <c r="Q60" s="64"/>
    </row>
    <row r="61" spans="1:17" ht="16" customHeight="1">
      <c r="I61" s="118"/>
      <c r="J61" s="118"/>
      <c r="K61" s="118"/>
      <c r="L61" s="118"/>
      <c r="M61" s="64"/>
      <c r="N61" s="64"/>
      <c r="O61" s="64"/>
      <c r="P61" s="64"/>
      <c r="Q61" s="64"/>
    </row>
    <row r="62" spans="1:17" ht="16" customHeight="1">
      <c r="I62" s="118"/>
      <c r="J62" s="118"/>
      <c r="K62" s="118"/>
      <c r="L62" s="118"/>
      <c r="M62" s="64"/>
      <c r="N62" s="64"/>
      <c r="O62" s="64"/>
      <c r="P62" s="64"/>
      <c r="Q62" s="64"/>
    </row>
    <row r="63" spans="1:17" ht="16" customHeight="1">
      <c r="I63" s="118"/>
      <c r="J63" s="118"/>
      <c r="K63" s="118"/>
      <c r="L63" s="118"/>
      <c r="M63" s="64"/>
      <c r="N63" s="64"/>
      <c r="O63" s="64"/>
      <c r="P63" s="64"/>
      <c r="Q63" s="64"/>
    </row>
    <row r="64" spans="1:17" ht="16" customHeight="1">
      <c r="I64" s="118"/>
      <c r="J64" s="118"/>
      <c r="K64" s="118"/>
      <c r="L64" s="118"/>
      <c r="M64" s="64"/>
      <c r="N64" s="64"/>
      <c r="O64" s="64"/>
      <c r="P64" s="64"/>
      <c r="Q64" s="64"/>
    </row>
    <row r="65" spans="9:17" ht="16" customHeight="1">
      <c r="I65" s="118"/>
      <c r="J65" s="118"/>
      <c r="K65" s="118"/>
      <c r="L65" s="118"/>
      <c r="M65" s="64"/>
      <c r="N65" s="64"/>
      <c r="O65" s="64"/>
      <c r="P65" s="64"/>
      <c r="Q65" s="64"/>
    </row>
    <row r="66" spans="9:17" ht="16" customHeight="1">
      <c r="I66" s="118"/>
      <c r="J66" s="118"/>
      <c r="K66" s="118"/>
      <c r="L66" s="118"/>
      <c r="M66" s="117"/>
      <c r="N66" s="117"/>
      <c r="O66" s="117"/>
    </row>
    <row r="67" spans="9:17" ht="16" customHeight="1">
      <c r="I67" s="118"/>
      <c r="J67" s="118"/>
      <c r="K67" s="118"/>
      <c r="L67" s="118"/>
      <c r="M67" s="90"/>
      <c r="N67" s="117"/>
      <c r="O67" s="90"/>
    </row>
    <row r="68" spans="9:17" ht="16" customHeight="1">
      <c r="I68" s="118"/>
      <c r="J68" s="118"/>
      <c r="K68" s="118"/>
      <c r="L68" s="118"/>
      <c r="M68" s="117"/>
      <c r="N68" s="117"/>
      <c r="O68" s="117"/>
    </row>
    <row r="69" spans="9:17" ht="16" customHeight="1">
      <c r="I69" s="118"/>
      <c r="J69" s="118"/>
      <c r="K69" s="118"/>
      <c r="L69" s="118"/>
      <c r="M69" s="118"/>
      <c r="N69" s="118"/>
      <c r="O69" s="118"/>
    </row>
    <row r="70" spans="9:17">
      <c r="I70" s="118"/>
      <c r="J70" s="118"/>
      <c r="K70" s="118"/>
      <c r="L70" s="118"/>
      <c r="M70" s="1053"/>
      <c r="N70" s="1053"/>
      <c r="O70" s="1053"/>
    </row>
    <row r="71" spans="9:17">
      <c r="I71" s="118"/>
      <c r="J71" s="118"/>
      <c r="K71" s="118"/>
      <c r="L71" s="118"/>
      <c r="M71" s="117"/>
      <c r="N71" s="117"/>
      <c r="O71" s="117"/>
    </row>
    <row r="72" spans="9:17">
      <c r="I72" s="118"/>
      <c r="J72" s="118"/>
      <c r="K72" s="118"/>
      <c r="L72" s="118"/>
      <c r="M72" s="90"/>
      <c r="N72" s="117"/>
      <c r="O72" s="90"/>
    </row>
    <row r="73" spans="9:17">
      <c r="I73" s="118"/>
      <c r="J73" s="118"/>
      <c r="K73" s="118"/>
      <c r="L73" s="118"/>
      <c r="M73" s="117"/>
      <c r="N73" s="117"/>
      <c r="O73" s="117"/>
    </row>
    <row r="74" spans="9:17">
      <c r="I74" s="118"/>
      <c r="J74" s="118"/>
      <c r="K74" s="118"/>
      <c r="L74" s="118"/>
      <c r="M74" s="118"/>
      <c r="N74" s="118"/>
      <c r="O74" s="118"/>
    </row>
    <row r="75" spans="9:17">
      <c r="I75" s="118"/>
      <c r="J75" s="118"/>
      <c r="K75" s="118"/>
      <c r="L75" s="118"/>
      <c r="M75" s="1053"/>
      <c r="N75" s="1053"/>
      <c r="O75" s="1053"/>
    </row>
    <row r="76" spans="9:17">
      <c r="I76" s="118"/>
      <c r="J76" s="118"/>
      <c r="K76" s="118"/>
      <c r="L76" s="118"/>
      <c r="M76" s="117"/>
      <c r="N76" s="117"/>
      <c r="O76" s="117"/>
    </row>
    <row r="77" spans="9:17">
      <c r="I77" s="118"/>
      <c r="J77" s="118"/>
      <c r="K77" s="118"/>
      <c r="L77" s="118"/>
      <c r="M77" s="90"/>
      <c r="N77" s="117"/>
      <c r="O77" s="90"/>
    </row>
    <row r="78" spans="9:17">
      <c r="I78" s="118"/>
      <c r="J78" s="118"/>
      <c r="K78" s="118"/>
      <c r="L78" s="118"/>
      <c r="M78" s="117"/>
      <c r="N78" s="117"/>
      <c r="O78" s="117"/>
    </row>
    <row r="79" spans="9:17">
      <c r="I79" s="118"/>
      <c r="J79" s="118"/>
      <c r="K79" s="118"/>
      <c r="L79" s="118"/>
      <c r="M79" s="118"/>
      <c r="N79" s="118"/>
      <c r="O79" s="118"/>
    </row>
    <row r="80" spans="9:17">
      <c r="I80" s="118"/>
      <c r="J80" s="118"/>
      <c r="K80" s="118"/>
      <c r="L80" s="118"/>
      <c r="M80" s="118"/>
      <c r="N80" s="118"/>
      <c r="O80" s="118"/>
    </row>
    <row r="85" spans="1:8" s="65" customFormat="1"/>
    <row r="86" spans="1:8" s="65" customFormat="1"/>
    <row r="88" spans="1:8">
      <c r="A88" s="120"/>
      <c r="H88" s="120"/>
    </row>
  </sheetData>
  <mergeCells count="57">
    <mergeCell ref="A2:N2"/>
    <mergeCell ref="A9:C9"/>
    <mergeCell ref="A10:C10"/>
    <mergeCell ref="A11:C11"/>
    <mergeCell ref="A12:C12"/>
    <mergeCell ref="L7:L8"/>
    <mergeCell ref="M7:M8"/>
    <mergeCell ref="N7:N8"/>
    <mergeCell ref="I7:J8"/>
    <mergeCell ref="A7:C8"/>
    <mergeCell ref="A13:C13"/>
    <mergeCell ref="A15:C15"/>
    <mergeCell ref="A16:C16"/>
    <mergeCell ref="H17:L17"/>
    <mergeCell ref="H18:L18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31:C31"/>
    <mergeCell ref="A33:C33"/>
    <mergeCell ref="H34:L34"/>
    <mergeCell ref="H35:L35"/>
    <mergeCell ref="H36:L36"/>
    <mergeCell ref="H37:L37"/>
    <mergeCell ref="A44:B44"/>
    <mergeCell ref="A45:B45"/>
    <mergeCell ref="A46:B46"/>
    <mergeCell ref="A47:B47"/>
    <mergeCell ref="A42:B43"/>
    <mergeCell ref="A48:B48"/>
    <mergeCell ref="A49:B49"/>
    <mergeCell ref="A50:B50"/>
    <mergeCell ref="A51:B51"/>
    <mergeCell ref="A52:B52"/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4" orientation="portrait" r:id="rId1"/>
  <headerFooter>
    <oddHeader>&amp;R&amp;"-,Regular"&amp;8SH.UB - 031-18 / Rev  : 0</oddHeader>
    <oddFooter>&amp;C&amp;"-,Regular"&amp;8&amp;K00-022Software Laboratorium Incubator 2017&amp;R&amp;K00-03422/9/2017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F0"/>
  </sheetPr>
  <dimension ref="A1:IX106"/>
  <sheetViews>
    <sheetView showGridLines="0" view="pageBreakPreview" topLeftCell="A52" zoomScale="68" zoomScaleNormal="100" zoomScaleSheetLayoutView="68" workbookViewId="0">
      <selection activeCell="B72" sqref="B72:L74"/>
    </sheetView>
  </sheetViews>
  <sheetFormatPr defaultColWidth="9" defaultRowHeight="15.5"/>
  <cols>
    <col min="1" max="1" width="8" style="32" customWidth="1"/>
    <col min="2" max="2" width="12.81640625" style="32" customWidth="1"/>
    <col min="3" max="3" width="13.54296875" style="33" customWidth="1"/>
    <col min="4" max="4" width="14.54296875" style="33" customWidth="1"/>
    <col min="5" max="6" width="12.1796875" style="33" customWidth="1"/>
    <col min="7" max="7" width="11.453125" style="33" customWidth="1"/>
    <col min="8" max="8" width="8.54296875" style="33" customWidth="1"/>
    <col min="9" max="9" width="7.81640625" style="33" customWidth="1"/>
    <col min="10" max="10" width="8.54296875" style="33" customWidth="1"/>
    <col min="11" max="11" width="7.1796875" style="33" customWidth="1"/>
    <col min="12" max="12" width="10" style="33" customWidth="1"/>
    <col min="13" max="13" width="24.453125" style="33" customWidth="1"/>
    <col min="14" max="14" width="13.81640625" style="33" customWidth="1"/>
    <col min="15" max="15" width="11.81640625" style="33" customWidth="1"/>
    <col min="16" max="16" width="9.453125" style="33" customWidth="1"/>
    <col min="17" max="17" width="15.453125" style="33" customWidth="1"/>
    <col min="18" max="18" width="16.1796875" style="33" customWidth="1"/>
    <col min="19" max="258" width="9.1796875" style="33" customWidth="1"/>
    <col min="259" max="16384" width="9" style="32"/>
  </cols>
  <sheetData>
    <row r="1" spans="1:258" customFormat="1" ht="19.5" customHeight="1">
      <c r="A1" s="946" t="str">
        <f>IF(ID!C8="-",'Lembar Penyelia'!M1,'Lembar Penyelia'!M2)</f>
        <v>Hasil Kalibrasi Medical Freezer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179" t="s">
        <v>579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customFormat="1" ht="18.75" customHeight="1">
      <c r="A2" s="1135" t="str">
        <f ca="1">ID!H2&amp;" "&amp;ID!I2</f>
        <v>Nomor Sertifikat : 67 / 1 / VI - 23 / E - 123 DL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79" t="s">
        <v>580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.75" customHeight="1">
      <c r="C3" s="180"/>
      <c r="D3" s="180"/>
      <c r="E3" s="180"/>
      <c r="F3" s="180"/>
      <c r="G3" s="180"/>
      <c r="H3" s="180"/>
      <c r="I3" s="180"/>
      <c r="J3" s="180"/>
      <c r="K3" s="180"/>
    </row>
    <row r="4" spans="1:258" s="1" customFormat="1" ht="15.75" customHeight="1">
      <c r="A4" s="19" t="s">
        <v>241</v>
      </c>
      <c r="D4" s="34" t="s">
        <v>2</v>
      </c>
      <c r="E4" s="124" t="str">
        <f>ID!C5</f>
        <v>GEA</v>
      </c>
      <c r="J4" s="34"/>
    </row>
    <row r="5" spans="1:258" s="1" customFormat="1" ht="15.75" customHeight="1">
      <c r="A5" s="19" t="s">
        <v>242</v>
      </c>
      <c r="D5" s="34" t="s">
        <v>2</v>
      </c>
      <c r="E5" s="124" t="str">
        <f>ID!C6</f>
        <v>AB - 375 LT</v>
      </c>
      <c r="J5" s="34"/>
    </row>
    <row r="6" spans="1:258" s="1" customFormat="1" ht="15.75" customHeight="1">
      <c r="A6" s="19" t="s">
        <v>243</v>
      </c>
      <c r="D6" s="34" t="s">
        <v>2</v>
      </c>
      <c r="E6" s="657" t="str">
        <f>ID!C7</f>
        <v>110663750217</v>
      </c>
      <c r="J6" s="34"/>
      <c r="P6" s="1090" t="str">
        <f>IF(H27="-",S14,ID!P25)</f>
        <v>NG</v>
      </c>
      <c r="Q6" s="1090"/>
      <c r="R6" s="1043" t="s">
        <v>37</v>
      </c>
      <c r="S6" s="1043" t="s">
        <v>244</v>
      </c>
      <c r="T6" s="1043" t="s">
        <v>44</v>
      </c>
      <c r="U6" s="3"/>
      <c r="V6" s="1091" t="str">
        <f>IF(H25="-",V9,IF(OR(H27="-",P6=S14),V7,IF(OR(S8&gt;T8,C27=V15),"",IF(H27&gt;J27,V8,""))))</f>
        <v>Tidak dilakukan pengujian keselamatan listrik karena alat tidak boleh dalam kondisi off</v>
      </c>
      <c r="W6" s="1091"/>
      <c r="X6" s="1091"/>
      <c r="Y6" s="1091"/>
      <c r="Z6" s="1091"/>
      <c r="AA6" s="1091"/>
      <c r="AB6" s="1091"/>
      <c r="AC6" s="1091"/>
      <c r="AD6" s="1091"/>
      <c r="AE6" s="3"/>
      <c r="AF6" s="3"/>
    </row>
    <row r="7" spans="1:258" s="1" customFormat="1" ht="15.75" customHeight="1">
      <c r="A7" s="19" t="s">
        <v>5</v>
      </c>
      <c r="D7" s="34" t="s">
        <v>2</v>
      </c>
      <c r="E7" s="288" t="str">
        <f>IF(ID!E8="Digital",ID!K8,"-")</f>
        <v>1</v>
      </c>
      <c r="F7" s="19" t="str">
        <f>IF(E7="-","","°C")</f>
        <v>°C</v>
      </c>
      <c r="G7" s="19"/>
      <c r="H7" s="19"/>
      <c r="I7" s="34"/>
      <c r="P7" s="1090"/>
      <c r="Q7" s="1090"/>
      <c r="R7" s="1043"/>
      <c r="S7" s="1043"/>
      <c r="T7" s="1043"/>
      <c r="U7" s="3"/>
      <c r="V7" s="1084" t="s">
        <v>245</v>
      </c>
      <c r="W7" s="1084"/>
      <c r="X7" s="1084"/>
      <c r="Y7" s="1084"/>
      <c r="Z7" s="1084"/>
      <c r="AA7" s="1084"/>
      <c r="AB7" s="1084"/>
      <c r="AC7" s="1084"/>
      <c r="AD7" s="1084"/>
      <c r="AE7" s="3"/>
      <c r="AF7" s="3"/>
    </row>
    <row r="8" spans="1:258" s="1" customFormat="1" ht="15.75" customHeight="1">
      <c r="A8" s="19" t="str">
        <f>ID!A9</f>
        <v>Tanggal penerimaan alat</v>
      </c>
      <c r="D8" s="34" t="s">
        <v>2</v>
      </c>
      <c r="E8" s="690" t="str">
        <f>ID!C9</f>
        <v>21 Desember 2022</v>
      </c>
      <c r="F8" s="19"/>
      <c r="G8" s="19"/>
      <c r="H8" s="19"/>
      <c r="I8" s="34"/>
      <c r="P8" s="344" t="s">
        <v>246</v>
      </c>
      <c r="Q8" s="715" t="s">
        <v>247</v>
      </c>
      <c r="R8" s="716">
        <f>ID!P27</f>
        <v>20</v>
      </c>
      <c r="S8" s="717">
        <f>'DB Kelistrikan'!O272</f>
        <v>23.453418082911391</v>
      </c>
      <c r="T8" s="718">
        <v>100</v>
      </c>
      <c r="U8" s="3"/>
      <c r="V8" s="1084" t="s">
        <v>193</v>
      </c>
      <c r="W8" s="1084"/>
      <c r="X8" s="1084"/>
      <c r="Y8" s="1084"/>
      <c r="Z8" s="1084"/>
      <c r="AA8" s="1084"/>
      <c r="AB8" s="1084"/>
      <c r="AC8" s="1084"/>
      <c r="AD8" s="1084"/>
      <c r="AE8" s="3"/>
      <c r="AF8" s="3"/>
    </row>
    <row r="9" spans="1:258" s="1" customFormat="1" ht="15.75" customHeight="1">
      <c r="A9" s="19" t="str">
        <f>U24</f>
        <v>Tanggal kalibrasi</v>
      </c>
      <c r="D9" s="34" t="s">
        <v>2</v>
      </c>
      <c r="E9" s="690" t="str">
        <f>ID!C10</f>
        <v>21 Desember 2022</v>
      </c>
      <c r="G9" s="19"/>
      <c r="H9" s="19"/>
      <c r="I9" s="34"/>
      <c r="P9" s="3"/>
      <c r="Q9" s="3"/>
      <c r="R9" s="3"/>
      <c r="S9" s="3"/>
      <c r="T9" s="3"/>
      <c r="U9" s="3"/>
      <c r="V9" s="3" t="s">
        <v>191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258" s="1" customFormat="1" ht="15.75" customHeight="1">
      <c r="A10" s="19" t="str">
        <f>U25</f>
        <v>Tempat kalibrasi</v>
      </c>
      <c r="D10" s="34" t="s">
        <v>2</v>
      </c>
      <c r="E10" s="124" t="str">
        <f>ID!C11</f>
        <v>Laboratorium Mikrobiologi</v>
      </c>
      <c r="G10" s="19"/>
      <c r="H10" s="19"/>
      <c r="I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258" s="1" customFormat="1" ht="15.75" customHeight="1">
      <c r="A11" s="19" t="s">
        <v>588</v>
      </c>
      <c r="D11" s="34" t="s">
        <v>2</v>
      </c>
      <c r="E11" s="124" t="str">
        <f>ID!C12</f>
        <v>Laboratorium Mikrobiologi</v>
      </c>
      <c r="G11" s="19"/>
      <c r="H11" s="19"/>
      <c r="I11" s="34"/>
      <c r="P11" s="3"/>
      <c r="Q11" s="3"/>
      <c r="R11" s="3"/>
      <c r="S11" s="3"/>
      <c r="T11" s="3"/>
      <c r="U11" s="3"/>
      <c r="V11" s="1085" t="s">
        <v>248</v>
      </c>
      <c r="W11" s="1086"/>
      <c r="X11" s="1086"/>
      <c r="Y11" s="1086"/>
      <c r="Z11" s="1086"/>
      <c r="AA11" s="1086"/>
      <c r="AB11" s="1087"/>
      <c r="AC11" s="3"/>
      <c r="AD11" s="3"/>
      <c r="AE11" s="3"/>
      <c r="AF11" s="3"/>
    </row>
    <row r="12" spans="1:258" s="1" customFormat="1" ht="15.75" customHeight="1">
      <c r="A12" s="19" t="s">
        <v>129</v>
      </c>
      <c r="D12" s="34" t="s">
        <v>2</v>
      </c>
      <c r="E12" s="124" t="str">
        <f>ID!C13</f>
        <v>MK.031-18</v>
      </c>
      <c r="G12" s="19"/>
      <c r="H12" s="19"/>
      <c r="I12" s="34"/>
      <c r="P12" s="1043" t="s">
        <v>249</v>
      </c>
      <c r="Q12" s="1088" t="s">
        <v>44</v>
      </c>
      <c r="R12" s="3"/>
      <c r="S12" s="344" t="s">
        <v>250</v>
      </c>
      <c r="T12" s="3"/>
      <c r="U12" s="3"/>
      <c r="V12" s="719" t="s">
        <v>251</v>
      </c>
      <c r="W12" s="720"/>
      <c r="X12" s="720"/>
      <c r="Y12" s="720"/>
      <c r="Z12" s="720"/>
      <c r="AA12" s="721"/>
      <c r="AB12" s="316">
        <v>0.2</v>
      </c>
      <c r="AC12" s="3" t="s">
        <v>252</v>
      </c>
      <c r="AD12" s="722"/>
      <c r="AE12" s="3"/>
      <c r="AF12" s="3"/>
    </row>
    <row r="13" spans="1:258" s="1" customFormat="1" ht="17.149999999999999" customHeight="1">
      <c r="C13" s="19"/>
      <c r="D13" s="19"/>
      <c r="E13" s="1107"/>
      <c r="F13" s="1107"/>
      <c r="G13" s="1107"/>
      <c r="H13" s="1107"/>
      <c r="I13" s="1107"/>
      <c r="J13" s="1107"/>
      <c r="K13" s="1107"/>
      <c r="L13" s="1107"/>
      <c r="P13" s="1043"/>
      <c r="Q13" s="1089"/>
      <c r="R13" s="3"/>
      <c r="S13" s="344" t="s">
        <v>142</v>
      </c>
      <c r="T13" s="3"/>
      <c r="U13" s="3"/>
      <c r="V13" s="723" t="s">
        <v>253</v>
      </c>
      <c r="W13" s="724"/>
      <c r="X13" s="724"/>
      <c r="Y13" s="724"/>
      <c r="Z13" s="724"/>
      <c r="AA13" s="725"/>
      <c r="AB13" s="316">
        <v>0.3</v>
      </c>
      <c r="AC13" s="3" t="s">
        <v>254</v>
      </c>
      <c r="AD13" s="722"/>
      <c r="AE13" s="3"/>
      <c r="AF13" s="3"/>
    </row>
    <row r="14" spans="1:258" s="1" customFormat="1" ht="15.75" customHeight="1">
      <c r="A14" s="27" t="s">
        <v>255</v>
      </c>
      <c r="B14" s="18" t="s">
        <v>589</v>
      </c>
      <c r="D14" s="18"/>
      <c r="F14" s="26"/>
      <c r="G14" s="181"/>
      <c r="H14" s="19"/>
      <c r="I14" s="19"/>
      <c r="J14" s="19"/>
      <c r="K14" s="19"/>
      <c r="P14" s="717" t="str">
        <f>IF(OR(R8="",C27=V15,P6=S14),H27,IF(H27&gt;J27,S8,H27))</f>
        <v>-</v>
      </c>
      <c r="Q14" s="726">
        <f>IF(OR(R8="",C27=V15,P6=S14),J27,IF(H27&gt;J27,T8,J27))</f>
        <v>100</v>
      </c>
      <c r="R14" s="3"/>
      <c r="S14" s="344" t="s">
        <v>144</v>
      </c>
      <c r="T14" s="3"/>
      <c r="U14" s="3"/>
      <c r="V14" s="727" t="s">
        <v>36</v>
      </c>
      <c r="W14" s="728"/>
      <c r="X14" s="728"/>
      <c r="Y14" s="728"/>
      <c r="Z14" s="728"/>
      <c r="AA14" s="725"/>
      <c r="AB14" s="316">
        <v>500</v>
      </c>
      <c r="AC14" s="722"/>
      <c r="AD14" s="722"/>
      <c r="AE14" s="3"/>
      <c r="AF14" s="3"/>
    </row>
    <row r="15" spans="1:258" s="1" customFormat="1" ht="15.75" customHeight="1">
      <c r="B15" s="17" t="s">
        <v>257</v>
      </c>
      <c r="D15" s="34" t="s">
        <v>2</v>
      </c>
      <c r="E15" s="800" t="str">
        <f>'DB Thermohygro'!T381</f>
        <v>( 26.7 ± 0.5 ) °C</v>
      </c>
      <c r="F15" s="801"/>
      <c r="G15" s="802"/>
      <c r="H15" s="803"/>
      <c r="I15" s="804"/>
      <c r="J15" s="804"/>
      <c r="K15" s="804"/>
      <c r="L15" s="804"/>
      <c r="P15" s="3"/>
      <c r="Q15" s="3"/>
      <c r="R15" s="3"/>
      <c r="S15" s="3"/>
      <c r="T15" s="3"/>
      <c r="U15" s="3"/>
      <c r="V15" s="727" t="s">
        <v>137</v>
      </c>
      <c r="W15" s="728"/>
      <c r="X15" s="728"/>
      <c r="Y15" s="728"/>
      <c r="Z15" s="728"/>
      <c r="AA15" s="725"/>
      <c r="AB15" s="316">
        <v>100</v>
      </c>
      <c r="AC15" s="722"/>
      <c r="AD15" s="722"/>
      <c r="AE15" s="3"/>
      <c r="AF15" s="3"/>
    </row>
    <row r="16" spans="1:258" s="1" customFormat="1" ht="15.75" customHeight="1">
      <c r="B16" s="17" t="s">
        <v>258</v>
      </c>
      <c r="D16" s="34" t="s">
        <v>2</v>
      </c>
      <c r="E16" s="800" t="str">
        <f>'DB Thermohygro'!T382</f>
        <v>( 58.5 ± 2.3 ) %RH</v>
      </c>
      <c r="F16" s="805"/>
      <c r="G16" s="804"/>
      <c r="H16" s="803"/>
      <c r="I16" s="804"/>
      <c r="J16" s="804"/>
      <c r="K16" s="804"/>
      <c r="L16" s="804"/>
      <c r="AE16" s="3"/>
      <c r="AF16" s="3"/>
    </row>
    <row r="17" spans="1:32" s="1" customFormat="1" ht="15.75" customHeight="1">
      <c r="B17" s="17" t="s">
        <v>16</v>
      </c>
      <c r="D17" s="34" t="s">
        <v>2</v>
      </c>
      <c r="E17" s="1143" t="str">
        <f>'DB Kelistrikan'!H274</f>
        <v>( 233.2 ± 1.7 ) Volt</v>
      </c>
      <c r="F17" s="1143"/>
      <c r="G17" s="19"/>
      <c r="H17" s="26"/>
      <c r="AE17" s="3"/>
      <c r="AF17" s="3"/>
    </row>
    <row r="18" spans="1:32" s="1" customFormat="1" ht="9" customHeight="1">
      <c r="C18" s="27"/>
      <c r="D18" s="27"/>
      <c r="E18" s="27"/>
      <c r="F18" s="19"/>
      <c r="K18" s="182"/>
    </row>
    <row r="19" spans="1:32" s="1" customFormat="1" ht="15.75" customHeight="1">
      <c r="A19" s="27" t="s">
        <v>259</v>
      </c>
      <c r="B19" s="27" t="s">
        <v>590</v>
      </c>
      <c r="H19" s="182"/>
      <c r="J19" s="124"/>
    </row>
    <row r="20" spans="1:32" s="1" customFormat="1" ht="15.75" customHeight="1">
      <c r="B20" s="124" t="s">
        <v>260</v>
      </c>
      <c r="D20" s="15" t="s">
        <v>2</v>
      </c>
      <c r="E20" s="1" t="str">
        <f>ID!C22</f>
        <v>Baik</v>
      </c>
      <c r="G20" s="35"/>
      <c r="H20" s="35"/>
      <c r="I20" s="35"/>
      <c r="J20" s="35"/>
      <c r="K20" s="35"/>
      <c r="L20" s="35"/>
    </row>
    <row r="21" spans="1:32" s="1" customFormat="1" ht="15.75" customHeight="1">
      <c r="B21" s="124" t="s">
        <v>261</v>
      </c>
      <c r="D21" s="15" t="s">
        <v>2</v>
      </c>
      <c r="E21" s="1" t="str">
        <f>ID!C23</f>
        <v>Baik</v>
      </c>
      <c r="G21" s="35"/>
      <c r="H21" s="35"/>
      <c r="I21" s="35"/>
      <c r="J21" s="35"/>
      <c r="K21" s="35"/>
      <c r="L21" s="35"/>
      <c r="N21" s="1096" t="s">
        <v>262</v>
      </c>
      <c r="O21" s="1001"/>
    </row>
    <row r="22" spans="1:32" s="1" customFormat="1" ht="9" customHeight="1">
      <c r="C22" s="124"/>
      <c r="D22" s="15"/>
      <c r="G22" s="183"/>
      <c r="H22" s="183"/>
      <c r="I22" s="183"/>
      <c r="J22" s="183"/>
      <c r="K22" s="183"/>
      <c r="L22" s="183"/>
      <c r="N22" s="998"/>
      <c r="O22" s="1001"/>
    </row>
    <row r="23" spans="1:32" s="1" customFormat="1" ht="15.75" customHeight="1">
      <c r="A23" s="27" t="s">
        <v>263</v>
      </c>
      <c r="B23" s="27" t="s">
        <v>591</v>
      </c>
      <c r="F23" s="19"/>
      <c r="K23" s="182"/>
      <c r="N23" s="184" t="s">
        <v>264</v>
      </c>
      <c r="O23" s="185">
        <f>IF(E20="Tidak Baik",0,5%)</f>
        <v>0.05</v>
      </c>
    </row>
    <row r="24" spans="1:32" s="1" customFormat="1" ht="32.25" customHeight="1">
      <c r="B24" s="36" t="s">
        <v>23</v>
      </c>
      <c r="C24" s="1019" t="s">
        <v>24</v>
      </c>
      <c r="D24" s="1142"/>
      <c r="E24" s="1142"/>
      <c r="F24" s="1142"/>
      <c r="G24" s="1020"/>
      <c r="H24" s="1019" t="s">
        <v>25</v>
      </c>
      <c r="I24" s="1020"/>
      <c r="J24" s="1019" t="s">
        <v>26</v>
      </c>
      <c r="K24" s="1020"/>
      <c r="N24" s="184" t="s">
        <v>265</v>
      </c>
      <c r="O24" s="185">
        <f>IF(E21="Tidak Baik",0,5%)</f>
        <v>0.05</v>
      </c>
      <c r="S24" s="1" t="str">
        <f>IF(A1=M1,"pengujian","kalibrasi")</f>
        <v>kalibrasi</v>
      </c>
      <c r="T24" s="1" t="s">
        <v>88</v>
      </c>
      <c r="U24" s="1" t="str">
        <f>T24&amp;" "&amp;S24</f>
        <v>Tanggal kalibrasi</v>
      </c>
    </row>
    <row r="25" spans="1:32" s="1" customFormat="1" ht="15.75" customHeight="1">
      <c r="B25" s="186">
        <v>1</v>
      </c>
      <c r="C25" s="729" t="str">
        <f>ID!B27</f>
        <v>Resistansi Isolasi</v>
      </c>
      <c r="D25" s="37"/>
      <c r="E25" s="37"/>
      <c r="F25" s="37"/>
      <c r="G25" s="187"/>
      <c r="H25" s="1136" t="str">
        <f>'DB Kelistrikan'!O269</f>
        <v>-</v>
      </c>
      <c r="I25" s="1137"/>
      <c r="J25" s="1102" t="str">
        <f>ID!K27</f>
        <v>&gt; 2 MΩ</v>
      </c>
      <c r="K25" s="1103"/>
      <c r="O25" s="732">
        <f>SUM(O23:O24)</f>
        <v>0.1</v>
      </c>
      <c r="T25" s="1" t="s">
        <v>581</v>
      </c>
      <c r="U25" s="1" t="str">
        <f>T25&amp;" "&amp;S24</f>
        <v>Tempat kalibrasi</v>
      </c>
    </row>
    <row r="26" spans="1:32" s="1" customFormat="1" ht="15.75" customHeight="1">
      <c r="B26" s="186">
        <v>2</v>
      </c>
      <c r="C26" s="730" t="str">
        <f>ID!B28</f>
        <v>Resistansi pembumian protektif (kabel dapat dilepas)</v>
      </c>
      <c r="E26" s="188"/>
      <c r="F26" s="188"/>
      <c r="G26" s="189"/>
      <c r="H26" s="1140" t="str">
        <f>'DB Kelistrikan'!O270</f>
        <v>-</v>
      </c>
      <c r="I26" s="1141"/>
      <c r="J26" s="1104">
        <f>ID!K28</f>
        <v>0.2</v>
      </c>
      <c r="K26" s="1105"/>
      <c r="T26" s="1" t="s">
        <v>582</v>
      </c>
      <c r="U26" s="1" t="str">
        <f>T26&amp;" "&amp;S24</f>
        <v>Petugas kalibrasi</v>
      </c>
    </row>
    <row r="27" spans="1:32" s="1" customFormat="1" ht="15.75" customHeight="1">
      <c r="B27" s="186">
        <v>3</v>
      </c>
      <c r="C27" s="1132" t="str">
        <f>ID!B30</f>
        <v>Arus bocor peralatan untuk peralatan elektromedik kelas II</v>
      </c>
      <c r="D27" s="1133"/>
      <c r="E27" s="1133"/>
      <c r="F27" s="1133"/>
      <c r="G27" s="1134"/>
      <c r="H27" s="1138" t="str">
        <f>'DB Kelistrikan'!O271</f>
        <v>-</v>
      </c>
      <c r="I27" s="1139"/>
      <c r="J27" s="1100">
        <f>ID!K30</f>
        <v>100</v>
      </c>
      <c r="K27" s="1101"/>
      <c r="M27" s="1099"/>
      <c r="N27" s="1099"/>
    </row>
    <row r="28" spans="1:32" s="1" customFormat="1" ht="9" customHeight="1">
      <c r="H28" s="26"/>
      <c r="I28" s="190"/>
      <c r="J28" s="1106"/>
      <c r="K28" s="1106"/>
      <c r="L28" s="191"/>
      <c r="M28" s="191"/>
      <c r="N28" s="14"/>
    </row>
    <row r="29" spans="1:32" s="1" customFormat="1" ht="15.75" customHeight="1">
      <c r="A29" s="27" t="s">
        <v>266</v>
      </c>
      <c r="B29" s="27" t="s">
        <v>592</v>
      </c>
      <c r="L29" s="29"/>
      <c r="M29" s="1099"/>
      <c r="N29" s="1099"/>
      <c r="P29" s="24"/>
      <c r="Q29" s="24"/>
      <c r="R29" s="25"/>
    </row>
    <row r="30" spans="1:32" s="1" customFormat="1" ht="15.75" customHeight="1">
      <c r="B30" s="1" t="str">
        <f>ID!A43</f>
        <v>a. Tipe Medical Freezer :</v>
      </c>
      <c r="D30" s="1" t="str">
        <f>ID!C43</f>
        <v>Single Opening Unit</v>
      </c>
      <c r="K30" s="1004"/>
      <c r="L30" s="1004"/>
      <c r="M30" s="1004"/>
      <c r="N30" s="193" t="s">
        <v>262</v>
      </c>
      <c r="O30" s="192"/>
    </row>
    <row r="31" spans="1:32" s="1" customFormat="1" ht="15.75" customHeight="1">
      <c r="C31" s="1004">
        <f>gambar1</f>
        <v>0</v>
      </c>
      <c r="D31" s="1004"/>
      <c r="E31" s="1004"/>
      <c r="F31" s="1004"/>
      <c r="G31" s="1004"/>
      <c r="H31" s="1004"/>
      <c r="I31" s="1004"/>
      <c r="K31" s="1004"/>
      <c r="L31" s="49"/>
      <c r="M31" s="49"/>
      <c r="N31" s="193">
        <v>1</v>
      </c>
      <c r="O31" s="194">
        <f>IF(H25&gt;2,10%,0)</f>
        <v>0.1</v>
      </c>
    </row>
    <row r="32" spans="1:32" s="1" customFormat="1" ht="15.75" customHeight="1">
      <c r="C32" s="1004"/>
      <c r="D32" s="1004"/>
      <c r="E32" s="1004"/>
      <c r="F32" s="1004"/>
      <c r="G32" s="1004"/>
      <c r="H32" s="1004"/>
      <c r="I32" s="1004"/>
      <c r="K32" s="26"/>
      <c r="L32" s="50"/>
      <c r="M32" s="50"/>
      <c r="N32" s="193">
        <v>2</v>
      </c>
      <c r="O32" s="290">
        <f>IF(OR(H26&lt;=J26,H26="-",H26="OL"),10%,0)</f>
        <v>0.1</v>
      </c>
    </row>
    <row r="33" spans="3:15" s="1" customFormat="1" ht="15.75" customHeight="1">
      <c r="C33" s="1004"/>
      <c r="D33" s="1004"/>
      <c r="E33" s="1004"/>
      <c r="F33" s="1004"/>
      <c r="G33" s="1004"/>
      <c r="H33" s="1004"/>
      <c r="I33" s="1004"/>
      <c r="J33" s="124"/>
      <c r="K33" s="26"/>
      <c r="L33" s="50"/>
      <c r="M33" s="50"/>
      <c r="N33" s="192">
        <v>3</v>
      </c>
      <c r="O33" s="194">
        <f>IF(P14&lt;=Q14,20%,0)</f>
        <v>0</v>
      </c>
    </row>
    <row r="34" spans="3:15" s="1" customFormat="1" ht="15.75" customHeight="1">
      <c r="C34" s="1004"/>
      <c r="D34" s="1004"/>
      <c r="E34" s="1004"/>
      <c r="F34" s="1004"/>
      <c r="G34" s="1004"/>
      <c r="H34" s="1004"/>
      <c r="I34" s="1004"/>
      <c r="K34" s="26"/>
      <c r="L34" s="50"/>
      <c r="M34" s="50"/>
      <c r="N34" s="291"/>
      <c r="O34" s="733">
        <f>IF(OR(H27="-",O33=20%),SUM(O31:O33),0)</f>
        <v>0.2</v>
      </c>
    </row>
    <row r="35" spans="3:15" s="1" customFormat="1" ht="15.75" customHeight="1">
      <c r="C35" s="1004"/>
      <c r="D35" s="1004"/>
      <c r="E35" s="1004"/>
      <c r="F35" s="1004"/>
      <c r="G35" s="1004"/>
      <c r="H35" s="1004"/>
      <c r="I35" s="1004"/>
      <c r="K35" s="26"/>
      <c r="L35" s="50"/>
      <c r="M35" s="50"/>
      <c r="O35" s="731">
        <f>IF(N66="Tidak dilakukan Pengujian Keselamatan Listrik karena Alat tidak boleh dalam kondisi off",10%,O34)</f>
        <v>0.1</v>
      </c>
    </row>
    <row r="36" spans="3:15" s="1" customFormat="1" ht="15.75" customHeight="1">
      <c r="C36" s="1004"/>
      <c r="D36" s="1004"/>
      <c r="E36" s="1004"/>
      <c r="F36" s="1004"/>
      <c r="G36" s="1004"/>
      <c r="H36" s="1004"/>
      <c r="I36" s="1004"/>
      <c r="K36" s="26"/>
      <c r="L36" s="50"/>
      <c r="M36" s="50"/>
      <c r="O36" s="731"/>
    </row>
    <row r="37" spans="3:15" s="1" customFormat="1" ht="15.75" customHeight="1">
      <c r="C37" s="1004"/>
      <c r="D37" s="1004"/>
      <c r="E37" s="1004"/>
      <c r="F37" s="1004"/>
      <c r="G37" s="1004"/>
      <c r="H37" s="1004"/>
      <c r="I37" s="1004"/>
      <c r="K37" s="26"/>
      <c r="L37" s="50"/>
      <c r="M37" s="50"/>
      <c r="O37" s="731"/>
    </row>
    <row r="38" spans="3:15" s="1" customFormat="1" ht="15.75" customHeight="1">
      <c r="C38" s="1004"/>
      <c r="D38" s="1004"/>
      <c r="E38" s="1004"/>
      <c r="F38" s="1004"/>
      <c r="G38" s="1004"/>
      <c r="H38" s="1004"/>
      <c r="I38" s="1004"/>
      <c r="K38" s="26"/>
      <c r="L38" s="50"/>
      <c r="M38" s="50"/>
      <c r="O38" s="731"/>
    </row>
    <row r="39" spans="3:15" s="1" customFormat="1" ht="15.75" customHeight="1">
      <c r="C39" s="1004"/>
      <c r="D39" s="1004"/>
      <c r="E39" s="1004"/>
      <c r="F39" s="1004"/>
      <c r="G39" s="1004"/>
      <c r="H39" s="1004"/>
      <c r="I39" s="1004"/>
      <c r="K39" s="26"/>
      <c r="L39" s="50"/>
      <c r="M39" s="50"/>
      <c r="O39" s="731"/>
    </row>
    <row r="40" spans="3:15" s="1" customFormat="1" ht="15.75" customHeight="1">
      <c r="C40" s="1004"/>
      <c r="D40" s="1004"/>
      <c r="E40" s="1004"/>
      <c r="F40" s="1004"/>
      <c r="G40" s="1004"/>
      <c r="H40" s="1004"/>
      <c r="I40" s="1004"/>
      <c r="K40" s="26"/>
      <c r="L40" s="50"/>
      <c r="M40" s="50"/>
      <c r="O40" s="731"/>
    </row>
    <row r="41" spans="3:15" s="1" customFormat="1" ht="15.75" customHeight="1">
      <c r="C41" s="1004"/>
      <c r="D41" s="1004"/>
      <c r="E41" s="1004"/>
      <c r="F41" s="1004"/>
      <c r="G41" s="1004"/>
      <c r="H41" s="1004"/>
      <c r="I41" s="1004"/>
      <c r="K41" s="26"/>
      <c r="L41" s="50"/>
      <c r="M41" s="50"/>
      <c r="O41" s="731"/>
    </row>
    <row r="42" spans="3:15" s="1" customFormat="1" ht="15.75" customHeight="1">
      <c r="C42" s="1004"/>
      <c r="D42" s="1004"/>
      <c r="E42" s="1004"/>
      <c r="F42" s="1004"/>
      <c r="G42" s="1004"/>
      <c r="H42" s="1004"/>
      <c r="I42" s="1004"/>
      <c r="K42" s="26"/>
      <c r="L42" s="50"/>
      <c r="M42" s="50"/>
      <c r="O42" s="731"/>
    </row>
    <row r="43" spans="3:15" s="1" customFormat="1" ht="15.75" customHeight="1">
      <c r="C43" s="1004"/>
      <c r="D43" s="1004"/>
      <c r="E43" s="1004"/>
      <c r="F43" s="1004"/>
      <c r="G43" s="1004"/>
      <c r="H43" s="1004"/>
      <c r="I43" s="1004"/>
      <c r="K43" s="26"/>
      <c r="L43" s="50"/>
      <c r="M43" s="50"/>
      <c r="O43" s="731"/>
    </row>
    <row r="44" spans="3:15" s="1" customFormat="1" ht="15.75" customHeight="1">
      <c r="C44" s="1004"/>
      <c r="D44" s="1004"/>
      <c r="E44" s="1004"/>
      <c r="F44" s="1004"/>
      <c r="G44" s="1004"/>
      <c r="H44" s="1004"/>
      <c r="I44" s="1004"/>
      <c r="K44" s="26"/>
      <c r="L44" s="50"/>
      <c r="M44" s="50"/>
      <c r="O44" s="731"/>
    </row>
    <row r="45" spans="3:15" s="1" customFormat="1" ht="15.75" customHeight="1">
      <c r="C45" s="1004"/>
      <c r="D45" s="1004"/>
      <c r="E45" s="1004"/>
      <c r="F45" s="1004"/>
      <c r="G45" s="1004"/>
      <c r="H45" s="1004"/>
      <c r="I45" s="1004"/>
      <c r="K45" s="26"/>
      <c r="L45" s="50"/>
      <c r="M45" s="50"/>
    </row>
    <row r="46" spans="3:15" s="1" customFormat="1" ht="15.75" customHeight="1">
      <c r="C46" s="1004"/>
      <c r="D46" s="1004"/>
      <c r="E46" s="1004"/>
      <c r="F46" s="1004"/>
      <c r="G46" s="1004"/>
      <c r="H46" s="1004"/>
      <c r="I46" s="1004"/>
      <c r="K46" s="26"/>
      <c r="L46" s="50"/>
      <c r="M46" s="50"/>
    </row>
    <row r="47" spans="3:15" s="1" customFormat="1" ht="15.75" customHeight="1">
      <c r="C47" s="1004"/>
      <c r="D47" s="1004"/>
      <c r="E47" s="1004"/>
      <c r="F47" s="1004"/>
      <c r="G47" s="1004"/>
      <c r="H47" s="1004"/>
      <c r="I47" s="1004"/>
      <c r="K47" s="26"/>
      <c r="L47" s="50"/>
      <c r="M47" s="50"/>
    </row>
    <row r="48" spans="3:15" s="1" customFormat="1" ht="15.75" customHeight="1">
      <c r="C48" s="1004"/>
      <c r="D48" s="1004"/>
      <c r="E48" s="1004"/>
      <c r="F48" s="1004"/>
      <c r="G48" s="1004"/>
      <c r="H48" s="1004"/>
      <c r="I48" s="1004"/>
      <c r="K48" s="26"/>
      <c r="L48" s="50"/>
      <c r="M48" s="50"/>
    </row>
    <row r="49" spans="1:19" s="1" customFormat="1" ht="15.75" customHeight="1">
      <c r="C49" s="1004"/>
      <c r="D49" s="1004"/>
      <c r="E49" s="1004"/>
      <c r="F49" s="1004"/>
      <c r="G49" s="1004"/>
      <c r="H49" s="1004"/>
      <c r="I49" s="1004"/>
      <c r="K49" s="26"/>
      <c r="L49" s="50"/>
      <c r="M49" s="50"/>
      <c r="N49" s="16"/>
      <c r="O49" s="26"/>
      <c r="P49" s="27"/>
      <c r="Q49" s="27"/>
    </row>
    <row r="50" spans="1:19" s="1" customFormat="1" ht="18.75" customHeight="1">
      <c r="B50" s="1144" t="str">
        <f>ID!A59</f>
        <v>b. Kalibrasi Akurasi Suhu</v>
      </c>
      <c r="C50" s="1144"/>
      <c r="K50" s="26"/>
      <c r="L50" s="50"/>
      <c r="M50" s="50"/>
      <c r="N50" s="17"/>
      <c r="P50" s="26"/>
      <c r="Q50" s="26"/>
    </row>
    <row r="51" spans="1:19" s="1" customFormat="1" ht="33.65" customHeight="1">
      <c r="A51" s="1001" t="s">
        <v>576</v>
      </c>
      <c r="B51" s="1118" t="s">
        <v>267</v>
      </c>
      <c r="C51" s="1118" t="s">
        <v>268</v>
      </c>
      <c r="D51" s="990" t="s">
        <v>269</v>
      </c>
      <c r="E51" s="991"/>
      <c r="F51" s="992"/>
      <c r="G51" s="1118" t="s">
        <v>270</v>
      </c>
      <c r="H51" s="1034" t="s">
        <v>271</v>
      </c>
      <c r="I51" s="1035"/>
      <c r="J51" s="1121" t="s">
        <v>272</v>
      </c>
      <c r="K51" s="1122"/>
      <c r="N51" s="186" t="s">
        <v>262</v>
      </c>
      <c r="O51" s="192"/>
    </row>
    <row r="52" spans="1:19" s="1" customFormat="1" ht="15.75" customHeight="1">
      <c r="A52" s="1001"/>
      <c r="B52" s="1119"/>
      <c r="C52" s="1119"/>
      <c r="D52" s="1116" t="s">
        <v>273</v>
      </c>
      <c r="E52" s="1116" t="s">
        <v>274</v>
      </c>
      <c r="F52" s="1116" t="s">
        <v>186</v>
      </c>
      <c r="G52" s="1119"/>
      <c r="H52" s="1121" t="s">
        <v>275</v>
      </c>
      <c r="I52" s="1122"/>
      <c r="J52" s="1123"/>
      <c r="K52" s="1124"/>
      <c r="N52" s="984" t="s">
        <v>276</v>
      </c>
      <c r="O52" s="1097">
        <f ca="1">IF(C54&lt;=-25,50%,0)</f>
        <v>0.5</v>
      </c>
    </row>
    <row r="53" spans="1:19" s="1" customFormat="1" ht="21" customHeight="1">
      <c r="A53" s="1001"/>
      <c r="B53" s="1120"/>
      <c r="C53" s="1120"/>
      <c r="D53" s="1117"/>
      <c r="E53" s="1117"/>
      <c r="F53" s="1117"/>
      <c r="G53" s="1120"/>
      <c r="H53" s="1123"/>
      <c r="I53" s="1124"/>
      <c r="J53" s="1125"/>
      <c r="K53" s="1126"/>
      <c r="N53" s="984"/>
      <c r="O53" s="1098"/>
      <c r="R53" s="1095"/>
      <c r="S53" s="1095"/>
    </row>
    <row r="54" spans="1:19" s="1" customFormat="1" ht="33" customHeight="1">
      <c r="A54" s="738">
        <f>ID!A63</f>
        <v>-33</v>
      </c>
      <c r="B54" s="274">
        <f>O62</f>
        <v>-25</v>
      </c>
      <c r="C54" s="38">
        <f ca="1">ID!K98</f>
        <v>-26.693000000000005</v>
      </c>
      <c r="D54" s="38">
        <f ca="1">ID!K99</f>
        <v>6.9999999999993179E-2</v>
      </c>
      <c r="E54" s="38">
        <f ca="1">ID!K100</f>
        <v>0</v>
      </c>
      <c r="F54" s="38">
        <f ca="1">ID!K101</f>
        <v>7.0000000000000284E-2</v>
      </c>
      <c r="G54" s="195">
        <f ca="1">O61</f>
        <v>-1.6930000000000049</v>
      </c>
      <c r="H54" s="1125"/>
      <c r="I54" s="1126"/>
      <c r="J54" s="1093">
        <f ca="1">'Uncertainty Budget'!N20</f>
        <v>0.59317771046407919</v>
      </c>
      <c r="K54" s="1094"/>
      <c r="N54" s="1096" t="s">
        <v>277</v>
      </c>
      <c r="O54" s="1097">
        <f ca="1">IF(D54&lt;=2,50%,0)</f>
        <v>0.5</v>
      </c>
      <c r="R54" s="268"/>
    </row>
    <row r="55" spans="1:19" s="1" customFormat="1" ht="9" customHeight="1">
      <c r="N55" s="998"/>
      <c r="O55" s="1098"/>
      <c r="P55" s="19"/>
      <c r="Q55" s="17"/>
    </row>
    <row r="56" spans="1:19" s="1" customFormat="1">
      <c r="A56" s="42" t="s">
        <v>278</v>
      </c>
      <c r="B56" s="196" t="s">
        <v>279</v>
      </c>
      <c r="C56" s="39"/>
      <c r="D56" s="177"/>
      <c r="E56" s="42"/>
      <c r="F56" s="41"/>
      <c r="G56" s="39"/>
      <c r="H56" s="39"/>
      <c r="I56" s="39"/>
      <c r="J56" s="39"/>
      <c r="K56" s="39"/>
      <c r="L56" s="39"/>
      <c r="N56" s="26"/>
      <c r="O56" s="51"/>
      <c r="P56" s="29"/>
      <c r="Q56" s="29"/>
    </row>
    <row r="57" spans="1:19" s="1" customFormat="1" ht="20">
      <c r="A57" s="39"/>
      <c r="B57" s="40" t="str">
        <f>ID!A107</f>
        <v>Ketidakpastian pengukuran dilaporkan pada tingkat kepercayaan 95% dengan faktor cakupan k=2</v>
      </c>
      <c r="C57" s="39"/>
      <c r="D57" s="39"/>
      <c r="E57" s="177"/>
      <c r="F57" s="41"/>
      <c r="G57" s="39"/>
      <c r="H57" s="39"/>
      <c r="I57" s="39"/>
      <c r="J57" s="39"/>
      <c r="K57" s="39"/>
      <c r="L57" s="39"/>
      <c r="N57" s="20" t="s">
        <v>280</v>
      </c>
      <c r="O57" s="734">
        <f ca="1">IF(AND(O52=50%,O54=50%),50%,0)</f>
        <v>0.5</v>
      </c>
      <c r="P57" s="29"/>
      <c r="Q57" s="29"/>
    </row>
    <row r="58" spans="1:19" s="1" customFormat="1">
      <c r="A58" s="39"/>
      <c r="B58" s="40" t="str">
        <f>ID!A108</f>
        <v>Hasil pengukuran keselamatan listrik tertelusur ke Satuan SI melalui PT. Kaliman ( LK-032-IDN )</v>
      </c>
      <c r="C58" s="39"/>
      <c r="D58" s="39"/>
      <c r="E58" s="177"/>
      <c r="F58" s="41"/>
      <c r="G58" s="39"/>
      <c r="H58" s="39"/>
      <c r="I58" s="39"/>
      <c r="J58" s="39"/>
      <c r="K58" s="39"/>
      <c r="L58" s="39"/>
      <c r="N58" s="20"/>
      <c r="O58" s="26"/>
      <c r="P58" s="29"/>
      <c r="Q58" s="29"/>
    </row>
    <row r="59" spans="1:19" s="1" customFormat="1">
      <c r="A59" s="39"/>
      <c r="B59" s="40" t="str">
        <f>ID!A109</f>
        <v>Hasil pengujian kinerja suhu tertelusur ke Satuan SI melalui Laboratorium SNSU-BSN</v>
      </c>
      <c r="C59" s="39"/>
      <c r="D59" s="39"/>
      <c r="E59" s="177"/>
      <c r="F59" s="41"/>
      <c r="G59" s="39"/>
      <c r="H59" s="39"/>
      <c r="I59" s="39"/>
      <c r="J59" s="39"/>
      <c r="K59" s="39"/>
      <c r="L59" s="39"/>
      <c r="N59" s="20"/>
      <c r="O59" s="51"/>
      <c r="P59" s="29"/>
      <c r="Q59" s="29"/>
      <c r="R59" s="55"/>
    </row>
    <row r="60" spans="1:19" s="1" customFormat="1">
      <c r="A60" s="39"/>
      <c r="B60" s="40" t="str">
        <f>ID!A110</f>
        <v>Tidak dilakukan pengujian keselamatan listrik karena alat tidak boleh dalam kondisi off</v>
      </c>
      <c r="C60" s="39"/>
      <c r="D60" s="39"/>
      <c r="E60" s="177"/>
      <c r="F60" s="41"/>
      <c r="G60" s="39"/>
      <c r="H60" s="39"/>
      <c r="I60" s="39"/>
      <c r="J60" s="39"/>
      <c r="K60" s="39"/>
      <c r="L60" s="39"/>
      <c r="N60" s="20"/>
      <c r="O60" s="49">
        <f>ID!K97</f>
        <v>-25</v>
      </c>
      <c r="P60" s="29"/>
      <c r="Q60" s="29"/>
      <c r="R60" s="55"/>
    </row>
    <row r="61" spans="1:19" s="1" customFormat="1">
      <c r="A61" s="39"/>
      <c r="B61" s="40" t="str">
        <f ca="1">ID!A111</f>
        <v/>
      </c>
      <c r="C61" s="39"/>
      <c r="D61" s="39"/>
      <c r="E61" s="177"/>
      <c r="F61" s="41"/>
      <c r="G61" s="39"/>
      <c r="H61" s="39"/>
      <c r="I61" s="39"/>
      <c r="J61" s="39"/>
      <c r="K61" s="39"/>
      <c r="L61" s="39"/>
      <c r="N61" s="20" t="s">
        <v>281</v>
      </c>
      <c r="O61" s="50">
        <f ca="1">IF(ID!E8="Digital",'Lembar Penyelia'!C54-'Lembar Penyelia'!B54,"-")</f>
        <v>-1.6930000000000049</v>
      </c>
      <c r="P61" s="29" t="str">
        <f ca="1">TEXT(O61,'Uncertainty Budget'!$P$20)</f>
        <v>-1.69</v>
      </c>
      <c r="Q61" s="29"/>
      <c r="R61" s="55"/>
    </row>
    <row r="62" spans="1:19" s="1" customFormat="1">
      <c r="A62" s="39"/>
      <c r="B62" s="40"/>
      <c r="C62" s="39"/>
      <c r="D62" s="39"/>
      <c r="E62" s="177"/>
      <c r="F62" s="41"/>
      <c r="G62" s="39"/>
      <c r="H62" s="39"/>
      <c r="I62" s="39"/>
      <c r="J62" s="39"/>
      <c r="K62" s="39"/>
      <c r="L62" s="39"/>
      <c r="N62" s="20" t="s">
        <v>282</v>
      </c>
      <c r="O62" s="49">
        <f>IF(ID!E8="Digital",O60,"-")</f>
        <v>-25</v>
      </c>
      <c r="P62" s="29"/>
      <c r="Q62" s="29"/>
      <c r="R62" s="55"/>
    </row>
    <row r="63" spans="1:19" s="1" customFormat="1">
      <c r="A63" s="39"/>
      <c r="B63" s="40"/>
      <c r="C63" s="39"/>
      <c r="D63" s="39"/>
      <c r="E63" s="177"/>
      <c r="F63" s="41"/>
      <c r="G63" s="39"/>
      <c r="H63" s="39"/>
      <c r="I63" s="39"/>
      <c r="J63" s="39"/>
      <c r="K63" s="39"/>
      <c r="L63" s="39"/>
      <c r="N63" s="20"/>
      <c r="O63" s="26"/>
      <c r="P63" s="29"/>
      <c r="Q63" s="29"/>
      <c r="R63" s="55"/>
    </row>
    <row r="64" spans="1:19" s="1" customFormat="1" ht="9" customHeight="1">
      <c r="A64" s="39"/>
      <c r="B64" s="39"/>
      <c r="C64" s="40"/>
      <c r="D64" s="39"/>
      <c r="E64" s="177"/>
      <c r="F64" s="41"/>
      <c r="G64" s="39"/>
      <c r="H64" s="39"/>
      <c r="I64" s="39"/>
      <c r="J64" s="39"/>
      <c r="K64" s="39"/>
      <c r="L64" s="39"/>
      <c r="N64" s="20"/>
      <c r="O64" s="26"/>
      <c r="P64" s="29"/>
      <c r="Q64" s="29"/>
    </row>
    <row r="65" spans="1:19" s="1" customFormat="1" ht="16">
      <c r="A65" s="42" t="s">
        <v>283</v>
      </c>
      <c r="B65" s="43" t="s">
        <v>593</v>
      </c>
      <c r="C65" s="39"/>
      <c r="D65" s="39"/>
      <c r="E65" s="44"/>
      <c r="F65" s="39"/>
      <c r="G65" s="39"/>
      <c r="H65" s="39"/>
      <c r="I65" s="39"/>
      <c r="J65" s="39"/>
      <c r="K65" s="39"/>
      <c r="L65" s="39"/>
      <c r="M65" s="52"/>
      <c r="N65" s="22"/>
      <c r="O65" s="22"/>
      <c r="P65" s="20"/>
      <c r="Q65" s="30"/>
    </row>
    <row r="66" spans="1:19" s="1" customFormat="1">
      <c r="A66" s="39"/>
      <c r="B66" s="197" t="str">
        <f>ID!A113</f>
        <v>Wireless Temperature Recorder, Merek : HIOKI, Model : LR 8510, SN : 210411984</v>
      </c>
      <c r="C66" s="39"/>
      <c r="D66" s="177"/>
      <c r="E66" s="41"/>
      <c r="F66" s="39"/>
      <c r="G66" s="39"/>
      <c r="H66" s="39"/>
      <c r="I66" s="39"/>
      <c r="J66" s="39"/>
      <c r="K66" s="125"/>
      <c r="L66" s="39"/>
      <c r="N66" s="1" t="str">
        <f>ID!A110</f>
        <v>Tidak dilakukan pengujian keselamatan listrik karena alat tidak boleh dalam kondisi off</v>
      </c>
    </row>
    <row r="67" spans="1:19" s="1" customFormat="1">
      <c r="A67" s="39"/>
      <c r="B67" s="197" t="str">
        <f>IF('Data Alat'!A67="OK",ID!A114,"")</f>
        <v>Temperature Recorder, Merek : HIOKI, Model : LR 8410, SN : 210368322</v>
      </c>
      <c r="C67" s="197"/>
      <c r="D67" s="197"/>
      <c r="E67" s="197"/>
      <c r="F67" s="197"/>
      <c r="G67" s="197"/>
      <c r="H67" s="197"/>
      <c r="I67" s="197"/>
      <c r="J67" s="39"/>
      <c r="K67" s="125"/>
      <c r="L67" s="39"/>
    </row>
    <row r="68" spans="1:19" s="1" customFormat="1" ht="15.75" customHeight="1">
      <c r="A68" s="39"/>
      <c r="B68" s="197" t="str">
        <f>ID!A115</f>
        <v>Electrical Safety Analyzer, Merek : Fluke, Model : ESA 615, SN : 3148908</v>
      </c>
      <c r="C68" s="39"/>
      <c r="D68" s="177"/>
      <c r="E68" s="41"/>
      <c r="F68" s="39"/>
      <c r="G68" s="39"/>
      <c r="H68" s="39"/>
      <c r="I68" s="39"/>
      <c r="J68" s="39"/>
      <c r="K68" s="125"/>
      <c r="L68" s="39"/>
    </row>
    <row r="69" spans="1:19" s="1" customFormat="1">
      <c r="A69" s="39"/>
      <c r="B69" s="197" t="str">
        <f>ID!A116</f>
        <v>Thermohygrolight, Merek : EXTECH, Model : SD700, SN : A.100616</v>
      </c>
      <c r="C69" s="39"/>
      <c r="D69" s="177"/>
      <c r="E69" s="41"/>
      <c r="F69" s="39"/>
      <c r="G69" s="39"/>
      <c r="H69" s="39"/>
      <c r="I69" s="39"/>
      <c r="J69" s="39"/>
      <c r="K69" s="125"/>
      <c r="L69" s="39"/>
    </row>
    <row r="70" spans="1:19" s="1" customFormat="1" ht="9" customHeight="1">
      <c r="A70" s="39"/>
      <c r="B70" s="39"/>
      <c r="C70" s="197"/>
      <c r="D70" s="177"/>
      <c r="E70" s="41"/>
      <c r="F70" s="39"/>
      <c r="G70" s="39"/>
      <c r="H70" s="39"/>
      <c r="I70" s="39"/>
      <c r="J70" s="39"/>
      <c r="K70" s="125"/>
      <c r="L70" s="39"/>
    </row>
    <row r="71" spans="1:19" s="1" customFormat="1">
      <c r="A71" s="42" t="s">
        <v>285</v>
      </c>
      <c r="B71" s="198" t="s">
        <v>286</v>
      </c>
      <c r="C71" s="39"/>
      <c r="D71" s="177"/>
      <c r="E71" s="41"/>
      <c r="F71" s="39"/>
      <c r="G71" s="39"/>
      <c r="H71" s="39"/>
      <c r="I71" s="39"/>
      <c r="J71" s="39"/>
      <c r="K71" s="125"/>
      <c r="L71" s="39"/>
      <c r="N71" s="267"/>
      <c r="O71" s="342"/>
    </row>
    <row r="72" spans="1:19" s="1" customFormat="1" ht="15" customHeight="1">
      <c r="A72" s="39"/>
      <c r="B72" s="1092" t="str">
        <f ca="1">'Data Alat'!A42</f>
        <v>Alat yang dikalibrasi dalam batas toleransi dan dinyatakan LAIK PAKAI, dimana hasil atau skor akhir sama dengan atau melampaui 70% berdasarkan Keputusan Direktur Jenderal Pelayanan Kesehatan No : HK.02.02/V/0412/2020</v>
      </c>
      <c r="C72" s="1092"/>
      <c r="D72" s="1092"/>
      <c r="E72" s="1092"/>
      <c r="F72" s="1092"/>
      <c r="G72" s="1092"/>
      <c r="H72" s="1092"/>
      <c r="I72" s="1092"/>
      <c r="J72" s="1092"/>
      <c r="K72" s="1092"/>
      <c r="L72" s="1092"/>
    </row>
    <row r="73" spans="1:19" s="1" customFormat="1" ht="9" customHeight="1">
      <c r="A73" s="39"/>
      <c r="B73" s="1092"/>
      <c r="C73" s="1092"/>
      <c r="D73" s="1092"/>
      <c r="E73" s="1092"/>
      <c r="F73" s="1092"/>
      <c r="G73" s="1092"/>
      <c r="H73" s="1092"/>
      <c r="I73" s="1092"/>
      <c r="J73" s="1092"/>
      <c r="K73" s="1092"/>
      <c r="L73" s="1092"/>
    </row>
    <row r="74" spans="1:19" s="1" customFormat="1" ht="20.25" customHeight="1">
      <c r="A74" s="39"/>
      <c r="B74" s="1092"/>
      <c r="C74" s="1092"/>
      <c r="D74" s="1092"/>
      <c r="E74" s="1092"/>
      <c r="F74" s="1092"/>
      <c r="G74" s="1092"/>
      <c r="H74" s="1092"/>
      <c r="I74" s="1092"/>
      <c r="J74" s="1092"/>
      <c r="K74" s="1092"/>
      <c r="L74" s="1092"/>
    </row>
    <row r="75" spans="1:19" s="1" customFormat="1" ht="20.25" hidden="1" customHeight="1">
      <c r="A75" s="39"/>
      <c r="B75" s="199"/>
      <c r="C75" s="199"/>
      <c r="D75" s="199"/>
      <c r="E75" s="199"/>
      <c r="F75" s="199"/>
      <c r="G75" s="199"/>
      <c r="H75" s="199"/>
      <c r="I75" s="199"/>
      <c r="J75" s="199"/>
      <c r="K75" s="125"/>
      <c r="L75" s="39"/>
      <c r="Q75" s="20"/>
      <c r="R75" s="266" t="str">
        <f>IF(O75="Ya",#REF!-B54,"")</f>
        <v/>
      </c>
      <c r="S75" s="266"/>
    </row>
    <row r="76" spans="1:19" s="1" customFormat="1">
      <c r="A76" s="42" t="s">
        <v>287</v>
      </c>
      <c r="B76" s="200" t="str">
        <f>U26</f>
        <v>Petugas kalibrasi</v>
      </c>
      <c r="C76" s="39"/>
      <c r="D76" s="178"/>
      <c r="E76" s="201"/>
      <c r="F76" s="1112"/>
      <c r="G76" s="1112"/>
      <c r="H76" s="1112"/>
      <c r="I76" s="39"/>
      <c r="J76" s="39"/>
      <c r="K76" s="39"/>
      <c r="L76" s="39"/>
      <c r="O76" s="266"/>
      <c r="S76" s="266"/>
    </row>
    <row r="77" spans="1:19" s="1" customFormat="1" ht="18" customHeight="1">
      <c r="A77" s="39"/>
      <c r="B77" s="178" t="str">
        <f>ID!A122</f>
        <v>Choirul Huda</v>
      </c>
      <c r="C77" s="39"/>
      <c r="D77" s="177"/>
      <c r="E77" s="41"/>
      <c r="F77" s="45"/>
      <c r="G77" s="202"/>
      <c r="H77" s="45"/>
      <c r="I77" s="39"/>
      <c r="J77" s="39"/>
      <c r="K77" s="39"/>
      <c r="L77" s="39"/>
    </row>
    <row r="78" spans="1:19" hidden="1">
      <c r="A78" s="46"/>
      <c r="B78" s="46"/>
      <c r="C78" s="47"/>
      <c r="D78" s="47"/>
      <c r="E78" s="47"/>
      <c r="F78" s="47"/>
      <c r="G78" s="47"/>
      <c r="H78" s="47"/>
      <c r="I78" s="47"/>
      <c r="J78" s="47"/>
      <c r="K78" s="48"/>
      <c r="L78" s="48"/>
    </row>
    <row r="79" spans="1:19" hidden="1">
      <c r="A79" s="46"/>
      <c r="B79" s="46"/>
      <c r="C79" s="48"/>
      <c r="D79" s="48"/>
      <c r="E79" s="48"/>
      <c r="F79" s="48"/>
      <c r="G79" s="48"/>
      <c r="H79" s="48"/>
      <c r="I79" s="48"/>
      <c r="J79" s="47"/>
      <c r="K79" s="48"/>
      <c r="L79" s="48"/>
      <c r="M79" s="53"/>
    </row>
    <row r="80" spans="1:19">
      <c r="A80" s="46"/>
      <c r="B80" s="46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27">
      <c r="A81" s="46"/>
      <c r="B81" s="1113" t="s">
        <v>90</v>
      </c>
      <c r="C81" s="1114"/>
      <c r="D81" s="1115"/>
      <c r="E81" s="1113" t="s">
        <v>88</v>
      </c>
      <c r="F81" s="1115"/>
      <c r="G81" s="768" t="s">
        <v>288</v>
      </c>
      <c r="H81" s="1113" t="s">
        <v>289</v>
      </c>
      <c r="I81" s="1115"/>
      <c r="J81" s="48"/>
      <c r="K81" s="48"/>
      <c r="L81" s="48"/>
      <c r="O81" s="54"/>
    </row>
    <row r="82" spans="1:27">
      <c r="A82" s="46"/>
      <c r="B82" s="769" t="s">
        <v>290</v>
      </c>
      <c r="C82" s="770" t="str">
        <f>ID!A122</f>
        <v>Choirul Huda</v>
      </c>
      <c r="D82" s="771"/>
      <c r="E82" s="1343" t="str">
        <f>ID!A125</f>
        <v>30 September 2023</v>
      </c>
      <c r="F82" s="1344"/>
      <c r="G82" s="772"/>
      <c r="H82" s="1108">
        <f ca="1">(O57+O34+O24+O23)*100</f>
        <v>80</v>
      </c>
      <c r="I82" s="1109"/>
      <c r="J82" s="48"/>
      <c r="K82" s="48"/>
      <c r="L82" s="48"/>
      <c r="O82" s="54"/>
    </row>
    <row r="83" spans="1:27">
      <c r="A83" s="46"/>
      <c r="B83" s="1127" t="s">
        <v>291</v>
      </c>
      <c r="C83" s="1128"/>
      <c r="D83" s="1129"/>
      <c r="E83" s="1130"/>
      <c r="F83" s="1131"/>
      <c r="G83" s="773"/>
      <c r="H83" s="1110"/>
      <c r="I83" s="1111"/>
      <c r="J83" s="59"/>
      <c r="K83" s="48"/>
      <c r="L83" s="48"/>
      <c r="N83" s="32"/>
      <c r="O83" s="32"/>
    </row>
    <row r="84" spans="1:27">
      <c r="A84" s="46"/>
      <c r="B84" s="46"/>
      <c r="C84" s="56"/>
      <c r="D84" s="56"/>
      <c r="E84" s="56"/>
      <c r="F84" s="56"/>
      <c r="G84" s="56"/>
      <c r="H84" s="56"/>
      <c r="I84" s="56"/>
      <c r="J84" s="48"/>
      <c r="K84" s="48"/>
      <c r="N84" s="269"/>
    </row>
    <row r="85" spans="1:27">
      <c r="A85" s="46"/>
      <c r="B85" s="46"/>
      <c r="C85" s="56"/>
      <c r="D85" s="56"/>
      <c r="E85" s="56"/>
      <c r="F85" s="56"/>
      <c r="G85" s="56"/>
      <c r="H85" s="56"/>
      <c r="I85" s="56"/>
      <c r="J85" s="48"/>
      <c r="K85" s="48"/>
    </row>
    <row r="86" spans="1:27">
      <c r="A86" s="46"/>
      <c r="B86" s="46"/>
      <c r="C86" s="57"/>
      <c r="D86" s="57"/>
      <c r="E86" s="56"/>
      <c r="F86" s="56"/>
      <c r="G86" s="56"/>
      <c r="H86" s="56"/>
      <c r="I86" s="56"/>
      <c r="J86" s="48"/>
      <c r="K86" s="60"/>
      <c r="N86" s="61"/>
    </row>
    <row r="87" spans="1:27">
      <c r="C87" s="58"/>
      <c r="D87" s="58"/>
      <c r="E87" s="58"/>
      <c r="F87" s="58"/>
      <c r="G87" s="58"/>
      <c r="H87" s="58"/>
      <c r="I87" s="58"/>
      <c r="N87" s="61"/>
    </row>
    <row r="88" spans="1:27">
      <c r="Z88" s="792"/>
      <c r="AA88" s="54"/>
    </row>
    <row r="89" spans="1:27">
      <c r="AA89" s="54"/>
    </row>
    <row r="106" spans="26:26">
      <c r="Z106" s="792"/>
    </row>
  </sheetData>
  <sheetProtection formatCells="0" formatColumns="0" formatRows="0" insertColumns="0" insertRows="0" deleteColumns="0" deleteRows="0"/>
  <mergeCells count="59">
    <mergeCell ref="A2:L2"/>
    <mergeCell ref="H25:I25"/>
    <mergeCell ref="H27:I27"/>
    <mergeCell ref="H26:I26"/>
    <mergeCell ref="J51:K53"/>
    <mergeCell ref="J24:K24"/>
    <mergeCell ref="H24:I24"/>
    <mergeCell ref="C24:G24"/>
    <mergeCell ref="E17:F17"/>
    <mergeCell ref="C31:I49"/>
    <mergeCell ref="B50:C50"/>
    <mergeCell ref="D52:D53"/>
    <mergeCell ref="E52:E53"/>
    <mergeCell ref="A1:L1"/>
    <mergeCell ref="E13:L13"/>
    <mergeCell ref="H82:I83"/>
    <mergeCell ref="F76:H76"/>
    <mergeCell ref="B81:D81"/>
    <mergeCell ref="E81:F81"/>
    <mergeCell ref="F52:F53"/>
    <mergeCell ref="H81:I81"/>
    <mergeCell ref="G51:G53"/>
    <mergeCell ref="H52:I54"/>
    <mergeCell ref="H51:I51"/>
    <mergeCell ref="E82:F82"/>
    <mergeCell ref="B83:D83"/>
    <mergeCell ref="E83:F83"/>
    <mergeCell ref="B51:B53"/>
    <mergeCell ref="C51:C53"/>
    <mergeCell ref="B72:L74"/>
    <mergeCell ref="J54:K54"/>
    <mergeCell ref="R53:S53"/>
    <mergeCell ref="N54:N55"/>
    <mergeCell ref="O21:O22"/>
    <mergeCell ref="O52:O53"/>
    <mergeCell ref="O54:O55"/>
    <mergeCell ref="N21:N22"/>
    <mergeCell ref="N52:N53"/>
    <mergeCell ref="M27:N27"/>
    <mergeCell ref="K30:K31"/>
    <mergeCell ref="J27:K27"/>
    <mergeCell ref="L30:M30"/>
    <mergeCell ref="J25:K25"/>
    <mergeCell ref="J26:K26"/>
    <mergeCell ref="J28:K28"/>
    <mergeCell ref="P6:Q7"/>
    <mergeCell ref="R6:R7"/>
    <mergeCell ref="S6:S7"/>
    <mergeCell ref="T6:T7"/>
    <mergeCell ref="V6:AD6"/>
    <mergeCell ref="V7:AD7"/>
    <mergeCell ref="A51:A53"/>
    <mergeCell ref="V8:AD8"/>
    <mergeCell ref="V11:AB11"/>
    <mergeCell ref="P12:P13"/>
    <mergeCell ref="Q12:Q13"/>
    <mergeCell ref="D51:F51"/>
    <mergeCell ref="C27:G27"/>
    <mergeCell ref="M29:N29"/>
  </mergeCells>
  <dataValidations count="1">
    <dataValidation allowBlank="1" showInputMessage="1" sqref="H82:I83" xr:uid="{D4A17809-9AE4-4C52-A68E-7091FE3AC09F}"/>
  </dataValidations>
  <printOptions horizontalCentered="1"/>
  <pageMargins left="0.511811023622047" right="0.23622047244094499" top="0.511811023622047" bottom="0.23622047244094499" header="0.23622047244094499" footer="0.23622047244094499"/>
  <pageSetup paperSize="9" scale="62" orientation="portrait" r:id="rId1"/>
  <headerFooter>
    <oddHeader>&amp;R&amp;"-,Regular"&amp;8SH.LP - 031-18 / Rev  : 0</oddHeader>
    <oddFooter>&amp;R&amp;"Arial,Bold"&amp;K01+034Medical Freezer 3.7.2023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$H$77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7030A0"/>
  </sheetPr>
  <dimension ref="A1:T108"/>
  <sheetViews>
    <sheetView showGridLines="0" tabSelected="1" view="pageBreakPreview" zoomScaleNormal="100" zoomScaleSheetLayoutView="100" workbookViewId="0">
      <selection activeCell="H14" sqref="H14"/>
    </sheetView>
  </sheetViews>
  <sheetFormatPr defaultColWidth="9" defaultRowHeight="14"/>
  <cols>
    <col min="1" max="1" width="4.453125" style="3" customWidth="1"/>
    <col min="2" max="2" width="5.54296875" style="3" customWidth="1"/>
    <col min="3" max="3" width="14.54296875" style="3" customWidth="1"/>
    <col min="4" max="4" width="5.453125" style="3" customWidth="1"/>
    <col min="5" max="5" width="9.453125" style="3" customWidth="1"/>
    <col min="6" max="6" width="11.453125" style="3" customWidth="1"/>
    <col min="7" max="7" width="10" style="3" customWidth="1"/>
    <col min="8" max="8" width="11.54296875" style="3" customWidth="1"/>
    <col min="9" max="9" width="10.453125" style="3" customWidth="1"/>
    <col min="10" max="10" width="8.1796875" style="3" customWidth="1"/>
    <col min="11" max="11" width="6.54296875" style="3" customWidth="1"/>
    <col min="12" max="12" width="8.453125" style="3" customWidth="1"/>
    <col min="13" max="14" width="8" style="3" customWidth="1"/>
    <col min="15" max="15" width="7.81640625" style="3" customWidth="1"/>
    <col min="16" max="16" width="9.1796875" style="3" customWidth="1"/>
    <col min="17" max="18" width="9.453125" style="3" customWidth="1"/>
    <col min="19" max="258" width="9.1796875" style="3" customWidth="1"/>
    <col min="259" max="16384" width="9" style="3"/>
  </cols>
  <sheetData>
    <row r="1" spans="1:15" ht="19.5" customHeight="1">
      <c r="A1" s="946" t="str">
        <f>'Lembar Penyelia'!A1:K1</f>
        <v>Hasil Kalibrasi Medical Freezer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</row>
    <row r="2" spans="1:15" ht="18.75" customHeight="1">
      <c r="A2" s="1135" t="str">
        <f ca="1">'Lembar Penyelia'!A2:M2</f>
        <v>Nomor Sertifikat : 67 / 1 / VI - 23 / E - 123 DL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135"/>
      <c r="N2" s="1135"/>
    </row>
    <row r="3" spans="1:15" ht="14.15" customHeight="1">
      <c r="D3" s="208"/>
      <c r="E3" s="208"/>
      <c r="F3" s="208"/>
      <c r="G3" s="208"/>
      <c r="H3" s="208"/>
      <c r="I3" s="208"/>
      <c r="J3" s="208"/>
      <c r="K3" s="208"/>
      <c r="L3" s="208"/>
      <c r="M3" s="208"/>
    </row>
    <row r="4" spans="1:15" s="1" customFormat="1" ht="15.75" customHeight="1">
      <c r="A4" s="206" t="s">
        <v>292</v>
      </c>
      <c r="B4" s="206"/>
      <c r="C4" s="3"/>
      <c r="D4" s="209" t="s">
        <v>2</v>
      </c>
      <c r="E4" s="205" t="str">
        <f>'Lembar Penyelia'!E4</f>
        <v>GEA</v>
      </c>
      <c r="F4" s="205"/>
      <c r="G4" s="3"/>
      <c r="H4" s="3"/>
      <c r="I4" s="3"/>
      <c r="J4" s="3"/>
      <c r="K4" s="3"/>
      <c r="L4" s="206"/>
      <c r="M4" s="209"/>
      <c r="N4" s="3"/>
      <c r="O4" s="3"/>
    </row>
    <row r="5" spans="1:15" s="1" customFormat="1" ht="15.75" customHeight="1">
      <c r="A5" s="206" t="s">
        <v>3</v>
      </c>
      <c r="B5" s="206"/>
      <c r="C5" s="3"/>
      <c r="D5" s="209" t="s">
        <v>2</v>
      </c>
      <c r="E5" s="205" t="str">
        <f>'Lembar Penyelia'!E5</f>
        <v>AB - 375 LT</v>
      </c>
      <c r="F5" s="205"/>
      <c r="G5" s="3"/>
      <c r="H5" s="3"/>
      <c r="I5" s="3"/>
      <c r="J5" s="3"/>
      <c r="K5" s="3"/>
      <c r="L5" s="206"/>
      <c r="M5" s="209"/>
      <c r="N5" s="3"/>
      <c r="O5" s="3"/>
    </row>
    <row r="6" spans="1:15" s="1" customFormat="1" ht="15.75" customHeight="1">
      <c r="A6" s="206" t="s">
        <v>293</v>
      </c>
      <c r="B6" s="206"/>
      <c r="C6" s="3"/>
      <c r="D6" s="209" t="s">
        <v>2</v>
      </c>
      <c r="E6" s="1345" t="str">
        <f>'Lembar Penyelia'!E6</f>
        <v>110663750217</v>
      </c>
      <c r="F6" s="205"/>
      <c r="G6" s="3"/>
      <c r="H6" s="3"/>
      <c r="I6" s="3"/>
      <c r="J6" s="3"/>
      <c r="K6" s="3"/>
      <c r="L6" s="206"/>
      <c r="M6" s="209"/>
      <c r="N6" s="3"/>
      <c r="O6" s="3"/>
    </row>
    <row r="7" spans="1:15" s="1" customFormat="1" ht="15.75" customHeight="1">
      <c r="A7" s="206" t="s">
        <v>5</v>
      </c>
      <c r="B7" s="206"/>
      <c r="C7" s="3"/>
      <c r="D7" s="209" t="s">
        <v>2</v>
      </c>
      <c r="E7" s="212" t="str">
        <f>'Lembar Penyelia'!E7&amp;'Lembar Penyelia'!F7</f>
        <v>1°C</v>
      </c>
      <c r="F7" s="206"/>
      <c r="G7" s="3"/>
      <c r="H7" s="3"/>
      <c r="I7" s="206"/>
      <c r="J7" s="206"/>
      <c r="K7" s="209"/>
      <c r="L7" s="3"/>
      <c r="M7" s="3"/>
      <c r="N7" s="3"/>
      <c r="O7" s="3"/>
    </row>
    <row r="8" spans="1:15" s="1" customFormat="1" ht="13.4" customHeight="1">
      <c r="A8" s="206" t="str">
        <f>'Lembar Penyelia'!A8</f>
        <v>Tanggal penerimaan alat</v>
      </c>
      <c r="B8" s="206"/>
      <c r="C8" s="3"/>
      <c r="D8" s="209" t="s">
        <v>2</v>
      </c>
      <c r="E8" s="1346" t="str">
        <f>'Lembar Penyelia'!E8</f>
        <v>21 Desember 2022</v>
      </c>
      <c r="F8" s="1346"/>
      <c r="G8" s="3"/>
      <c r="H8" s="3"/>
      <c r="I8" s="206"/>
      <c r="J8" s="206"/>
      <c r="K8" s="209"/>
      <c r="L8" s="3"/>
      <c r="M8" s="3"/>
      <c r="N8" s="3"/>
      <c r="O8" s="3"/>
    </row>
    <row r="9" spans="1:15" s="1" customFormat="1" ht="15.75" customHeight="1">
      <c r="A9" s="206" t="s">
        <v>294</v>
      </c>
      <c r="B9" s="206"/>
      <c r="C9" s="3"/>
      <c r="D9" s="209" t="s">
        <v>2</v>
      </c>
      <c r="E9" s="1346" t="str">
        <f>'Lembar Penyelia'!E9</f>
        <v>21 Desember 2022</v>
      </c>
      <c r="F9" s="1346"/>
      <c r="G9" s="3"/>
      <c r="H9" s="3"/>
      <c r="I9" s="206"/>
      <c r="J9" s="206"/>
      <c r="K9" s="209"/>
      <c r="L9" s="3"/>
      <c r="M9" s="3"/>
      <c r="N9" s="3"/>
      <c r="O9" s="3"/>
    </row>
    <row r="10" spans="1:15" s="1" customFormat="1" ht="15.75" customHeight="1">
      <c r="A10" s="206" t="s">
        <v>125</v>
      </c>
      <c r="B10" s="206"/>
      <c r="C10" s="3"/>
      <c r="D10" s="209" t="s">
        <v>2</v>
      </c>
      <c r="E10" s="1345" t="str">
        <f>'Lembar Penyelia'!E10</f>
        <v>Laboratorium Mikrobiologi</v>
      </c>
      <c r="F10" s="1345"/>
      <c r="G10" s="3"/>
      <c r="H10" s="3"/>
      <c r="I10" s="206"/>
      <c r="J10" s="206"/>
      <c r="K10" s="209"/>
      <c r="L10" s="3"/>
      <c r="M10" s="3"/>
      <c r="N10" s="3"/>
      <c r="O10" s="3"/>
    </row>
    <row r="11" spans="1:15" s="1" customFormat="1" ht="15.75" customHeight="1">
      <c r="A11" s="206" t="s">
        <v>127</v>
      </c>
      <c r="B11" s="206"/>
      <c r="C11" s="3"/>
      <c r="D11" s="209" t="s">
        <v>2</v>
      </c>
      <c r="E11" s="1345" t="str">
        <f>'Lembar Penyelia'!E11</f>
        <v>Laboratorium Mikrobiologi</v>
      </c>
      <c r="F11" s="1345"/>
      <c r="G11" s="3"/>
      <c r="H11" s="3"/>
      <c r="I11" s="206"/>
      <c r="J11" s="206"/>
      <c r="K11" s="209"/>
      <c r="L11" s="3"/>
      <c r="M11" s="3"/>
      <c r="N11" s="3"/>
      <c r="O11" s="3"/>
    </row>
    <row r="12" spans="1:15" s="1" customFormat="1" ht="15.75" customHeight="1">
      <c r="A12" s="206" t="s">
        <v>295</v>
      </c>
      <c r="B12" s="206"/>
      <c r="C12" s="3"/>
      <c r="D12" s="209" t="s">
        <v>2</v>
      </c>
      <c r="E12" s="3" t="str">
        <f>'Lembar Penyelia'!E12</f>
        <v>MK.031-18</v>
      </c>
      <c r="F12" s="3"/>
      <c r="G12" s="3"/>
      <c r="H12" s="3"/>
      <c r="I12" s="206"/>
      <c r="J12" s="206"/>
      <c r="K12" s="209"/>
      <c r="L12" s="3"/>
      <c r="M12" s="3"/>
      <c r="N12" s="3"/>
      <c r="O12" s="3"/>
    </row>
    <row r="13" spans="1:15" s="1" customFormat="1" ht="14.15" customHeight="1">
      <c r="A13" s="3"/>
      <c r="B13" s="3"/>
      <c r="C13" s="3"/>
      <c r="D13" s="206"/>
      <c r="E13" s="1168"/>
      <c r="F13" s="1168"/>
      <c r="G13" s="1168"/>
      <c r="H13" s="1168"/>
      <c r="I13" s="1168"/>
      <c r="J13" s="1168"/>
      <c r="K13" s="1168"/>
      <c r="L13" s="1168"/>
      <c r="M13" s="205"/>
      <c r="N13" s="3"/>
      <c r="O13" s="3"/>
    </row>
    <row r="14" spans="1:15" s="1" customFormat="1" ht="15.75" customHeight="1">
      <c r="A14" s="210" t="s">
        <v>296</v>
      </c>
      <c r="B14" s="207" t="s">
        <v>256</v>
      </c>
      <c r="C14" s="211"/>
      <c r="D14" s="3"/>
      <c r="E14" s="207"/>
      <c r="F14" s="3"/>
      <c r="G14" s="3"/>
      <c r="H14" s="190"/>
      <c r="I14" s="208"/>
      <c r="J14" s="346"/>
      <c r="K14" s="206"/>
      <c r="L14" s="206"/>
      <c r="M14" s="206"/>
      <c r="N14" s="3"/>
      <c r="O14" s="3"/>
    </row>
    <row r="15" spans="1:15" s="1" customFormat="1" ht="15.75" customHeight="1">
      <c r="A15" s="3"/>
      <c r="B15" s="206" t="s">
        <v>12</v>
      </c>
      <c r="C15" s="3"/>
      <c r="D15" s="209" t="s">
        <v>2</v>
      </c>
      <c r="E15" s="661" t="str">
        <f>'Lembar Penyelia'!E15</f>
        <v>( 26.7 ± 0.5 ) °C</v>
      </c>
      <c r="F15" s="212"/>
      <c r="G15" s="212"/>
      <c r="H15" s="3"/>
      <c r="I15" s="213"/>
      <c r="J15" s="3"/>
      <c r="K15" s="3"/>
      <c r="L15" s="3"/>
      <c r="M15" s="3"/>
      <c r="N15" s="3"/>
      <c r="O15" s="3" t="s">
        <v>31</v>
      </c>
    </row>
    <row r="16" spans="1:15" s="1" customFormat="1" ht="15.75" customHeight="1">
      <c r="A16" s="3"/>
      <c r="B16" s="346" t="s">
        <v>297</v>
      </c>
      <c r="C16" s="3"/>
      <c r="D16" s="209" t="s">
        <v>2</v>
      </c>
      <c r="E16" s="214" t="str">
        <f>'Lembar Penyelia'!E16</f>
        <v>( 58.5 ± 2.3 ) %RH</v>
      </c>
      <c r="F16" s="215"/>
      <c r="G16" s="215"/>
      <c r="H16" s="3"/>
      <c r="I16" s="206"/>
      <c r="J16" s="3"/>
      <c r="K16" s="3"/>
      <c r="L16" s="3"/>
      <c r="M16" s="3"/>
      <c r="N16" s="3"/>
      <c r="O16" s="3" t="s">
        <v>298</v>
      </c>
    </row>
    <row r="17" spans="1:20" s="1" customFormat="1" ht="15.75" customHeight="1">
      <c r="A17" s="3"/>
      <c r="B17" s="346" t="s">
        <v>16</v>
      </c>
      <c r="C17" s="3"/>
      <c r="D17" s="209" t="s">
        <v>2</v>
      </c>
      <c r="E17" s="214" t="str">
        <f>'Lembar Penyelia'!E17</f>
        <v>( 233.2 ± 1.7 ) Volt</v>
      </c>
      <c r="F17" s="214"/>
      <c r="G17" s="216"/>
      <c r="H17" s="216"/>
      <c r="I17" s="3"/>
      <c r="J17" s="206"/>
      <c r="K17" s="3"/>
      <c r="L17" s="3"/>
      <c r="M17" s="3"/>
      <c r="N17" s="3"/>
      <c r="O17" s="3"/>
    </row>
    <row r="18" spans="1:20" s="1" customFormat="1" ht="10" customHeight="1">
      <c r="A18" s="3"/>
      <c r="B18" s="3"/>
      <c r="C18" s="3"/>
      <c r="D18" s="210"/>
      <c r="E18" s="210"/>
      <c r="F18" s="210"/>
      <c r="G18" s="210"/>
      <c r="H18" s="206"/>
      <c r="I18" s="3"/>
      <c r="J18" s="3"/>
      <c r="K18" s="3"/>
      <c r="L18" s="3"/>
      <c r="M18" s="217"/>
      <c r="N18" s="3"/>
      <c r="O18" s="3"/>
    </row>
    <row r="19" spans="1:20" s="1" customFormat="1" ht="15.75" customHeight="1">
      <c r="A19" s="210" t="s">
        <v>259</v>
      </c>
      <c r="B19" s="210" t="s">
        <v>299</v>
      </c>
      <c r="C19" s="211"/>
      <c r="D19" s="3"/>
      <c r="E19" s="3"/>
      <c r="F19" s="3"/>
      <c r="G19" s="3"/>
      <c r="H19" s="3"/>
      <c r="I19" s="3"/>
      <c r="J19" s="217"/>
      <c r="K19" s="3"/>
      <c r="L19" s="205"/>
      <c r="M19" s="3"/>
      <c r="N19" s="3"/>
      <c r="O19" s="3"/>
    </row>
    <row r="20" spans="1:20" s="1" customFormat="1" ht="15.75" customHeight="1">
      <c r="A20" s="3"/>
      <c r="B20" s="3" t="s">
        <v>300</v>
      </c>
      <c r="C20" s="3"/>
      <c r="D20" s="218" t="s">
        <v>2</v>
      </c>
      <c r="E20" s="3" t="str">
        <f>'Lembar Penyelia'!E20</f>
        <v>Baik</v>
      </c>
      <c r="F20" s="3"/>
      <c r="G20" s="3"/>
      <c r="H20" s="3"/>
      <c r="I20" s="3"/>
      <c r="J20" s="219"/>
      <c r="K20" s="219"/>
      <c r="L20" s="219"/>
      <c r="M20" s="219"/>
      <c r="N20" s="219"/>
      <c r="O20" s="219"/>
    </row>
    <row r="21" spans="1:20" s="1" customFormat="1" ht="15.75" customHeight="1">
      <c r="A21" s="3"/>
      <c r="B21" s="3" t="s">
        <v>261</v>
      </c>
      <c r="C21" s="3"/>
      <c r="D21" s="218" t="s">
        <v>2</v>
      </c>
      <c r="E21" s="3" t="str">
        <f>'Lembar Penyelia'!E21</f>
        <v>Baik</v>
      </c>
      <c r="F21" s="3"/>
      <c r="G21" s="3"/>
      <c r="H21" s="3"/>
      <c r="I21" s="219"/>
      <c r="J21" s="219"/>
      <c r="K21" s="219"/>
      <c r="L21" s="219"/>
      <c r="M21" s="219"/>
      <c r="N21" s="219"/>
      <c r="O21" s="219"/>
    </row>
    <row r="22" spans="1:20" s="1" customFormat="1" ht="10" customHeight="1">
      <c r="A22" s="3"/>
      <c r="B22" s="3"/>
      <c r="C22" s="3"/>
      <c r="D22" s="3"/>
      <c r="E22" s="3"/>
      <c r="F22" s="190"/>
      <c r="G22" s="190"/>
      <c r="H22" s="3"/>
      <c r="I22" s="219"/>
      <c r="J22" s="220"/>
      <c r="K22" s="220"/>
      <c r="L22" s="220"/>
      <c r="M22" s="220"/>
      <c r="N22" s="220"/>
      <c r="O22" s="220"/>
    </row>
    <row r="23" spans="1:20" s="1" customFormat="1" ht="15.75" customHeight="1">
      <c r="A23" s="210" t="s">
        <v>263</v>
      </c>
      <c r="B23" s="210" t="str">
        <f>'Lembar Penyelia'!B23</f>
        <v>Pengujian keselamatan listrik</v>
      </c>
      <c r="C23" s="211"/>
      <c r="D23" s="3"/>
      <c r="E23" s="3"/>
      <c r="F23" s="3"/>
      <c r="G23" s="3"/>
      <c r="H23" s="206"/>
      <c r="I23" s="3"/>
      <c r="J23" s="3"/>
      <c r="K23" s="3"/>
      <c r="L23" s="3"/>
      <c r="M23" s="217"/>
      <c r="N23" s="3"/>
      <c r="O23" s="3"/>
    </row>
    <row r="24" spans="1:20" s="1" customFormat="1" ht="30" customHeight="1">
      <c r="A24" s="3"/>
      <c r="B24" s="345" t="s">
        <v>23</v>
      </c>
      <c r="C24" s="1155" t="s">
        <v>24</v>
      </c>
      <c r="D24" s="1155"/>
      <c r="E24" s="1155"/>
      <c r="F24" s="1155"/>
      <c r="G24" s="1155"/>
      <c r="H24" s="1155"/>
      <c r="I24" s="1155"/>
      <c r="J24" s="1155" t="s">
        <v>25</v>
      </c>
      <c r="K24" s="1155"/>
      <c r="L24" s="1155" t="s">
        <v>26</v>
      </c>
      <c r="M24" s="1155"/>
      <c r="N24" s="3"/>
      <c r="O24" s="3"/>
    </row>
    <row r="25" spans="1:20" s="1" customFormat="1" ht="15" customHeight="1">
      <c r="A25" s="3"/>
      <c r="B25" s="757">
        <v>1</v>
      </c>
      <c r="C25" s="758" t="str">
        <f>'Lembar Penyelia'!$C$25</f>
        <v>Resistansi Isolasi</v>
      </c>
      <c r="D25" s="227"/>
      <c r="E25" s="227"/>
      <c r="F25" s="227"/>
      <c r="G25" s="227"/>
      <c r="H25" s="227"/>
      <c r="I25" s="759"/>
      <c r="J25" s="760" t="str">
        <f>'Lembar Penyelia'!H25</f>
        <v>-</v>
      </c>
      <c r="K25" s="761" t="str">
        <f>IF(OR(J25="-",J25="OL")," ","MΩ")</f>
        <v xml:space="preserve"> </v>
      </c>
      <c r="L25" s="1169" t="str">
        <f>'Lembar Penyelia'!J25</f>
        <v>&gt; 2 MΩ</v>
      </c>
      <c r="M25" s="1169"/>
      <c r="N25" s="3"/>
      <c r="O25" s="3"/>
    </row>
    <row r="26" spans="1:20" s="1" customFormat="1" ht="15" customHeight="1">
      <c r="A26" s="3"/>
      <c r="B26" s="750">
        <v>2</v>
      </c>
      <c r="C26" s="751" t="str">
        <f>'Lembar Penyelia'!$C$26</f>
        <v>Resistansi pembumian protektif (kabel dapat dilepas)</v>
      </c>
      <c r="D26" s="233"/>
      <c r="E26" s="233"/>
      <c r="F26" s="233"/>
      <c r="G26" s="233"/>
      <c r="H26" s="233"/>
      <c r="I26" s="752"/>
      <c r="J26" s="753" t="str">
        <f>'Lembar Penyelia'!H26</f>
        <v>-</v>
      </c>
      <c r="K26" s="752" t="str">
        <f>IF(J26="-"," ","Ω")</f>
        <v xml:space="preserve"> </v>
      </c>
      <c r="L26" s="1170">
        <f>'Lembar Penyelia'!J26</f>
        <v>0.2</v>
      </c>
      <c r="M26" s="1170"/>
      <c r="N26" s="3"/>
      <c r="O26" s="3"/>
    </row>
    <row r="27" spans="1:20" s="1" customFormat="1" ht="15" customHeight="1">
      <c r="A27" s="3"/>
      <c r="B27" s="754">
        <v>3</v>
      </c>
      <c r="C27" s="755" t="str">
        <f>'Lembar Penyelia'!$C$27</f>
        <v>Arus bocor peralatan untuk peralatan elektromedik kelas II</v>
      </c>
      <c r="D27" s="239"/>
      <c r="E27" s="239"/>
      <c r="F27" s="239"/>
      <c r="G27" s="239"/>
      <c r="H27" s="239"/>
      <c r="I27" s="756"/>
      <c r="J27" s="241" t="str">
        <f>'Lembar Penyelia'!H27</f>
        <v>-</v>
      </c>
      <c r="K27" s="756" t="str">
        <f>IF(J27="-"," ","µA")</f>
        <v xml:space="preserve"> </v>
      </c>
      <c r="L27" s="1171">
        <f>'Lembar Penyelia'!J27</f>
        <v>100</v>
      </c>
      <c r="M27" s="1171"/>
      <c r="N27" s="3"/>
      <c r="O27" s="3"/>
    </row>
    <row r="28" spans="1:20" s="1" customFormat="1" ht="15" hidden="1" customHeight="1">
      <c r="A28" s="3"/>
      <c r="B28" s="224"/>
      <c r="C28" s="225"/>
      <c r="D28" s="226"/>
      <c r="E28" s="226"/>
      <c r="F28" s="226"/>
      <c r="G28" s="227"/>
      <c r="H28" s="227"/>
      <c r="I28" s="228"/>
      <c r="J28" s="229"/>
      <c r="K28" s="228"/>
      <c r="L28" s="1172"/>
      <c r="M28" s="1172"/>
      <c r="N28" s="3"/>
      <c r="O28" s="3"/>
    </row>
    <row r="29" spans="1:20" s="1" customFormat="1" ht="15" hidden="1" customHeight="1">
      <c r="A29" s="3"/>
      <c r="B29" s="230"/>
      <c r="C29" s="231"/>
      <c r="D29" s="232"/>
      <c r="E29" s="232"/>
      <c r="F29" s="232"/>
      <c r="G29" s="233"/>
      <c r="H29" s="233"/>
      <c r="I29" s="234"/>
      <c r="J29" s="235"/>
      <c r="K29" s="234"/>
      <c r="L29" s="1173"/>
      <c r="M29" s="1173"/>
      <c r="N29" s="3"/>
      <c r="O29" s="3"/>
    </row>
    <row r="30" spans="1:20" s="1" customFormat="1" ht="15" hidden="1" customHeight="1">
      <c r="A30" s="3"/>
      <c r="B30" s="236"/>
      <c r="C30" s="237"/>
      <c r="D30" s="238"/>
      <c r="E30" s="238"/>
      <c r="F30" s="238"/>
      <c r="G30" s="239"/>
      <c r="H30" s="239"/>
      <c r="I30" s="240"/>
      <c r="J30" s="241"/>
      <c r="K30" s="240"/>
      <c r="L30" s="1174"/>
      <c r="M30" s="1174"/>
      <c r="N30" s="3"/>
      <c r="O30" s="3"/>
    </row>
    <row r="31" spans="1:20" s="1" customFormat="1" ht="10" customHeight="1">
      <c r="A31" s="3"/>
      <c r="B31" s="3"/>
      <c r="C31" s="3"/>
      <c r="D31" s="242"/>
      <c r="E31" s="3"/>
      <c r="F31" s="3"/>
      <c r="G31" s="3"/>
      <c r="H31" s="3"/>
      <c r="I31" s="3"/>
      <c r="J31" s="190"/>
      <c r="K31" s="3"/>
      <c r="L31" s="218"/>
      <c r="M31" s="205"/>
      <c r="N31" s="243"/>
      <c r="O31" s="3"/>
      <c r="P31" s="14"/>
    </row>
    <row r="32" spans="1:20" s="1" customFormat="1" ht="15.75" customHeight="1">
      <c r="A32" s="203" t="s">
        <v>266</v>
      </c>
      <c r="B32" s="210" t="str">
        <f>'Lembar Penyelia'!B29</f>
        <v>Pengujian kinerja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04"/>
      <c r="O32" s="204"/>
      <c r="P32" s="14"/>
      <c r="R32" s="24"/>
      <c r="S32" s="24"/>
      <c r="T32" s="25"/>
    </row>
    <row r="33" spans="1:19" s="1" customFormat="1" ht="15.75" hidden="1" customHeight="1">
      <c r="A33" s="3"/>
      <c r="B33" s="3"/>
      <c r="C33" s="3"/>
      <c r="D33" s="3"/>
      <c r="E33" s="3"/>
      <c r="F33" s="3"/>
      <c r="G33" s="244"/>
      <c r="H33" s="1043" t="s">
        <v>301</v>
      </c>
      <c r="I33" s="1043"/>
      <c r="J33" s="1043"/>
      <c r="K33" s="3"/>
      <c r="L33" s="3"/>
      <c r="M33" s="1099"/>
      <c r="N33" s="1099"/>
      <c r="O33" s="1099"/>
      <c r="P33" s="15"/>
    </row>
    <row r="34" spans="1:19" s="1" customFormat="1" ht="15.75" hidden="1" customHeight="1">
      <c r="A34" s="3"/>
      <c r="B34" s="3"/>
      <c r="C34" s="3"/>
      <c r="D34" s="3"/>
      <c r="E34" s="3"/>
      <c r="F34" s="3"/>
      <c r="G34" s="244"/>
      <c r="H34" s="762" t="s">
        <v>302</v>
      </c>
      <c r="I34" s="763">
        <f>'Lembar Penyelia'!H31</f>
        <v>0</v>
      </c>
      <c r="J34" s="764" t="s">
        <v>303</v>
      </c>
      <c r="K34" s="3"/>
      <c r="L34" s="3"/>
      <c r="M34" s="1099"/>
      <c r="N34" s="247"/>
      <c r="O34" s="247"/>
      <c r="P34" s="15"/>
    </row>
    <row r="35" spans="1:19" s="1" customFormat="1" ht="15.75" hidden="1" customHeight="1">
      <c r="A35" s="3"/>
      <c r="B35" s="3"/>
      <c r="C35" s="3"/>
      <c r="D35" s="3"/>
      <c r="E35" s="3"/>
      <c r="F35" s="3"/>
      <c r="G35" s="244"/>
      <c r="H35" s="750" t="s">
        <v>304</v>
      </c>
      <c r="I35" s="765">
        <f>'Lembar Penyelia'!H32</f>
        <v>0</v>
      </c>
      <c r="J35" s="752" t="s">
        <v>303</v>
      </c>
      <c r="K35" s="3"/>
      <c r="L35" s="3"/>
      <c r="M35" s="190"/>
      <c r="N35" s="248"/>
      <c r="O35" s="248"/>
      <c r="P35" s="15"/>
    </row>
    <row r="36" spans="1:19" s="1" customFormat="1" ht="15.75" hidden="1" customHeight="1">
      <c r="A36" s="3"/>
      <c r="B36" s="3"/>
      <c r="C36" s="3"/>
      <c r="D36" s="3"/>
      <c r="E36" s="3"/>
      <c r="F36" s="3"/>
      <c r="G36" s="244"/>
      <c r="H36" s="750" t="s">
        <v>305</v>
      </c>
      <c r="I36" s="765">
        <f>'Lembar Penyelia'!H33</f>
        <v>0</v>
      </c>
      <c r="J36" s="752" t="s">
        <v>303</v>
      </c>
      <c r="K36" s="3"/>
      <c r="L36" s="3"/>
      <c r="M36" s="190"/>
      <c r="N36" s="248"/>
      <c r="O36" s="248"/>
    </row>
    <row r="37" spans="1:19" s="1" customFormat="1" ht="15.75" hidden="1" customHeight="1">
      <c r="A37" s="3"/>
      <c r="B37" s="3"/>
      <c r="C37" s="3"/>
      <c r="D37" s="3"/>
      <c r="E37" s="3"/>
      <c r="F37" s="3"/>
      <c r="G37" s="244"/>
      <c r="H37" s="754" t="s">
        <v>306</v>
      </c>
      <c r="I37" s="766">
        <f>'Lembar Penyelia'!H34</f>
        <v>0</v>
      </c>
      <c r="J37" s="756" t="s">
        <v>307</v>
      </c>
      <c r="K37" s="3"/>
      <c r="L37" s="3"/>
      <c r="M37" s="190"/>
      <c r="N37" s="248"/>
      <c r="O37" s="248"/>
    </row>
    <row r="38" spans="1:19" s="1" customFormat="1" ht="12" hidden="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90"/>
      <c r="N38" s="248"/>
      <c r="O38" s="248"/>
    </row>
    <row r="39" spans="1:19" s="1" customFormat="1" ht="15.75" hidden="1" customHeight="1">
      <c r="A39" s="3"/>
      <c r="B39" s="3"/>
      <c r="C39" s="3"/>
      <c r="D39" s="3"/>
      <c r="E39" s="3"/>
      <c r="F39" s="3"/>
      <c r="G39" s="3"/>
      <c r="H39" s="344" t="s">
        <v>308</v>
      </c>
      <c r="I39" s="221">
        <f>'Lembar Penyelia'!H45</f>
        <v>0</v>
      </c>
      <c r="J39" s="223" t="s">
        <v>134</v>
      </c>
      <c r="K39" s="3"/>
      <c r="L39" s="3"/>
      <c r="M39" s="190"/>
      <c r="N39" s="248"/>
      <c r="O39" s="248"/>
    </row>
    <row r="40" spans="1:19" s="1" customFormat="1" ht="15.75" hidden="1" customHeight="1">
      <c r="A40" s="3"/>
      <c r="B40" s="3"/>
      <c r="C40" s="3"/>
      <c r="D40" s="3"/>
      <c r="E40" s="3"/>
      <c r="F40" s="3"/>
      <c r="G40" s="3"/>
      <c r="H40" s="344" t="s">
        <v>309</v>
      </c>
      <c r="I40" s="221">
        <f>'Lembar Penyelia'!H49</f>
        <v>0</v>
      </c>
      <c r="J40" s="223" t="s">
        <v>134</v>
      </c>
      <c r="K40" s="3"/>
      <c r="L40" s="3"/>
      <c r="M40" s="190"/>
      <c r="N40" s="248"/>
      <c r="O40" s="248"/>
      <c r="P40" s="16"/>
      <c r="Q40" s="26"/>
      <c r="R40" s="27"/>
      <c r="S40" s="27"/>
    </row>
    <row r="41" spans="1:19" s="1" customFormat="1" ht="15.75" customHeight="1">
      <c r="A41" s="3"/>
      <c r="B41" s="1166" t="str">
        <f>'Lembar Penyelia'!B30</f>
        <v>a. Tipe Medical Freezer :</v>
      </c>
      <c r="C41" s="1166"/>
      <c r="D41" s="1166"/>
      <c r="E41" s="205" t="str">
        <f>'Lembar Penyelia'!D30</f>
        <v>Single Opening Unit</v>
      </c>
      <c r="F41" s="3"/>
      <c r="G41" s="3"/>
      <c r="H41" s="190"/>
      <c r="I41" s="3"/>
      <c r="J41" s="3"/>
      <c r="K41" s="3"/>
      <c r="L41" s="3"/>
      <c r="M41" s="190"/>
      <c r="N41" s="248"/>
      <c r="O41" s="248"/>
      <c r="P41" s="16"/>
      <c r="Q41" s="26"/>
      <c r="R41" s="27"/>
      <c r="S41" s="27"/>
    </row>
    <row r="42" spans="1:19" s="1" customFormat="1" ht="15.75" customHeight="1">
      <c r="A42" s="3"/>
      <c r="B42" s="3"/>
      <c r="C42" s="1099"/>
      <c r="D42" s="1099"/>
      <c r="E42" s="1099"/>
      <c r="F42" s="1099"/>
      <c r="G42" s="1099"/>
      <c r="H42" s="1099"/>
      <c r="I42" s="1099"/>
      <c r="J42" s="1099"/>
      <c r="K42" s="1099"/>
      <c r="L42" s="1099"/>
      <c r="M42" s="190"/>
      <c r="N42" s="248"/>
      <c r="O42" s="248"/>
      <c r="P42" s="16"/>
      <c r="Q42" s="26"/>
      <c r="R42" s="27"/>
      <c r="S42" s="27"/>
    </row>
    <row r="43" spans="1:19" s="1" customFormat="1" ht="15.75" customHeight="1">
      <c r="A43" s="3"/>
      <c r="B43" s="3"/>
      <c r="C43" s="1099"/>
      <c r="D43" s="1099"/>
      <c r="E43" s="1099"/>
      <c r="F43" s="1099"/>
      <c r="G43" s="1099"/>
      <c r="H43" s="1099"/>
      <c r="I43" s="1099"/>
      <c r="J43" s="1099"/>
      <c r="K43" s="1099"/>
      <c r="L43" s="1099"/>
      <c r="M43" s="190"/>
      <c r="N43" s="248"/>
      <c r="O43" s="248"/>
      <c r="P43" s="16"/>
      <c r="Q43" s="26"/>
      <c r="R43" s="27"/>
      <c r="S43" s="27"/>
    </row>
    <row r="44" spans="1:19" s="1" customFormat="1" ht="15.75" customHeight="1">
      <c r="A44" s="3"/>
      <c r="B44" s="3"/>
      <c r="C44" s="1099"/>
      <c r="D44" s="1099"/>
      <c r="E44" s="1099"/>
      <c r="F44" s="1099"/>
      <c r="G44" s="1099"/>
      <c r="H44" s="1099"/>
      <c r="I44" s="1099"/>
      <c r="J44" s="1099"/>
      <c r="K44" s="1099"/>
      <c r="L44" s="1099"/>
      <c r="M44" s="190"/>
      <c r="N44" s="248"/>
      <c r="O44" s="248"/>
      <c r="P44" s="16"/>
      <c r="Q44" s="26"/>
      <c r="R44" s="27"/>
      <c r="S44" s="27"/>
    </row>
    <row r="45" spans="1:19" s="1" customFormat="1" ht="15.75" customHeight="1">
      <c r="A45" s="3"/>
      <c r="B45" s="3"/>
      <c r="C45" s="1099"/>
      <c r="D45" s="1099"/>
      <c r="E45" s="1099"/>
      <c r="F45" s="1099"/>
      <c r="G45" s="1099"/>
      <c r="H45" s="1099"/>
      <c r="I45" s="1099"/>
      <c r="J45" s="1099"/>
      <c r="K45" s="1099"/>
      <c r="L45" s="1099"/>
      <c r="M45" s="190"/>
      <c r="N45" s="248"/>
      <c r="O45" s="248"/>
      <c r="P45" s="16"/>
      <c r="Q45" s="26"/>
      <c r="R45" s="27"/>
      <c r="S45" s="27"/>
    </row>
    <row r="46" spans="1:19" s="1" customFormat="1" ht="15.75" customHeight="1">
      <c r="A46" s="3"/>
      <c r="B46" s="3"/>
      <c r="C46" s="1099"/>
      <c r="D46" s="1099"/>
      <c r="E46" s="1099"/>
      <c r="F46" s="1099"/>
      <c r="G46" s="1099"/>
      <c r="H46" s="1099"/>
      <c r="I46" s="1099"/>
      <c r="J46" s="1099"/>
      <c r="K46" s="1099"/>
      <c r="L46" s="1099"/>
      <c r="M46" s="190"/>
      <c r="N46" s="248"/>
      <c r="O46" s="248"/>
      <c r="P46" s="16"/>
      <c r="Q46" s="26"/>
      <c r="R46" s="27"/>
      <c r="S46" s="27"/>
    </row>
    <row r="47" spans="1:19" s="1" customFormat="1" ht="15.75" customHeight="1">
      <c r="A47" s="3"/>
      <c r="B47" s="3"/>
      <c r="C47" s="1099"/>
      <c r="D47" s="1099"/>
      <c r="E47" s="1099"/>
      <c r="F47" s="1099"/>
      <c r="G47" s="1099"/>
      <c r="H47" s="1099"/>
      <c r="I47" s="1099"/>
      <c r="J47" s="1099"/>
      <c r="K47" s="1099"/>
      <c r="L47" s="1099"/>
      <c r="M47" s="190"/>
      <c r="N47" s="248"/>
      <c r="O47" s="248"/>
      <c r="P47" s="16"/>
      <c r="Q47" s="26"/>
      <c r="R47" s="27"/>
      <c r="S47" s="27"/>
    </row>
    <row r="48" spans="1:19" s="1" customFormat="1" ht="15.75" customHeight="1">
      <c r="A48" s="3"/>
      <c r="B48" s="3"/>
      <c r="C48" s="1099"/>
      <c r="D48" s="1099"/>
      <c r="E48" s="1099"/>
      <c r="F48" s="1099"/>
      <c r="G48" s="1099"/>
      <c r="H48" s="1099"/>
      <c r="I48" s="1099"/>
      <c r="J48" s="1099"/>
      <c r="K48" s="1099"/>
      <c r="L48" s="1099"/>
      <c r="M48" s="190"/>
      <c r="N48" s="248"/>
      <c r="O48" s="248"/>
      <c r="P48" s="16"/>
      <c r="Q48" s="26"/>
      <c r="R48" s="27"/>
      <c r="S48" s="27"/>
    </row>
    <row r="49" spans="1:19" s="1" customFormat="1" ht="15.75" customHeight="1">
      <c r="A49" s="3"/>
      <c r="B49" s="3"/>
      <c r="C49" s="1099"/>
      <c r="D49" s="1099"/>
      <c r="E49" s="1099"/>
      <c r="F49" s="1099"/>
      <c r="G49" s="1099"/>
      <c r="H49" s="1099"/>
      <c r="I49" s="1099"/>
      <c r="J49" s="1099"/>
      <c r="K49" s="1099"/>
      <c r="L49" s="1099"/>
      <c r="M49" s="190"/>
      <c r="N49" s="248"/>
      <c r="O49" s="248"/>
      <c r="P49" s="16"/>
      <c r="Q49" s="26"/>
      <c r="R49" s="27"/>
      <c r="S49" s="27"/>
    </row>
    <row r="50" spans="1:19" s="1" customFormat="1" ht="15.75" customHeight="1">
      <c r="A50" s="3"/>
      <c r="B50" s="3"/>
      <c r="C50" s="1099"/>
      <c r="D50" s="1099"/>
      <c r="E50" s="1099"/>
      <c r="F50" s="1099"/>
      <c r="G50" s="1099"/>
      <c r="H50" s="1099"/>
      <c r="I50" s="1099"/>
      <c r="J50" s="1099"/>
      <c r="K50" s="1099"/>
      <c r="L50" s="1099"/>
      <c r="M50" s="190"/>
      <c r="N50" s="248"/>
      <c r="O50" s="248"/>
      <c r="P50" s="16"/>
      <c r="Q50" s="26"/>
      <c r="R50" s="27"/>
      <c r="S50" s="27"/>
    </row>
    <row r="51" spans="1:19" s="1" customFormat="1" ht="15.75" customHeight="1">
      <c r="A51" s="3"/>
      <c r="B51" s="3"/>
      <c r="C51" s="1099"/>
      <c r="D51" s="1099"/>
      <c r="E51" s="1099"/>
      <c r="F51" s="1099"/>
      <c r="G51" s="1099"/>
      <c r="H51" s="1099"/>
      <c r="I51" s="1099"/>
      <c r="J51" s="1099"/>
      <c r="K51" s="1099"/>
      <c r="L51" s="1099"/>
      <c r="M51" s="190"/>
      <c r="N51" s="248"/>
      <c r="O51" s="248"/>
      <c r="P51" s="16"/>
      <c r="Q51" s="26"/>
      <c r="R51" s="27"/>
      <c r="S51" s="27"/>
    </row>
    <row r="52" spans="1:19" s="1" customFormat="1" ht="15.75" customHeight="1">
      <c r="A52" s="3"/>
      <c r="B52" s="3"/>
      <c r="C52" s="1099"/>
      <c r="D52" s="1099"/>
      <c r="E52" s="1099"/>
      <c r="F52" s="1099"/>
      <c r="G52" s="1099"/>
      <c r="H52" s="1099"/>
      <c r="I52" s="1099"/>
      <c r="J52" s="1099"/>
      <c r="K52" s="1099"/>
      <c r="L52" s="1099"/>
      <c r="M52" s="190"/>
      <c r="N52" s="248"/>
      <c r="O52" s="248"/>
      <c r="P52" s="16"/>
      <c r="Q52" s="26"/>
      <c r="R52" s="27"/>
      <c r="S52" s="27"/>
    </row>
    <row r="53" spans="1:19" s="1" customFormat="1" ht="15.75" customHeight="1">
      <c r="A53" s="3"/>
      <c r="B53" s="3"/>
      <c r="C53" s="1099"/>
      <c r="D53" s="1099"/>
      <c r="E53" s="1099"/>
      <c r="F53" s="1099"/>
      <c r="G53" s="1099"/>
      <c r="H53" s="1099"/>
      <c r="I53" s="1099"/>
      <c r="J53" s="1099"/>
      <c r="K53" s="1099"/>
      <c r="L53" s="1099"/>
      <c r="M53" s="190"/>
      <c r="N53" s="248"/>
      <c r="O53" s="248"/>
      <c r="P53" s="16"/>
      <c r="Q53" s="26"/>
      <c r="R53" s="27"/>
      <c r="S53" s="27"/>
    </row>
    <row r="54" spans="1:19" s="1" customFormat="1" ht="15.75" customHeight="1">
      <c r="A54" s="3"/>
      <c r="B54" s="3"/>
      <c r="C54" s="1099"/>
      <c r="D54" s="1099"/>
      <c r="E54" s="1099"/>
      <c r="F54" s="1099"/>
      <c r="G54" s="1099"/>
      <c r="H54" s="1099"/>
      <c r="I54" s="1099"/>
      <c r="J54" s="1099"/>
      <c r="K54" s="1099"/>
      <c r="L54" s="1099"/>
      <c r="M54" s="190"/>
      <c r="N54" s="248"/>
      <c r="O54" s="248"/>
      <c r="P54" s="16"/>
      <c r="Q54" s="26"/>
      <c r="R54" s="27"/>
      <c r="S54" s="27"/>
    </row>
    <row r="55" spans="1:19" s="1" customFormat="1" ht="9.75" customHeight="1">
      <c r="A55" s="3"/>
      <c r="B55" s="3"/>
      <c r="C55" s="1099"/>
      <c r="D55" s="1099"/>
      <c r="E55" s="1099"/>
      <c r="F55" s="1099"/>
      <c r="G55" s="1099"/>
      <c r="H55" s="1099"/>
      <c r="I55" s="1099"/>
      <c r="J55" s="1099"/>
      <c r="K55" s="1099"/>
      <c r="L55" s="1099"/>
      <c r="M55" s="190"/>
      <c r="N55" s="248"/>
      <c r="O55" s="248"/>
      <c r="P55" s="16"/>
      <c r="Q55" s="26"/>
      <c r="R55" s="27"/>
      <c r="S55" s="27"/>
    </row>
    <row r="56" spans="1:19" s="1" customFormat="1" ht="15.75" customHeight="1">
      <c r="A56" s="3"/>
      <c r="B56" s="1167" t="str">
        <f>'Lembar Penyelia'!$B$50:$C$50</f>
        <v>b. Kalibrasi Akurasi Suhu</v>
      </c>
      <c r="C56" s="1167"/>
      <c r="D56" s="1167"/>
      <c r="E56" s="3"/>
      <c r="F56" s="3"/>
      <c r="G56" s="3"/>
      <c r="H56" s="190"/>
      <c r="I56" s="3"/>
      <c r="J56" s="3"/>
      <c r="K56" s="3"/>
      <c r="L56" s="3"/>
      <c r="M56" s="190"/>
      <c r="N56" s="248"/>
      <c r="O56" s="248"/>
      <c r="P56" s="16"/>
      <c r="Q56" s="26"/>
      <c r="R56" s="27"/>
      <c r="S56" s="27"/>
    </row>
    <row r="57" spans="1:19" s="1" customFormat="1" ht="25" customHeight="1">
      <c r="A57" s="3"/>
      <c r="B57" s="1145" t="s">
        <v>310</v>
      </c>
      <c r="C57" s="1146"/>
      <c r="D57" s="1155" t="s">
        <v>311</v>
      </c>
      <c r="E57" s="1155"/>
      <c r="F57" s="1157" t="s">
        <v>269</v>
      </c>
      <c r="G57" s="1158"/>
      <c r="H57" s="1158"/>
      <c r="I57" s="1159" t="s">
        <v>312</v>
      </c>
      <c r="J57" s="1162" t="s">
        <v>44</v>
      </c>
      <c r="K57" s="1162"/>
      <c r="L57" s="1155" t="s">
        <v>313</v>
      </c>
      <c r="M57" s="1155"/>
      <c r="N57" s="289"/>
      <c r="O57" s="248"/>
    </row>
    <row r="58" spans="1:19" s="1" customFormat="1" ht="15.75" customHeight="1">
      <c r="A58" s="3"/>
      <c r="B58" s="1147"/>
      <c r="C58" s="1148"/>
      <c r="D58" s="1155"/>
      <c r="E58" s="1155"/>
      <c r="F58" s="1152" t="s">
        <v>273</v>
      </c>
      <c r="G58" s="1152" t="s">
        <v>274</v>
      </c>
      <c r="H58" s="1153" t="s">
        <v>186</v>
      </c>
      <c r="I58" s="1160"/>
      <c r="J58" s="1163" t="s">
        <v>314</v>
      </c>
      <c r="K58" s="1163"/>
      <c r="L58" s="1155"/>
      <c r="M58" s="1155"/>
      <c r="N58" s="289"/>
      <c r="O58" s="3"/>
      <c r="P58" s="17"/>
      <c r="Q58" s="1003"/>
    </row>
    <row r="59" spans="1:19" s="1" customFormat="1" ht="30" customHeight="1">
      <c r="A59" s="3"/>
      <c r="B59" s="1149"/>
      <c r="C59" s="1150"/>
      <c r="D59" s="1155"/>
      <c r="E59" s="1155"/>
      <c r="F59" s="1152"/>
      <c r="G59" s="1152"/>
      <c r="H59" s="1154"/>
      <c r="I59" s="1161"/>
      <c r="J59" s="1163"/>
      <c r="K59" s="1163"/>
      <c r="L59" s="1155"/>
      <c r="M59" s="1155"/>
      <c r="N59" s="289"/>
      <c r="O59" s="3"/>
      <c r="P59" s="17"/>
      <c r="Q59" s="1003"/>
    </row>
    <row r="60" spans="1:19" s="1" customFormat="1" ht="31.4" customHeight="1">
      <c r="A60" s="3"/>
      <c r="B60" s="1151" t="str">
        <f>ID!J9</f>
        <v>-25</v>
      </c>
      <c r="C60" s="1151"/>
      <c r="D60" s="1156">
        <f ca="1">'Lembar Penyelia'!C54</f>
        <v>-26.693000000000005</v>
      </c>
      <c r="E60" s="1043"/>
      <c r="F60" s="4">
        <f ca="1">'Lembar Penyelia'!D54</f>
        <v>6.9999999999993179E-2</v>
      </c>
      <c r="G60" s="4">
        <f ca="1">'Lembar Penyelia'!E54</f>
        <v>0</v>
      </c>
      <c r="H60" s="4">
        <f ca="1">'Lembar Penyelia'!F54</f>
        <v>7.0000000000000284E-2</v>
      </c>
      <c r="I60" s="692" t="str">
        <f ca="1">'Lembar Penyelia'!P61</f>
        <v>-1.69</v>
      </c>
      <c r="J60" s="1163"/>
      <c r="K60" s="1163"/>
      <c r="L60" s="1164" t="str">
        <f ca="1">'Uncertainty Budget'!Q20</f>
        <v>0.59</v>
      </c>
      <c r="M60" s="1165"/>
      <c r="N60" s="267"/>
      <c r="O60" s="3"/>
      <c r="P60" s="18"/>
      <c r="Q60" s="1003"/>
    </row>
    <row r="61" spans="1:19" s="1" customFormat="1" ht="1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9"/>
      <c r="Q61" s="28"/>
    </row>
    <row r="62" spans="1:19" s="1" customFormat="1" ht="15.75" customHeight="1">
      <c r="A62" s="12" t="s">
        <v>278</v>
      </c>
      <c r="B62" s="12" t="s">
        <v>279</v>
      </c>
      <c r="C62" s="7"/>
      <c r="D62" s="7"/>
      <c r="E62" s="8"/>
      <c r="F62" s="249"/>
      <c r="G62" s="249"/>
      <c r="H62" s="9"/>
      <c r="I62" s="7"/>
      <c r="J62" s="7"/>
      <c r="K62" s="7"/>
      <c r="L62" s="7"/>
      <c r="M62" s="7"/>
      <c r="N62" s="7"/>
      <c r="O62" s="3"/>
      <c r="P62" s="20"/>
      <c r="Q62" s="26"/>
      <c r="R62" s="29"/>
      <c r="S62" s="29"/>
    </row>
    <row r="63" spans="1:19" s="1" customFormat="1" ht="15.75" customHeight="1">
      <c r="A63" s="5"/>
      <c r="B63" s="6" t="str">
        <f>'Lembar Penyelia'!B57</f>
        <v>Ketidakpastian pengukuran dilaporkan pada tingkat kepercayaan 95% dengan faktor cakupan k=2</v>
      </c>
      <c r="C63" s="7"/>
      <c r="D63" s="7"/>
      <c r="E63" s="7"/>
      <c r="F63" s="8"/>
      <c r="G63" s="8"/>
      <c r="H63" s="9"/>
      <c r="I63" s="7"/>
      <c r="J63" s="7"/>
      <c r="K63" s="7"/>
      <c r="L63" s="7"/>
      <c r="M63" s="7"/>
      <c r="N63" s="7"/>
      <c r="O63" s="3"/>
      <c r="P63" s="20"/>
      <c r="Q63" s="26"/>
      <c r="R63" s="29"/>
      <c r="S63" s="29"/>
    </row>
    <row r="64" spans="1:19" s="1" customFormat="1" ht="15.75" customHeight="1">
      <c r="A64" s="5"/>
      <c r="B64" s="6" t="str">
        <f>'Lembar Penyelia'!B58</f>
        <v>Hasil pengukuran keselamatan listrik tertelusur ke Satuan SI melalui PT. Kaliman ( LK-032-IDN )</v>
      </c>
      <c r="C64" s="7"/>
      <c r="D64" s="7"/>
      <c r="E64" s="7"/>
      <c r="F64" s="8"/>
      <c r="G64" s="8"/>
      <c r="H64" s="9"/>
      <c r="I64" s="7"/>
      <c r="J64" s="7"/>
      <c r="K64" s="7"/>
      <c r="L64" s="7"/>
      <c r="M64" s="7"/>
      <c r="N64" s="7"/>
      <c r="O64" s="3"/>
      <c r="P64" s="20"/>
      <c r="Q64" s="26"/>
      <c r="R64" s="29"/>
      <c r="S64" s="29"/>
    </row>
    <row r="65" spans="1:19" s="1" customFormat="1" ht="15.75" customHeight="1">
      <c r="A65" s="5"/>
      <c r="B65" s="6" t="str">
        <f>'Lembar Penyelia'!B59</f>
        <v>Hasil pengujian kinerja suhu tertelusur ke Satuan SI melalui Laboratorium SNSU-BSN</v>
      </c>
      <c r="C65" s="7"/>
      <c r="D65" s="7"/>
      <c r="E65" s="7"/>
      <c r="F65" s="8"/>
      <c r="G65" s="8"/>
      <c r="H65" s="9"/>
      <c r="I65" s="7"/>
      <c r="J65" s="7"/>
      <c r="K65" s="7"/>
      <c r="L65" s="7"/>
      <c r="M65" s="7"/>
      <c r="N65" s="7"/>
      <c r="O65" s="3"/>
      <c r="P65" s="20"/>
      <c r="Q65" s="26"/>
      <c r="R65" s="29"/>
      <c r="S65" s="29"/>
    </row>
    <row r="66" spans="1:19" s="1" customFormat="1" ht="15.75" customHeight="1">
      <c r="A66" s="5"/>
      <c r="B66" s="6" t="str">
        <f>ID!A110</f>
        <v>Tidak dilakukan pengujian keselamatan listrik karena alat tidak boleh dalam kondisi off</v>
      </c>
      <c r="C66" s="7"/>
      <c r="D66" s="7"/>
      <c r="E66" s="7"/>
      <c r="F66" s="8"/>
      <c r="G66" s="8"/>
      <c r="H66" s="9"/>
      <c r="I66" s="7"/>
      <c r="J66" s="7"/>
      <c r="K66" s="7"/>
      <c r="L66" s="7"/>
      <c r="M66" s="7"/>
      <c r="N66" s="7"/>
      <c r="O66" s="3"/>
      <c r="P66" s="20"/>
      <c r="Q66" s="26"/>
      <c r="R66" s="29"/>
      <c r="S66" s="29"/>
    </row>
    <row r="67" spans="1:19" s="1" customFormat="1" ht="15.5">
      <c r="A67" s="5"/>
      <c r="B67" s="7" t="str">
        <f ca="1">'Lembar Penyelia'!B61</f>
        <v/>
      </c>
      <c r="C67" s="7"/>
      <c r="D67" s="6"/>
      <c r="E67" s="7"/>
      <c r="F67" s="10"/>
      <c r="G67" s="10"/>
      <c r="H67" s="11"/>
      <c r="I67" s="7"/>
      <c r="J67" s="7"/>
      <c r="K67" s="7"/>
      <c r="L67" s="7"/>
      <c r="M67" s="7"/>
      <c r="N67" s="7"/>
      <c r="O67" s="3"/>
      <c r="P67" s="21"/>
      <c r="Q67" s="22"/>
      <c r="R67" s="30"/>
      <c r="S67" s="30"/>
    </row>
    <row r="68" spans="1:19" s="1" customFormat="1" ht="15.75" hidden="1" customHeight="1">
      <c r="A68" s="5"/>
      <c r="B68" s="7"/>
      <c r="C68" s="7"/>
      <c r="D68" s="6"/>
      <c r="E68" s="7"/>
      <c r="F68" s="10"/>
      <c r="G68" s="10"/>
      <c r="H68" s="11"/>
      <c r="I68" s="7"/>
      <c r="J68" s="7"/>
      <c r="K68" s="7"/>
      <c r="L68" s="7"/>
      <c r="M68" s="7"/>
      <c r="N68" s="7"/>
      <c r="O68" s="3"/>
      <c r="P68" s="21"/>
      <c r="Q68" s="22"/>
      <c r="R68" s="30"/>
      <c r="S68" s="30"/>
    </row>
    <row r="69" spans="1:19" s="1" customFormat="1" ht="15.75" customHeight="1">
      <c r="A69" s="12" t="s">
        <v>315</v>
      </c>
      <c r="B69" s="13" t="s">
        <v>284</v>
      </c>
      <c r="C69" s="7"/>
      <c r="D69" s="6"/>
      <c r="E69" s="7"/>
      <c r="F69" s="10"/>
      <c r="G69" s="10"/>
      <c r="H69" s="11"/>
      <c r="I69" s="7"/>
      <c r="J69" s="7"/>
      <c r="K69" s="7"/>
      <c r="L69" s="7"/>
      <c r="M69" s="7"/>
      <c r="N69" s="7"/>
      <c r="O69" s="3"/>
      <c r="P69" s="21"/>
      <c r="Q69" s="22"/>
      <c r="R69" s="30"/>
      <c r="S69" s="30"/>
    </row>
    <row r="70" spans="1:19" s="1" customFormat="1" ht="15.75" customHeight="1">
      <c r="A70" s="5"/>
      <c r="B70" s="10" t="str">
        <f>'Lembar Penyelia'!B66</f>
        <v>Wireless Temperature Recorder, Merek : HIOKI, Model : LR 8510, SN : 210411984</v>
      </c>
      <c r="C70" s="7"/>
      <c r="D70" s="6"/>
      <c r="E70" s="7"/>
      <c r="F70" s="10"/>
      <c r="G70" s="10"/>
      <c r="H70" s="11"/>
      <c r="I70" s="7"/>
      <c r="J70" s="7"/>
      <c r="K70" s="7"/>
      <c r="L70" s="7"/>
      <c r="M70" s="7"/>
      <c r="N70" s="7"/>
      <c r="O70" s="3"/>
      <c r="P70" s="21"/>
      <c r="Q70" s="22"/>
      <c r="R70" s="30"/>
      <c r="S70" s="30"/>
    </row>
    <row r="71" spans="1:19" s="1" customFormat="1" ht="15.75" customHeight="1">
      <c r="A71" s="5"/>
      <c r="B71" s="10" t="str">
        <f>IF('Lembar Penyelia'!B67="",'Lembar Penyelia'!B68,'Lembar Penyelia'!B67)</f>
        <v>Temperature Recorder, Merek : HIOKI, Model : LR 8410, SN : 210368322</v>
      </c>
      <c r="C71" s="10"/>
      <c r="D71" s="10"/>
      <c r="E71" s="10"/>
      <c r="F71" s="10"/>
      <c r="G71" s="10"/>
      <c r="H71" s="10"/>
      <c r="I71" s="10"/>
      <c r="J71" s="7"/>
      <c r="K71" s="7"/>
      <c r="L71" s="7"/>
      <c r="M71" s="7"/>
      <c r="N71" s="7"/>
      <c r="O71" s="3"/>
      <c r="P71" s="21"/>
      <c r="Q71" s="22"/>
      <c r="R71" s="30"/>
      <c r="S71" s="30"/>
    </row>
    <row r="72" spans="1:19" s="1" customFormat="1" ht="15.75" customHeight="1">
      <c r="A72" s="5"/>
      <c r="B72" s="10" t="str">
        <f>IF('Lembar Penyelia'!B67="","",'Lembar Penyelia'!B68)</f>
        <v>Electrical Safety Analyzer, Merek : Fluke, Model : ESA 615, SN : 3148908</v>
      </c>
      <c r="C72" s="7"/>
      <c r="D72" s="6"/>
      <c r="E72" s="7"/>
      <c r="F72" s="10"/>
      <c r="G72" s="10"/>
      <c r="H72" s="11"/>
      <c r="I72" s="7"/>
      <c r="J72" s="7"/>
      <c r="K72" s="7"/>
      <c r="L72" s="7"/>
      <c r="M72" s="7"/>
      <c r="N72" s="7"/>
      <c r="O72" s="3"/>
      <c r="P72" s="21"/>
      <c r="Q72" s="22"/>
      <c r="R72" s="30"/>
      <c r="S72" s="30"/>
    </row>
    <row r="73" spans="1:19" s="1" customFormat="1" ht="11.25" customHeight="1">
      <c r="C73" s="7"/>
      <c r="D73" s="7"/>
      <c r="E73" s="7"/>
      <c r="F73" s="10"/>
      <c r="G73" s="10"/>
      <c r="H73" s="7"/>
      <c r="I73" s="7"/>
      <c r="J73" s="7"/>
      <c r="K73" s="7"/>
      <c r="L73" s="7"/>
      <c r="M73" s="7"/>
      <c r="N73" s="7"/>
      <c r="O73" s="3"/>
      <c r="P73" s="22"/>
      <c r="Q73" s="22"/>
      <c r="R73" s="20"/>
      <c r="S73" s="30"/>
    </row>
    <row r="74" spans="1:19" s="1" customFormat="1" ht="15.75" customHeight="1">
      <c r="A74" s="12" t="s">
        <v>316</v>
      </c>
      <c r="B74" s="255" t="s">
        <v>286</v>
      </c>
      <c r="C74" s="7"/>
      <c r="D74" s="7"/>
      <c r="E74" s="7"/>
      <c r="F74" s="250"/>
      <c r="G74" s="250"/>
      <c r="H74" s="7"/>
      <c r="I74" s="7"/>
      <c r="J74" s="7"/>
      <c r="K74" s="7"/>
      <c r="L74" s="7"/>
      <c r="M74" s="251"/>
      <c r="N74" s="7"/>
      <c r="O74" s="3"/>
    </row>
    <row r="75" spans="1:19" s="1" customFormat="1" ht="40.5" customHeight="1">
      <c r="A75" s="5"/>
      <c r="B75" s="1185" t="str">
        <f ca="1">'Lembar Penyelia'!B72</f>
        <v>Alat yang dikalibrasi dalam batas toleransi dan dinyatakan LAIK PAKAI, dimana hasil atau skor akhir sama dengan atau melampaui 70% berdasarkan Keputusan Direktur Jenderal Pelayanan Kesehatan No : HK.02.02/V/0412/2020</v>
      </c>
      <c r="C75" s="1185"/>
      <c r="D75" s="1185"/>
      <c r="E75" s="1185"/>
      <c r="F75" s="1185"/>
      <c r="G75" s="1185"/>
      <c r="H75" s="1185"/>
      <c r="I75" s="1185"/>
      <c r="J75" s="1185"/>
      <c r="K75" s="1185"/>
      <c r="L75" s="1185"/>
      <c r="M75" s="1185"/>
      <c r="N75" s="1185"/>
      <c r="O75" s="3"/>
    </row>
    <row r="76" spans="1:19" s="1" customFormat="1" ht="15.75" customHeight="1">
      <c r="A76" s="12" t="s">
        <v>287</v>
      </c>
      <c r="B76" s="259" t="str">
        <f>'Lembar Penyelia'!B76</f>
        <v>Petugas kalibrasi</v>
      </c>
      <c r="C76" s="7"/>
      <c r="D76" s="7"/>
      <c r="E76" s="8"/>
      <c r="F76" s="9"/>
      <c r="G76" s="9"/>
      <c r="H76" s="7"/>
      <c r="I76" s="7"/>
      <c r="J76" s="7"/>
      <c r="K76" s="7"/>
      <c r="L76" s="7"/>
      <c r="M76" s="251"/>
      <c r="N76" s="7"/>
      <c r="O76" s="3"/>
    </row>
    <row r="77" spans="1:19" s="2" customFormat="1" ht="15.5">
      <c r="A77" s="256"/>
      <c r="B77" s="252" t="str">
        <f>'Lembar Penyelia'!B77</f>
        <v>Choirul Huda</v>
      </c>
      <c r="N77" s="257"/>
      <c r="O77" s="23"/>
    </row>
    <row r="78" spans="1:19" s="1" customFormat="1" ht="10.5" hidden="1" customHeight="1">
      <c r="A78" s="5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7"/>
      <c r="M78" s="251"/>
      <c r="N78" s="7"/>
      <c r="O78" s="3"/>
    </row>
    <row r="79" spans="1:19" s="1" customFormat="1" ht="15.75" hidden="1" customHeight="1">
      <c r="C79" s="7"/>
      <c r="D79" s="7"/>
      <c r="E79" s="8"/>
      <c r="F79" s="9"/>
      <c r="G79" s="9"/>
      <c r="H79" s="7"/>
      <c r="I79" s="7"/>
      <c r="J79" s="7"/>
      <c r="K79" s="7"/>
      <c r="L79" s="7"/>
      <c r="M79" s="251"/>
      <c r="N79" s="7"/>
      <c r="O79" s="3"/>
    </row>
    <row r="80" spans="1:19" s="1" customFormat="1" ht="15.75" hidden="1" customHeight="1">
      <c r="A80" s="7"/>
      <c r="C80" s="7"/>
      <c r="D80" s="7"/>
      <c r="E80" s="252"/>
      <c r="F80" s="11"/>
      <c r="G80" s="11"/>
      <c r="H80" s="7"/>
      <c r="I80" s="7"/>
      <c r="J80" s="7"/>
      <c r="K80" s="7"/>
      <c r="L80" s="7"/>
      <c r="M80" s="7"/>
      <c r="N80" s="7"/>
      <c r="O80" s="3"/>
    </row>
    <row r="81" spans="1:16" s="1" customFormat="1" ht="14.15" hidden="1" customHeight="1">
      <c r="A81" s="7"/>
      <c r="B81" s="7"/>
      <c r="C81" s="7"/>
      <c r="D81" s="252"/>
      <c r="E81" s="252"/>
      <c r="F81" s="11"/>
      <c r="G81" s="11"/>
      <c r="H81" s="7"/>
      <c r="I81" s="7"/>
      <c r="J81" s="7"/>
      <c r="K81" s="7"/>
      <c r="L81" s="7"/>
      <c r="M81" s="7"/>
      <c r="N81" s="7"/>
      <c r="O81" s="3"/>
    </row>
    <row r="82" spans="1:16" s="1" customFormat="1" ht="14.15" hidden="1" customHeight="1">
      <c r="A82" s="7"/>
      <c r="B82" s="7"/>
      <c r="C82" s="7"/>
      <c r="D82" s="252"/>
      <c r="E82" s="252"/>
      <c r="F82" s="11"/>
      <c r="G82" s="11"/>
      <c r="H82" s="7"/>
      <c r="I82" s="7"/>
      <c r="J82" s="7"/>
      <c r="K82" s="7"/>
      <c r="L82" s="7"/>
      <c r="M82" s="7"/>
      <c r="N82" s="7"/>
      <c r="O82" s="3"/>
    </row>
    <row r="83" spans="1:16" s="1" customFormat="1" ht="15.5">
      <c r="A83" s="7"/>
      <c r="B83" s="7"/>
      <c r="C83" s="7"/>
      <c r="D83" s="252"/>
      <c r="E83" s="252"/>
      <c r="F83" s="11"/>
      <c r="G83" s="11"/>
      <c r="H83" s="7"/>
      <c r="I83" s="7"/>
      <c r="J83" s="7"/>
      <c r="K83" s="7"/>
      <c r="L83" s="7"/>
      <c r="M83" s="7"/>
      <c r="N83" s="7"/>
      <c r="O83" s="3"/>
    </row>
    <row r="84" spans="1:16" s="1" customFormat="1" ht="15.5">
      <c r="A84" s="7"/>
      <c r="B84" s="7"/>
      <c r="C84" s="7"/>
      <c r="D84" s="252"/>
      <c r="E84" s="252"/>
      <c r="F84" s="11"/>
      <c r="G84" s="11"/>
      <c r="H84" s="7"/>
      <c r="I84" s="7"/>
      <c r="J84" s="7"/>
      <c r="K84" s="7"/>
      <c r="L84" s="7"/>
      <c r="M84" s="7"/>
      <c r="N84" s="7"/>
      <c r="O84" s="3"/>
    </row>
    <row r="85" spans="1:16" s="1" customFormat="1" ht="14.15" customHeight="1">
      <c r="A85" s="7"/>
      <c r="B85" s="7"/>
      <c r="C85" s="7"/>
      <c r="D85" s="252"/>
      <c r="E85" s="252"/>
      <c r="F85" s="11"/>
      <c r="G85" s="11"/>
      <c r="H85" s="7"/>
      <c r="I85" s="7"/>
      <c r="J85" s="7" t="s">
        <v>317</v>
      </c>
      <c r="K85" s="7"/>
      <c r="L85" s="7"/>
      <c r="M85" s="7"/>
      <c r="N85" s="7"/>
      <c r="O85" s="3"/>
    </row>
    <row r="86" spans="1:16" s="1" customFormat="1" ht="14.15" customHeight="1">
      <c r="A86" s="7"/>
      <c r="B86" s="7"/>
      <c r="C86" s="7"/>
      <c r="D86" s="252"/>
      <c r="E86" s="252"/>
      <c r="F86" s="11"/>
      <c r="G86" s="11"/>
      <c r="H86" s="7"/>
      <c r="I86" s="218" t="str">
        <f>IF(J95=O95,"a.n","")</f>
        <v/>
      </c>
      <c r="J86" s="7" t="s">
        <v>318</v>
      </c>
      <c r="K86" s="7"/>
      <c r="L86" s="7"/>
      <c r="M86" s="7"/>
      <c r="N86" s="7"/>
      <c r="O86" s="3"/>
    </row>
    <row r="87" spans="1:16" s="1" customFormat="1" ht="14.15" customHeight="1">
      <c r="A87" s="7"/>
      <c r="B87" s="7"/>
      <c r="C87" s="7"/>
      <c r="D87" s="252"/>
      <c r="E87" s="252"/>
      <c r="F87" s="11"/>
      <c r="G87" s="11"/>
      <c r="H87" s="7"/>
      <c r="J87" s="7" t="s">
        <v>319</v>
      </c>
      <c r="K87" s="7"/>
      <c r="L87" s="7"/>
      <c r="M87" s="7"/>
      <c r="N87" s="7"/>
      <c r="O87" s="3"/>
    </row>
    <row r="88" spans="1:16" s="1" customFormat="1" ht="15.75" customHeight="1">
      <c r="A88" s="7"/>
      <c r="B88" s="7"/>
      <c r="C88" s="7"/>
      <c r="D88" s="7"/>
      <c r="E88" s="7"/>
      <c r="F88" s="7"/>
      <c r="G88" s="7"/>
      <c r="H88" s="7"/>
      <c r="K88" s="7"/>
      <c r="L88" s="260"/>
      <c r="M88" s="7"/>
      <c r="N88" s="7"/>
      <c r="O88" s="3"/>
    </row>
    <row r="89" spans="1:16" s="1" customFormat="1" ht="9" customHeight="1">
      <c r="A89" s="7"/>
      <c r="B89" s="7"/>
      <c r="C89" s="7"/>
      <c r="D89" s="7"/>
      <c r="E89" s="7"/>
      <c r="F89" s="7"/>
      <c r="G89" s="7"/>
      <c r="H89" s="7"/>
      <c r="K89" s="7"/>
      <c r="L89" s="260"/>
      <c r="M89" s="7"/>
      <c r="N89" s="7"/>
      <c r="O89" s="3"/>
    </row>
    <row r="90" spans="1:16" s="1" customFormat="1" ht="15.75" hidden="1" customHeight="1">
      <c r="A90" s="7"/>
      <c r="B90" s="7"/>
      <c r="C90" s="7"/>
      <c r="D90" s="7"/>
      <c r="E90" s="7"/>
      <c r="F90" s="7"/>
      <c r="G90" s="7"/>
      <c r="H90" s="7"/>
      <c r="K90" s="7"/>
      <c r="L90" s="260"/>
      <c r="M90" s="7"/>
      <c r="N90" s="7"/>
      <c r="O90" s="3"/>
    </row>
    <row r="91" spans="1:16" s="1" customFormat="1" ht="15.75" customHeight="1">
      <c r="A91" s="7"/>
      <c r="B91" s="7"/>
      <c r="C91" s="7"/>
      <c r="D91" s="7"/>
      <c r="E91" s="7"/>
      <c r="F91" s="7"/>
      <c r="G91" s="7"/>
      <c r="H91" s="7"/>
      <c r="K91" s="7"/>
      <c r="L91" s="260"/>
      <c r="M91" s="7"/>
      <c r="N91" s="7"/>
      <c r="O91" s="3"/>
    </row>
    <row r="92" spans="1:16" s="1" customFormat="1" ht="15.75" hidden="1" customHeight="1">
      <c r="A92" s="7"/>
      <c r="B92" s="7"/>
      <c r="C92" s="7"/>
      <c r="D92" s="7"/>
      <c r="E92" s="7"/>
      <c r="F92" s="7"/>
      <c r="G92" s="7"/>
      <c r="H92" s="7"/>
      <c r="K92" s="7"/>
      <c r="L92" s="260"/>
      <c r="M92" s="7"/>
      <c r="N92" s="7"/>
      <c r="O92" s="3"/>
    </row>
    <row r="93" spans="1:16" s="1" customFormat="1" ht="15.75" customHeight="1">
      <c r="A93" s="7"/>
      <c r="B93" s="7"/>
      <c r="C93" s="7"/>
      <c r="D93" s="261"/>
      <c r="E93" s="261"/>
      <c r="F93" s="249"/>
      <c r="G93" s="249"/>
      <c r="H93" s="249"/>
      <c r="J93" s="7"/>
      <c r="K93" s="249"/>
      <c r="L93" s="262"/>
      <c r="M93" s="7"/>
      <c r="N93" s="7"/>
      <c r="O93" s="3"/>
    </row>
    <row r="94" spans="1:16" s="1" customFormat="1" ht="15.75" customHeight="1">
      <c r="A94" s="7"/>
      <c r="B94" s="7"/>
      <c r="C94" s="7"/>
      <c r="D94" s="263"/>
      <c r="E94" s="263"/>
      <c r="F94" s="260"/>
      <c r="G94" s="260"/>
      <c r="H94" s="260"/>
      <c r="J94" s="7"/>
      <c r="K94" s="260"/>
      <c r="L94" s="262"/>
      <c r="M94" s="7"/>
      <c r="N94" s="7"/>
      <c r="O94" s="3"/>
    </row>
    <row r="95" spans="1:16" s="1" customFormat="1" ht="15.75" customHeight="1">
      <c r="A95" s="7"/>
      <c r="B95" s="7"/>
      <c r="C95" s="7"/>
      <c r="D95" s="263"/>
      <c r="E95" s="263"/>
      <c r="F95" s="260"/>
      <c r="G95" s="260"/>
      <c r="H95" s="260"/>
      <c r="J95" s="774" t="s">
        <v>320</v>
      </c>
      <c r="K95" s="774"/>
      <c r="L95" s="774"/>
      <c r="M95" s="5"/>
      <c r="N95" s="7"/>
      <c r="O95" s="1" t="s">
        <v>321</v>
      </c>
      <c r="P95" s="3" t="s">
        <v>322</v>
      </c>
    </row>
    <row r="96" spans="1:16" s="1" customFormat="1" ht="15.75" customHeight="1">
      <c r="A96" s="7"/>
      <c r="B96" s="7"/>
      <c r="C96" s="7"/>
      <c r="D96" s="7"/>
      <c r="E96" s="7"/>
      <c r="F96" s="7"/>
      <c r="G96" s="7"/>
      <c r="H96" s="7"/>
      <c r="J96" s="517" t="str">
        <f>VLOOKUP(J95,O95:P96,2,0)</f>
        <v>NIP 198008062010121001</v>
      </c>
      <c r="K96" s="7"/>
      <c r="L96" s="7"/>
      <c r="M96" s="7"/>
      <c r="N96" s="7"/>
      <c r="O96" s="1" t="s">
        <v>320</v>
      </c>
      <c r="P96" s="3" t="s">
        <v>323</v>
      </c>
    </row>
    <row r="97" spans="1:15" s="1" customFormat="1" ht="15.5" hidden="1">
      <c r="A97" s="7"/>
      <c r="B97" s="7"/>
      <c r="C97" s="7"/>
      <c r="D97" s="7"/>
      <c r="E97" s="7"/>
      <c r="F97" s="7"/>
      <c r="G97" s="7"/>
      <c r="H97" s="7"/>
      <c r="K97" s="7"/>
      <c r="L97" s="7"/>
      <c r="M97" s="7"/>
      <c r="N97" s="7"/>
      <c r="O97" s="3"/>
    </row>
    <row r="98" spans="1:15" s="1" customFormat="1" ht="15.5" hidden="1">
      <c r="A98" s="7"/>
      <c r="B98" s="7"/>
      <c r="C98" s="7"/>
      <c r="D98" s="7"/>
      <c r="E98" s="7"/>
      <c r="F98" s="7"/>
      <c r="G98" s="7"/>
      <c r="H98" s="7"/>
      <c r="K98" s="7"/>
      <c r="L98" s="7"/>
      <c r="M98" s="7"/>
      <c r="N98" s="7"/>
      <c r="O98" s="3"/>
    </row>
    <row r="99" spans="1:15" s="1" customFormat="1" ht="15.5" hidden="1">
      <c r="A99" s="7"/>
      <c r="B99" s="7"/>
      <c r="C99" s="7"/>
      <c r="D99" s="7"/>
      <c r="E99" s="7"/>
      <c r="F99" s="7"/>
      <c r="G99" s="7"/>
      <c r="H99" s="7"/>
      <c r="K99" s="7"/>
      <c r="L99" s="7"/>
      <c r="M99" s="7"/>
      <c r="N99" s="7"/>
      <c r="O99" s="3"/>
    </row>
    <row r="100" spans="1:15" hidden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5" ht="6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5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92"/>
      <c r="N103" s="31" t="s">
        <v>324</v>
      </c>
    </row>
    <row r="104" spans="1:15" ht="2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</sheetData>
  <sheetProtection algorithmName="SHA-512" hashValue="Z4pO0/+1BzMaxWlDJPz350HhyOC0fzhZYvb45+t9BRRBbV/6qpQ7XvbGu2AOUBiAoNVY1/TObirgUhcv1uWIsA==" saltValue="Q31HRGnKvqciV0Sx7RFRQg==" spinCount="100000" sheet="1" formatCells="0" formatColumns="0" formatRows="0" insertColumns="0" insertRows="0" deleteColumns="0" deleteRows="0"/>
  <mergeCells count="35">
    <mergeCell ref="L25:M25"/>
    <mergeCell ref="L26:M26"/>
    <mergeCell ref="L27:M27"/>
    <mergeCell ref="M33:M34"/>
    <mergeCell ref="L28:M28"/>
    <mergeCell ref="L29:M29"/>
    <mergeCell ref="L30:M30"/>
    <mergeCell ref="A1:N1"/>
    <mergeCell ref="A2:N2"/>
    <mergeCell ref="E13:L13"/>
    <mergeCell ref="C24:I24"/>
    <mergeCell ref="J24:K24"/>
    <mergeCell ref="L24:M24"/>
    <mergeCell ref="E8:F8"/>
    <mergeCell ref="E9:F9"/>
    <mergeCell ref="B75:N75"/>
    <mergeCell ref="H33:J33"/>
    <mergeCell ref="J57:K57"/>
    <mergeCell ref="J58:K60"/>
    <mergeCell ref="L57:M59"/>
    <mergeCell ref="L60:M60"/>
    <mergeCell ref="N33:O33"/>
    <mergeCell ref="B41:D41"/>
    <mergeCell ref="C42:L55"/>
    <mergeCell ref="B56:D56"/>
    <mergeCell ref="Q58:Q60"/>
    <mergeCell ref="B57:C59"/>
    <mergeCell ref="B60:C60"/>
    <mergeCell ref="F58:F59"/>
    <mergeCell ref="G58:G59"/>
    <mergeCell ref="H58:H59"/>
    <mergeCell ref="D57:E59"/>
    <mergeCell ref="D60:E60"/>
    <mergeCell ref="F57:H57"/>
    <mergeCell ref="I57:I59"/>
  </mergeCells>
  <dataValidations count="1">
    <dataValidation type="list" allowBlank="1" showInputMessage="1" showErrorMessage="1" sqref="J95" xr:uid="{66631615-0284-4F18-935E-61B7E35E7FB5}">
      <formula1>$O$95:$O$96</formula1>
    </dataValidation>
  </dataValidations>
  <printOptions horizontalCentered="1"/>
  <pageMargins left="0.511811023622047" right="0.23622047244094499" top="0.62992125984252001" bottom="0.39370078740157499" header="0.23622047244094499" footer="0.23622047244094499"/>
  <pageSetup paperSize="9" scale="60" orientation="portrait" r:id="rId1"/>
  <headerFooter>
    <oddHeader xml:space="preserve">&amp;R&amp;"-,Regular"&amp;8SH.LHK.031-18/REV : 1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9007-BB40-41B7-828D-295F8688F6C3}">
  <sheetPr>
    <tabColor rgb="FF7030A0"/>
  </sheetPr>
  <dimension ref="A1:T108"/>
  <sheetViews>
    <sheetView showGridLines="0" view="pageBreakPreview" zoomScale="80" zoomScaleNormal="100" zoomScaleSheetLayoutView="80" workbookViewId="0">
      <selection activeCell="E6" sqref="E6"/>
    </sheetView>
  </sheetViews>
  <sheetFormatPr defaultColWidth="9" defaultRowHeight="14"/>
  <cols>
    <col min="1" max="1" width="4.453125" style="3" customWidth="1"/>
    <col min="2" max="2" width="9.54296875" style="3" customWidth="1"/>
    <col min="3" max="3" width="14.54296875" style="3" customWidth="1"/>
    <col min="4" max="4" width="5.453125" style="3" customWidth="1"/>
    <col min="5" max="5" width="9.453125" style="3" customWidth="1"/>
    <col min="6" max="6" width="11.453125" style="3" customWidth="1"/>
    <col min="7" max="7" width="10" style="3" customWidth="1"/>
    <col min="8" max="8" width="11.54296875" style="3" customWidth="1"/>
    <col min="9" max="9" width="10.453125" style="3" customWidth="1"/>
    <col min="10" max="10" width="8.1796875" style="3" customWidth="1"/>
    <col min="11" max="11" width="6.54296875" style="3" customWidth="1"/>
    <col min="12" max="12" width="8.453125" style="3" customWidth="1"/>
    <col min="13" max="14" width="8" style="3" customWidth="1"/>
    <col min="15" max="15" width="7.81640625" style="3" customWidth="1"/>
    <col min="16" max="16" width="9.1796875" style="3" customWidth="1"/>
    <col min="17" max="18" width="9.453125" style="3" customWidth="1"/>
    <col min="19" max="258" width="9.1796875" style="3" customWidth="1"/>
    <col min="259" max="16384" width="9" style="3"/>
  </cols>
  <sheetData>
    <row r="1" spans="1:15" ht="19.5" customHeight="1">
      <c r="A1" s="946" t="str">
        <f>'Lembar Penyelia'!A1:K1</f>
        <v>Hasil Kalibrasi Medical Freezer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</row>
    <row r="2" spans="1:15" ht="18.75" customHeight="1">
      <c r="A2" s="1184" t="str">
        <f ca="1">'Lembar Penyelia'!A2:M2</f>
        <v>Nomor Sertifikat : 67 / 1 / VI - 23 / E - 123 DL</v>
      </c>
      <c r="B2" s="1184"/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1184"/>
      <c r="N2" s="1184"/>
    </row>
    <row r="3" spans="1:15" ht="14.15" customHeight="1">
      <c r="D3" s="208"/>
      <c r="E3" s="208"/>
      <c r="F3" s="208"/>
      <c r="G3" s="208"/>
      <c r="H3" s="208"/>
      <c r="I3" s="208"/>
      <c r="J3" s="208"/>
      <c r="K3" s="208"/>
      <c r="L3" s="208"/>
      <c r="M3" s="208"/>
    </row>
    <row r="4" spans="1:15" s="1" customFormat="1" ht="15.75" customHeight="1">
      <c r="A4" s="206" t="s">
        <v>292</v>
      </c>
      <c r="B4" s="206"/>
      <c r="C4" s="3"/>
      <c r="D4" s="209" t="s">
        <v>2</v>
      </c>
      <c r="E4" s="205" t="str">
        <f>'Lembar Penyelia'!E4</f>
        <v>GEA</v>
      </c>
      <c r="F4" s="205"/>
      <c r="G4" s="3"/>
      <c r="H4" s="3"/>
      <c r="I4" s="3"/>
      <c r="J4" s="3"/>
      <c r="K4" s="3"/>
      <c r="L4" s="206"/>
      <c r="M4" s="209"/>
      <c r="N4" s="3"/>
      <c r="O4" s="3"/>
    </row>
    <row r="5" spans="1:15" s="1" customFormat="1" ht="15.75" customHeight="1">
      <c r="A5" s="206" t="s">
        <v>3</v>
      </c>
      <c r="B5" s="206"/>
      <c r="C5" s="3"/>
      <c r="D5" s="209" t="s">
        <v>2</v>
      </c>
      <c r="E5" s="205" t="str">
        <f>'Lembar Penyelia'!E5</f>
        <v>AB - 375 LT</v>
      </c>
      <c r="F5" s="205"/>
      <c r="G5" s="3"/>
      <c r="H5" s="3"/>
      <c r="I5" s="3"/>
      <c r="J5" s="3"/>
      <c r="K5" s="3"/>
      <c r="L5" s="206"/>
      <c r="M5" s="209"/>
      <c r="N5" s="3"/>
      <c r="O5" s="3"/>
    </row>
    <row r="6" spans="1:15" s="1" customFormat="1" ht="15.75" customHeight="1">
      <c r="A6" s="206" t="s">
        <v>293</v>
      </c>
      <c r="B6" s="206"/>
      <c r="C6" s="3"/>
      <c r="D6" s="209" t="s">
        <v>2</v>
      </c>
      <c r="E6" s="205" t="str">
        <f>'Lembar Penyelia'!E6</f>
        <v>110663750217</v>
      </c>
      <c r="F6" s="205"/>
      <c r="G6" s="3"/>
      <c r="H6" s="3"/>
      <c r="I6" s="3"/>
      <c r="J6" s="3"/>
      <c r="K6" s="3"/>
      <c r="L6" s="206"/>
      <c r="M6" s="209"/>
      <c r="N6" s="3"/>
      <c r="O6" s="3"/>
    </row>
    <row r="7" spans="1:15" s="1" customFormat="1" ht="15.75" customHeight="1">
      <c r="A7" s="206" t="s">
        <v>5</v>
      </c>
      <c r="B7" s="206"/>
      <c r="C7" s="3"/>
      <c r="D7" s="209" t="s">
        <v>2</v>
      </c>
      <c r="E7" s="927" t="str">
        <f>'Lembar Penyelia'!E7</f>
        <v>1</v>
      </c>
      <c r="F7" s="206" t="str">
        <f>'Lembar Penyelia'!F7</f>
        <v>°C</v>
      </c>
      <c r="G7" s="3"/>
      <c r="H7" s="3"/>
      <c r="I7" s="206"/>
      <c r="J7" s="206"/>
      <c r="K7" s="209"/>
      <c r="L7" s="3"/>
      <c r="M7" s="3"/>
      <c r="N7" s="3"/>
      <c r="O7" s="3"/>
    </row>
    <row r="8" spans="1:15" s="1" customFormat="1" ht="13.4" customHeight="1">
      <c r="A8" s="206" t="str">
        <f>'Lembar Penyelia'!A8</f>
        <v>Tanggal penerimaan alat</v>
      </c>
      <c r="B8" s="206"/>
      <c r="C8" s="3"/>
      <c r="D8" s="209" t="s">
        <v>2</v>
      </c>
      <c r="E8" s="205" t="str">
        <f>'Lembar Penyelia'!E8</f>
        <v>21 Desember 2022</v>
      </c>
      <c r="F8" s="205"/>
      <c r="G8" s="3"/>
      <c r="H8" s="3"/>
      <c r="I8" s="206"/>
      <c r="J8" s="206"/>
      <c r="K8" s="209"/>
      <c r="L8" s="3"/>
      <c r="M8" s="3"/>
      <c r="N8" s="3"/>
      <c r="O8" s="3"/>
    </row>
    <row r="9" spans="1:15" s="1" customFormat="1" ht="15.75" customHeight="1">
      <c r="A9" s="206" t="str">
        <f>'Lembar Penyelia'!A9</f>
        <v>Tanggal kalibrasi</v>
      </c>
      <c r="B9" s="206"/>
      <c r="C9" s="3"/>
      <c r="D9" s="209" t="s">
        <v>2</v>
      </c>
      <c r="E9" s="205" t="str">
        <f>'Lembar Penyelia'!E9</f>
        <v>21 Desember 2022</v>
      </c>
      <c r="F9" s="205"/>
      <c r="G9" s="3"/>
      <c r="H9" s="3"/>
      <c r="I9" s="206"/>
      <c r="J9" s="206"/>
      <c r="K9" s="209"/>
      <c r="L9" s="3"/>
      <c r="M9" s="3"/>
      <c r="N9" s="3"/>
      <c r="O9" s="3"/>
    </row>
    <row r="10" spans="1:15" s="1" customFormat="1" ht="15.75" customHeight="1">
      <c r="A10" s="206" t="str">
        <f>'Lembar Penyelia'!A10</f>
        <v>Tempat kalibrasi</v>
      </c>
      <c r="B10" s="206"/>
      <c r="C10" s="3"/>
      <c r="D10" s="209" t="s">
        <v>2</v>
      </c>
      <c r="E10" s="205" t="str">
        <f>'Lembar Penyelia'!E10</f>
        <v>Laboratorium Mikrobiologi</v>
      </c>
      <c r="F10" s="205"/>
      <c r="G10" s="3"/>
      <c r="H10" s="3"/>
      <c r="I10" s="206"/>
      <c r="J10" s="206"/>
      <c r="K10" s="209"/>
      <c r="L10" s="3"/>
      <c r="M10" s="3"/>
      <c r="N10" s="3"/>
      <c r="O10" s="3"/>
    </row>
    <row r="11" spans="1:15" s="1" customFormat="1" ht="15.75" customHeight="1">
      <c r="A11" s="206" t="s">
        <v>127</v>
      </c>
      <c r="B11" s="206"/>
      <c r="C11" s="3"/>
      <c r="D11" s="209" t="s">
        <v>2</v>
      </c>
      <c r="E11" s="205" t="str">
        <f>'Lembar Penyelia'!E11</f>
        <v>Laboratorium Mikrobiologi</v>
      </c>
      <c r="F11" s="205"/>
      <c r="G11" s="3"/>
      <c r="H11" s="3"/>
      <c r="I11" s="206"/>
      <c r="J11" s="206"/>
      <c r="K11" s="209"/>
      <c r="L11" s="3"/>
      <c r="M11" s="3"/>
      <c r="N11" s="3"/>
      <c r="O11" s="3"/>
    </row>
    <row r="12" spans="1:15" s="1" customFormat="1" ht="15.75" customHeight="1">
      <c r="A12" s="206" t="s">
        <v>295</v>
      </c>
      <c r="B12" s="206"/>
      <c r="C12" s="3"/>
      <c r="D12" s="209" t="s">
        <v>2</v>
      </c>
      <c r="E12" s="3" t="str">
        <f>'Lembar Penyelia'!E12</f>
        <v>MK.031-18</v>
      </c>
      <c r="F12" s="3"/>
      <c r="G12" s="3"/>
      <c r="H12" s="3"/>
      <c r="I12" s="206"/>
      <c r="J12" s="206"/>
      <c r="K12" s="209"/>
      <c r="L12" s="3"/>
      <c r="M12" s="3"/>
      <c r="N12" s="3"/>
      <c r="O12" s="3"/>
    </row>
    <row r="13" spans="1:15" s="1" customFormat="1" ht="14.15" customHeight="1">
      <c r="A13" s="3"/>
      <c r="B13" s="3"/>
      <c r="C13" s="3"/>
      <c r="D13" s="206"/>
      <c r="E13" s="1168"/>
      <c r="F13" s="1168"/>
      <c r="G13" s="1168"/>
      <c r="H13" s="1168"/>
      <c r="I13" s="1168"/>
      <c r="J13" s="1168"/>
      <c r="K13" s="1168"/>
      <c r="L13" s="1168"/>
      <c r="M13" s="205"/>
      <c r="N13" s="3"/>
      <c r="O13" s="3"/>
    </row>
    <row r="14" spans="1:15" s="1" customFormat="1" ht="15.75" customHeight="1">
      <c r="A14" s="210" t="s">
        <v>296</v>
      </c>
      <c r="B14" s="207" t="s">
        <v>589</v>
      </c>
      <c r="C14" s="211"/>
      <c r="D14" s="3"/>
      <c r="E14" s="207"/>
      <c r="F14" s="3"/>
      <c r="G14" s="3"/>
      <c r="H14" s="190"/>
      <c r="I14" s="208"/>
      <c r="J14" s="346"/>
      <c r="K14" s="206"/>
      <c r="L14" s="206"/>
      <c r="M14" s="206"/>
      <c r="N14" s="3"/>
      <c r="O14" s="3"/>
    </row>
    <row r="15" spans="1:15" s="1" customFormat="1" ht="15.75" customHeight="1">
      <c r="A15" s="3"/>
      <c r="B15" s="206" t="s">
        <v>12</v>
      </c>
      <c r="C15" s="3"/>
      <c r="D15" s="209" t="s">
        <v>2</v>
      </c>
      <c r="E15" s="922">
        <f>'DB Thermohygro'!U377</f>
        <v>26.670935072142065</v>
      </c>
      <c r="F15" s="832" t="s">
        <v>327</v>
      </c>
      <c r="G15" s="923">
        <f>'DB Thermohygro'!W377</f>
        <v>0.5</v>
      </c>
      <c r="H15" s="833" t="s">
        <v>134</v>
      </c>
      <c r="I15" s="213"/>
      <c r="J15" s="3"/>
      <c r="K15" s="3"/>
      <c r="L15" s="3"/>
      <c r="M15" s="3"/>
      <c r="N15" s="3"/>
      <c r="O15" s="3" t="s">
        <v>31</v>
      </c>
    </row>
    <row r="16" spans="1:15" s="1" customFormat="1" ht="15.75" customHeight="1">
      <c r="A16" s="3"/>
      <c r="B16" s="346" t="s">
        <v>297</v>
      </c>
      <c r="C16" s="3"/>
      <c r="D16" s="209" t="s">
        <v>2</v>
      </c>
      <c r="E16" s="922">
        <f>'DB Thermohygro'!U378</f>
        <v>58.505862606232292</v>
      </c>
      <c r="F16" s="832" t="s">
        <v>327</v>
      </c>
      <c r="G16" s="923">
        <f>'DB Thermohygro'!W378</f>
        <v>2.2999999999999998</v>
      </c>
      <c r="H16" s="833" t="s">
        <v>15</v>
      </c>
      <c r="I16" s="206"/>
      <c r="J16" s="3"/>
      <c r="K16" s="3"/>
      <c r="L16" s="3"/>
      <c r="M16" s="3"/>
      <c r="N16" s="3"/>
      <c r="O16" s="3" t="s">
        <v>298</v>
      </c>
    </row>
    <row r="17" spans="1:20" s="1" customFormat="1" ht="15.75" customHeight="1">
      <c r="A17" s="3"/>
      <c r="B17" s="346" t="s">
        <v>16</v>
      </c>
      <c r="C17" s="3"/>
      <c r="D17" s="209" t="s">
        <v>2</v>
      </c>
      <c r="E17" s="922">
        <f>'DB Kelistrikan'!O268</f>
        <v>233.23667618737912</v>
      </c>
      <c r="F17" s="832" t="s">
        <v>327</v>
      </c>
      <c r="G17" s="923" t="str">
        <f>'DB Kelistrikan'!R268</f>
        <v>1.7</v>
      </c>
      <c r="H17" s="833" t="s">
        <v>560</v>
      </c>
      <c r="I17" s="3"/>
      <c r="J17" s="206"/>
      <c r="K17" s="3"/>
      <c r="L17" s="3"/>
      <c r="M17" s="3"/>
      <c r="N17" s="3"/>
      <c r="O17" s="3"/>
    </row>
    <row r="18" spans="1:20" s="1" customFormat="1" ht="10" customHeight="1">
      <c r="A18" s="3"/>
      <c r="B18" s="3"/>
      <c r="C18" s="3"/>
      <c r="D18" s="210"/>
      <c r="E18" s="210"/>
      <c r="F18" s="210"/>
      <c r="G18" s="210"/>
      <c r="H18" s="206"/>
      <c r="I18" s="3"/>
      <c r="J18" s="3"/>
      <c r="K18" s="3"/>
      <c r="L18" s="3"/>
      <c r="M18" s="217"/>
      <c r="N18" s="3"/>
      <c r="O18" s="3"/>
    </row>
    <row r="19" spans="1:20" s="1" customFormat="1" ht="15.75" customHeight="1">
      <c r="A19" s="210" t="s">
        <v>259</v>
      </c>
      <c r="B19" s="210" t="s">
        <v>594</v>
      </c>
      <c r="C19" s="211"/>
      <c r="D19" s="3"/>
      <c r="E19" s="3"/>
      <c r="F19" s="3"/>
      <c r="G19" s="3"/>
      <c r="H19" s="3"/>
      <c r="I19" s="3"/>
      <c r="J19" s="217"/>
      <c r="K19" s="3"/>
      <c r="L19" s="205"/>
      <c r="M19" s="3"/>
      <c r="N19" s="3"/>
      <c r="O19" s="3"/>
    </row>
    <row r="20" spans="1:20" s="1" customFormat="1" ht="15.75" customHeight="1">
      <c r="A20" s="3"/>
      <c r="B20" s="3" t="s">
        <v>300</v>
      </c>
      <c r="C20" s="3"/>
      <c r="D20" s="218" t="s">
        <v>2</v>
      </c>
      <c r="E20" s="924" t="str">
        <f>'Lembar Penyelia'!E20</f>
        <v>Baik</v>
      </c>
      <c r="F20" s="3"/>
      <c r="G20" s="3"/>
      <c r="H20" s="3"/>
      <c r="I20" s="3"/>
      <c r="J20" s="219"/>
      <c r="K20" s="219"/>
      <c r="L20" s="219"/>
      <c r="M20" s="219"/>
      <c r="N20" s="219"/>
      <c r="O20" s="219"/>
    </row>
    <row r="21" spans="1:20" s="1" customFormat="1" ht="15.75" customHeight="1">
      <c r="A21" s="3"/>
      <c r="B21" s="3" t="s">
        <v>261</v>
      </c>
      <c r="C21" s="3"/>
      <c r="D21" s="218" t="s">
        <v>2</v>
      </c>
      <c r="E21" s="924" t="str">
        <f>'Lembar Penyelia'!E21</f>
        <v>Baik</v>
      </c>
      <c r="F21" s="3"/>
      <c r="G21" s="3"/>
      <c r="H21" s="3"/>
      <c r="I21" s="219"/>
      <c r="J21" s="219"/>
      <c r="K21" s="219"/>
      <c r="L21" s="219"/>
      <c r="M21" s="219"/>
      <c r="N21" s="219"/>
      <c r="O21" s="219"/>
    </row>
    <row r="22" spans="1:20" s="1" customFormat="1" ht="10" customHeight="1">
      <c r="A22" s="3"/>
      <c r="B22" s="3"/>
      <c r="C22" s="3"/>
      <c r="D22" s="3"/>
      <c r="E22" s="3"/>
      <c r="F22" s="190"/>
      <c r="G22" s="190"/>
      <c r="H22" s="3"/>
      <c r="I22" s="219"/>
      <c r="J22" s="220"/>
      <c r="K22" s="220"/>
      <c r="L22" s="220"/>
      <c r="M22" s="220"/>
      <c r="N22" s="220"/>
      <c r="O22" s="220"/>
    </row>
    <row r="23" spans="1:20" s="1" customFormat="1" ht="15.75" customHeight="1">
      <c r="A23" s="210" t="s">
        <v>263</v>
      </c>
      <c r="B23" s="210" t="str">
        <f>'Lembar Penyelia'!B23</f>
        <v>Pengujian keselamatan listrik</v>
      </c>
      <c r="C23" s="211"/>
      <c r="D23" s="3"/>
      <c r="E23" s="3"/>
      <c r="F23" s="3"/>
      <c r="G23" s="3"/>
      <c r="H23" s="206"/>
      <c r="I23" s="3"/>
      <c r="J23" s="3"/>
      <c r="K23" s="3"/>
      <c r="L23" s="3"/>
      <c r="M23" s="217"/>
      <c r="N23" s="3"/>
      <c r="O23" s="3"/>
    </row>
    <row r="24" spans="1:20" s="1" customFormat="1" ht="30" customHeight="1">
      <c r="A24" s="3"/>
      <c r="B24" s="345" t="s">
        <v>23</v>
      </c>
      <c r="C24" s="1155" t="s">
        <v>24</v>
      </c>
      <c r="D24" s="1155"/>
      <c r="E24" s="1155"/>
      <c r="F24" s="1155"/>
      <c r="G24" s="1155"/>
      <c r="H24" s="1155"/>
      <c r="I24" s="1155"/>
      <c r="J24" s="1155" t="s">
        <v>25</v>
      </c>
      <c r="K24" s="1155"/>
      <c r="L24" s="1155" t="s">
        <v>26</v>
      </c>
      <c r="M24" s="1155"/>
      <c r="N24" s="3"/>
      <c r="O24" s="3"/>
    </row>
    <row r="25" spans="1:20" s="1" customFormat="1" ht="15" customHeight="1">
      <c r="A25" s="3"/>
      <c r="B25" s="757">
        <v>1</v>
      </c>
      <c r="C25" s="758" t="str">
        <f>'Lembar Penyelia'!$C$25</f>
        <v>Resistansi Isolasi</v>
      </c>
      <c r="D25" s="227"/>
      <c r="E25" s="227"/>
      <c r="F25" s="227"/>
      <c r="G25" s="227"/>
      <c r="H25" s="227"/>
      <c r="I25" s="759"/>
      <c r="J25" s="840" t="str">
        <f>'Lembar Penyelia'!H25</f>
        <v>-</v>
      </c>
      <c r="K25" s="761" t="str">
        <f>IF(OR(J25="-",J25="OL")," ","MΩ")</f>
        <v xml:space="preserve"> </v>
      </c>
      <c r="L25" s="837" t="s">
        <v>575</v>
      </c>
      <c r="M25" s="834" t="s">
        <v>28</v>
      </c>
      <c r="N25" s="3"/>
      <c r="O25" s="3"/>
    </row>
    <row r="26" spans="1:20" s="1" customFormat="1" ht="15" customHeight="1">
      <c r="A26" s="3"/>
      <c r="B26" s="750">
        <v>2</v>
      </c>
      <c r="C26" s="925" t="str">
        <f>'Lembar Penyelia'!$C$26</f>
        <v>Resistansi pembumian protektif (kabel dapat dilepas)</v>
      </c>
      <c r="D26" s="233"/>
      <c r="E26" s="233"/>
      <c r="F26" s="233"/>
      <c r="G26" s="233"/>
      <c r="H26" s="233"/>
      <c r="I26" s="752"/>
      <c r="J26" s="841" t="str">
        <f>'Lembar Penyelia'!H26</f>
        <v>-</v>
      </c>
      <c r="K26" s="752" t="str">
        <f>IF(J26="-"," ","Ω")</f>
        <v xml:space="preserve"> </v>
      </c>
      <c r="L26" s="838">
        <f>IF(C26='Lembar Penyelia'!V12,'Lembar Penyelia'!AB12,'Lembar Penyelia'!AB13)</f>
        <v>0.2</v>
      </c>
      <c r="M26" s="835" t="s">
        <v>31</v>
      </c>
      <c r="N26" s="3"/>
      <c r="O26" s="3"/>
    </row>
    <row r="27" spans="1:20" s="1" customFormat="1" ht="15" customHeight="1">
      <c r="A27" s="3"/>
      <c r="B27" s="754">
        <v>3</v>
      </c>
      <c r="C27" s="926" t="str">
        <f>'Lembar Penyelia'!$C$27</f>
        <v>Arus bocor peralatan untuk peralatan elektromedik kelas II</v>
      </c>
      <c r="D27" s="239"/>
      <c r="E27" s="239"/>
      <c r="F27" s="239"/>
      <c r="G27" s="239"/>
      <c r="H27" s="239"/>
      <c r="I27" s="756"/>
      <c r="J27" s="842" t="str">
        <f>'Lembar Penyelia'!H27</f>
        <v>-</v>
      </c>
      <c r="K27" s="756" t="str">
        <f>IF(J27="-"," ","µA")</f>
        <v xml:space="preserve"> </v>
      </c>
      <c r="L27" s="839">
        <f>IF(C27='Lembar Penyelia'!V14,'Lembar Penyelia'!AB14,'Lembar Penyelia'!AB15)</f>
        <v>100</v>
      </c>
      <c r="M27" s="836" t="s">
        <v>37</v>
      </c>
      <c r="N27" s="3"/>
      <c r="O27" s="3"/>
    </row>
    <row r="28" spans="1:20" s="1" customFormat="1" ht="15" hidden="1" customHeight="1">
      <c r="A28" s="3"/>
      <c r="B28" s="224"/>
      <c r="C28" s="225"/>
      <c r="D28" s="226"/>
      <c r="E28" s="226"/>
      <c r="F28" s="226"/>
      <c r="G28" s="227"/>
      <c r="H28" s="227"/>
      <c r="I28" s="228"/>
      <c r="J28" s="229"/>
      <c r="K28" s="228"/>
      <c r="L28" s="1172"/>
      <c r="M28" s="1172"/>
      <c r="N28" s="3"/>
      <c r="O28" s="3"/>
    </row>
    <row r="29" spans="1:20" s="1" customFormat="1" ht="15" hidden="1" customHeight="1">
      <c r="A29" s="3"/>
      <c r="B29" s="230"/>
      <c r="C29" s="231"/>
      <c r="D29" s="232"/>
      <c r="E29" s="232"/>
      <c r="F29" s="232"/>
      <c r="G29" s="233"/>
      <c r="H29" s="233"/>
      <c r="I29" s="234"/>
      <c r="J29" s="235"/>
      <c r="K29" s="234"/>
      <c r="L29" s="1173"/>
      <c r="M29" s="1173"/>
      <c r="N29" s="3"/>
      <c r="O29" s="3"/>
    </row>
    <row r="30" spans="1:20" s="1" customFormat="1" ht="15" hidden="1" customHeight="1">
      <c r="A30" s="3"/>
      <c r="B30" s="236"/>
      <c r="C30" s="237"/>
      <c r="D30" s="238"/>
      <c r="E30" s="238"/>
      <c r="F30" s="238"/>
      <c r="G30" s="239"/>
      <c r="H30" s="239"/>
      <c r="I30" s="240"/>
      <c r="J30" s="241"/>
      <c r="K30" s="240"/>
      <c r="L30" s="1174"/>
      <c r="M30" s="1174"/>
      <c r="N30" s="3"/>
      <c r="O30" s="3"/>
    </row>
    <row r="31" spans="1:20" s="1" customFormat="1" ht="10" customHeight="1">
      <c r="A31" s="3"/>
      <c r="B31" s="3"/>
      <c r="C31" s="3"/>
      <c r="D31" s="242"/>
      <c r="E31" s="3"/>
      <c r="F31" s="3"/>
      <c r="G31" s="3"/>
      <c r="H31" s="3"/>
      <c r="I31" s="3"/>
      <c r="J31" s="190"/>
      <c r="K31" s="3"/>
      <c r="L31" s="218"/>
      <c r="M31" s="205"/>
      <c r="N31" s="243"/>
      <c r="O31" s="3"/>
      <c r="P31" s="14"/>
    </row>
    <row r="32" spans="1:20" s="1" customFormat="1" ht="15.75" customHeight="1">
      <c r="A32" s="203" t="s">
        <v>266</v>
      </c>
      <c r="B32" s="210" t="str">
        <f>'Lembar Penyelia'!B29</f>
        <v>Pengujian kinerja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04"/>
      <c r="O32" s="204"/>
      <c r="P32" s="14"/>
      <c r="R32" s="24"/>
      <c r="S32" s="24"/>
      <c r="T32" s="25"/>
    </row>
    <row r="33" spans="1:19" s="1" customFormat="1" ht="15.75" hidden="1" customHeight="1">
      <c r="A33" s="3"/>
      <c r="B33" s="3"/>
      <c r="C33" s="3"/>
      <c r="D33" s="3"/>
      <c r="E33" s="3"/>
      <c r="F33" s="3"/>
      <c r="G33" s="244"/>
      <c r="H33" s="1043" t="s">
        <v>301</v>
      </c>
      <c r="I33" s="1043"/>
      <c r="J33" s="1043"/>
      <c r="K33" s="3"/>
      <c r="L33" s="3"/>
      <c r="M33" s="1099"/>
      <c r="N33" s="1099"/>
      <c r="O33" s="1099"/>
      <c r="P33" s="15"/>
    </row>
    <row r="34" spans="1:19" s="1" customFormat="1" ht="15.75" hidden="1" customHeight="1">
      <c r="A34" s="3"/>
      <c r="B34" s="3"/>
      <c r="C34" s="3"/>
      <c r="D34" s="3"/>
      <c r="E34" s="3"/>
      <c r="F34" s="3"/>
      <c r="G34" s="244"/>
      <c r="H34" s="762" t="s">
        <v>302</v>
      </c>
      <c r="I34" s="763">
        <f>'Lembar Penyelia'!H31</f>
        <v>0</v>
      </c>
      <c r="J34" s="764" t="s">
        <v>303</v>
      </c>
      <c r="K34" s="3"/>
      <c r="L34" s="3"/>
      <c r="M34" s="1099"/>
      <c r="N34" s="247"/>
      <c r="O34" s="247"/>
      <c r="P34" s="15"/>
    </row>
    <row r="35" spans="1:19" s="1" customFormat="1" ht="15.75" hidden="1" customHeight="1">
      <c r="A35" s="3"/>
      <c r="B35" s="3"/>
      <c r="C35" s="3"/>
      <c r="D35" s="3"/>
      <c r="E35" s="3"/>
      <c r="F35" s="3"/>
      <c r="G35" s="244"/>
      <c r="H35" s="750" t="s">
        <v>304</v>
      </c>
      <c r="I35" s="765">
        <f>'Lembar Penyelia'!H32</f>
        <v>0</v>
      </c>
      <c r="J35" s="752" t="s">
        <v>303</v>
      </c>
      <c r="K35" s="3"/>
      <c r="L35" s="3"/>
      <c r="M35" s="190"/>
      <c r="N35" s="248"/>
      <c r="O35" s="248"/>
      <c r="P35" s="15"/>
    </row>
    <row r="36" spans="1:19" s="1" customFormat="1" ht="15.75" hidden="1" customHeight="1">
      <c r="A36" s="3"/>
      <c r="B36" s="3"/>
      <c r="C36" s="3"/>
      <c r="D36" s="3"/>
      <c r="E36" s="3"/>
      <c r="F36" s="3"/>
      <c r="G36" s="244"/>
      <c r="H36" s="750" t="s">
        <v>305</v>
      </c>
      <c r="I36" s="765">
        <f>'Lembar Penyelia'!H33</f>
        <v>0</v>
      </c>
      <c r="J36" s="752" t="s">
        <v>303</v>
      </c>
      <c r="K36" s="3"/>
      <c r="L36" s="3"/>
      <c r="M36" s="190"/>
      <c r="N36" s="248"/>
      <c r="O36" s="248"/>
    </row>
    <row r="37" spans="1:19" s="1" customFormat="1" ht="15.75" hidden="1" customHeight="1">
      <c r="A37" s="3"/>
      <c r="B37" s="3"/>
      <c r="C37" s="3"/>
      <c r="D37" s="3"/>
      <c r="E37" s="3"/>
      <c r="F37" s="3"/>
      <c r="G37" s="244"/>
      <c r="H37" s="754" t="s">
        <v>306</v>
      </c>
      <c r="I37" s="766">
        <f>'Lembar Penyelia'!H34</f>
        <v>0</v>
      </c>
      <c r="J37" s="756" t="s">
        <v>307</v>
      </c>
      <c r="K37" s="3"/>
      <c r="L37" s="3"/>
      <c r="M37" s="190"/>
      <c r="N37" s="248"/>
      <c r="O37" s="248"/>
    </row>
    <row r="38" spans="1:19" s="1" customFormat="1" ht="12" hidden="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90"/>
      <c r="N38" s="248"/>
      <c r="O38" s="248"/>
    </row>
    <row r="39" spans="1:19" s="1" customFormat="1" ht="15.75" hidden="1" customHeight="1">
      <c r="A39" s="3"/>
      <c r="B39" s="3"/>
      <c r="C39" s="3"/>
      <c r="D39" s="3"/>
      <c r="E39" s="3"/>
      <c r="F39" s="3"/>
      <c r="G39" s="3"/>
      <c r="H39" s="344" t="s">
        <v>308</v>
      </c>
      <c r="I39" s="221">
        <f>'Lembar Penyelia'!H45</f>
        <v>0</v>
      </c>
      <c r="J39" s="223" t="s">
        <v>134</v>
      </c>
      <c r="K39" s="3"/>
      <c r="L39" s="3"/>
      <c r="M39" s="190"/>
      <c r="N39" s="248"/>
      <c r="O39" s="248"/>
    </row>
    <row r="40" spans="1:19" s="1" customFormat="1" ht="15.75" hidden="1" customHeight="1">
      <c r="A40" s="3"/>
      <c r="B40" s="3"/>
      <c r="C40" s="3"/>
      <c r="D40" s="3"/>
      <c r="E40" s="3"/>
      <c r="F40" s="3"/>
      <c r="G40" s="3"/>
      <c r="H40" s="344" t="s">
        <v>309</v>
      </c>
      <c r="I40" s="221">
        <f>'Lembar Penyelia'!H49</f>
        <v>0</v>
      </c>
      <c r="J40" s="223" t="s">
        <v>134</v>
      </c>
      <c r="K40" s="3"/>
      <c r="L40" s="3"/>
      <c r="M40" s="190"/>
      <c r="N40" s="248"/>
      <c r="O40" s="248"/>
      <c r="P40" s="16"/>
      <c r="Q40" s="26"/>
      <c r="R40" s="27"/>
      <c r="S40" s="27"/>
    </row>
    <row r="41" spans="1:19" s="1" customFormat="1" ht="15.75" customHeight="1">
      <c r="A41" s="3"/>
      <c r="B41" s="1166" t="str">
        <f>'Lembar Penyelia'!B30</f>
        <v>a. Tipe Medical Freezer :</v>
      </c>
      <c r="C41" s="1166"/>
      <c r="D41" s="1166"/>
      <c r="E41" s="927" t="str">
        <f>'Lembar Penyelia'!D30</f>
        <v>Single Opening Unit</v>
      </c>
      <c r="F41" s="3"/>
      <c r="G41" s="3"/>
      <c r="H41" s="190"/>
      <c r="I41" s="3"/>
      <c r="J41" s="3"/>
      <c r="K41" s="3"/>
      <c r="L41" s="3"/>
      <c r="M41" s="190"/>
      <c r="N41" s="248"/>
      <c r="O41" s="248"/>
      <c r="P41" s="16"/>
      <c r="Q41" s="26"/>
      <c r="R41" s="27"/>
      <c r="S41" s="27"/>
    </row>
    <row r="42" spans="1:19" s="1" customFormat="1" ht="15.75" customHeight="1">
      <c r="A42" s="3"/>
      <c r="B42" s="3"/>
      <c r="C42" s="1099"/>
      <c r="D42" s="1099"/>
      <c r="E42" s="1099"/>
      <c r="F42" s="1099"/>
      <c r="G42" s="1099"/>
      <c r="H42" s="1099"/>
      <c r="I42" s="1099"/>
      <c r="J42" s="1099"/>
      <c r="K42" s="1099"/>
      <c r="L42" s="1099"/>
      <c r="M42" s="190"/>
      <c r="N42" s="248"/>
      <c r="O42" s="248"/>
      <c r="P42" s="16"/>
      <c r="Q42" s="26"/>
      <c r="R42" s="27"/>
      <c r="S42" s="27"/>
    </row>
    <row r="43" spans="1:19" s="1" customFormat="1" ht="15.75" customHeight="1">
      <c r="A43" s="3"/>
      <c r="B43" s="3"/>
      <c r="C43" s="1099"/>
      <c r="D43" s="1099"/>
      <c r="E43" s="1099"/>
      <c r="F43" s="1099"/>
      <c r="G43" s="1099"/>
      <c r="H43" s="1099"/>
      <c r="I43" s="1099"/>
      <c r="J43" s="1099"/>
      <c r="K43" s="1099"/>
      <c r="L43" s="1099"/>
      <c r="M43" s="190"/>
      <c r="N43" s="248"/>
      <c r="O43" s="248"/>
      <c r="P43" s="16"/>
      <c r="Q43" s="26"/>
      <c r="R43" s="27"/>
      <c r="S43" s="27"/>
    </row>
    <row r="44" spans="1:19" s="1" customFormat="1" ht="15.75" customHeight="1">
      <c r="A44" s="3"/>
      <c r="B44" s="3"/>
      <c r="C44" s="1099"/>
      <c r="D44" s="1099"/>
      <c r="E44" s="1099"/>
      <c r="F44" s="1099"/>
      <c r="G44" s="1099"/>
      <c r="H44" s="1099"/>
      <c r="I44" s="1099"/>
      <c r="J44" s="1099"/>
      <c r="K44" s="1099"/>
      <c r="L44" s="1099"/>
      <c r="M44" s="190"/>
      <c r="N44" s="248"/>
      <c r="O44" s="248"/>
      <c r="P44" s="16"/>
      <c r="Q44" s="26"/>
      <c r="R44" s="27"/>
      <c r="S44" s="27"/>
    </row>
    <row r="45" spans="1:19" s="1" customFormat="1" ht="15.75" customHeight="1">
      <c r="A45" s="3"/>
      <c r="B45" s="3"/>
      <c r="C45" s="1099"/>
      <c r="D45" s="1099"/>
      <c r="E45" s="1099"/>
      <c r="F45" s="1099"/>
      <c r="G45" s="1099"/>
      <c r="H45" s="1099"/>
      <c r="I45" s="1099"/>
      <c r="J45" s="1099"/>
      <c r="K45" s="1099"/>
      <c r="L45" s="1099"/>
      <c r="M45" s="190"/>
      <c r="N45" s="248"/>
      <c r="O45" s="248"/>
      <c r="P45" s="16"/>
      <c r="Q45" s="26"/>
      <c r="R45" s="27"/>
      <c r="S45" s="27"/>
    </row>
    <row r="46" spans="1:19" s="1" customFormat="1" ht="15.75" customHeight="1">
      <c r="A46" s="3"/>
      <c r="B46" s="3"/>
      <c r="C46" s="1099"/>
      <c r="D46" s="1099"/>
      <c r="E46" s="1099"/>
      <c r="F46" s="1099"/>
      <c r="G46" s="1099"/>
      <c r="H46" s="1099"/>
      <c r="I46" s="1099"/>
      <c r="J46" s="1099"/>
      <c r="K46" s="1099"/>
      <c r="L46" s="1099"/>
      <c r="M46" s="190"/>
      <c r="N46" s="248"/>
      <c r="O46" s="248"/>
      <c r="P46" s="16"/>
      <c r="Q46" s="26"/>
      <c r="R46" s="27"/>
      <c r="S46" s="27"/>
    </row>
    <row r="47" spans="1:19" s="1" customFormat="1" ht="15.75" customHeight="1">
      <c r="A47" s="3"/>
      <c r="B47" s="3"/>
      <c r="C47" s="1099"/>
      <c r="D47" s="1099"/>
      <c r="E47" s="1099"/>
      <c r="F47" s="1099"/>
      <c r="G47" s="1099"/>
      <c r="H47" s="1099"/>
      <c r="I47" s="1099"/>
      <c r="J47" s="1099"/>
      <c r="K47" s="1099"/>
      <c r="L47" s="1099"/>
      <c r="M47" s="190"/>
      <c r="N47" s="248"/>
      <c r="O47" s="248"/>
      <c r="P47" s="16"/>
      <c r="Q47" s="26"/>
      <c r="R47" s="27"/>
      <c r="S47" s="27"/>
    </row>
    <row r="48" spans="1:19" s="1" customFormat="1" ht="15.75" customHeight="1">
      <c r="A48" s="3"/>
      <c r="B48" s="3"/>
      <c r="C48" s="1099"/>
      <c r="D48" s="1099"/>
      <c r="E48" s="1099"/>
      <c r="F48" s="1099"/>
      <c r="G48" s="1099"/>
      <c r="H48" s="1099"/>
      <c r="I48" s="1099"/>
      <c r="J48" s="1099"/>
      <c r="K48" s="1099"/>
      <c r="L48" s="1099"/>
      <c r="M48" s="190"/>
      <c r="N48" s="248"/>
      <c r="O48" s="248"/>
      <c r="P48" s="16"/>
      <c r="Q48" s="26"/>
      <c r="R48" s="27"/>
      <c r="S48" s="27"/>
    </row>
    <row r="49" spans="1:19" s="1" customFormat="1" ht="15.75" customHeight="1">
      <c r="A49" s="3"/>
      <c r="B49" s="3"/>
      <c r="C49" s="1099"/>
      <c r="D49" s="1099"/>
      <c r="E49" s="1099"/>
      <c r="F49" s="1099"/>
      <c r="G49" s="1099"/>
      <c r="H49" s="1099"/>
      <c r="I49" s="1099"/>
      <c r="J49" s="1099"/>
      <c r="K49" s="1099"/>
      <c r="L49" s="1099"/>
      <c r="M49" s="190"/>
      <c r="N49" s="248"/>
      <c r="O49" s="248"/>
      <c r="P49" s="16"/>
      <c r="Q49" s="26"/>
      <c r="R49" s="27"/>
      <c r="S49" s="27"/>
    </row>
    <row r="50" spans="1:19" s="1" customFormat="1" ht="15.75" customHeight="1">
      <c r="A50" s="3"/>
      <c r="B50" s="3"/>
      <c r="C50" s="1099"/>
      <c r="D50" s="1099"/>
      <c r="E50" s="1099"/>
      <c r="F50" s="1099"/>
      <c r="G50" s="1099"/>
      <c r="H50" s="1099"/>
      <c r="I50" s="1099"/>
      <c r="J50" s="1099"/>
      <c r="K50" s="1099"/>
      <c r="L50" s="1099"/>
      <c r="M50" s="190"/>
      <c r="N50" s="248"/>
      <c r="O50" s="248"/>
      <c r="P50" s="16"/>
      <c r="Q50" s="26"/>
      <c r="R50" s="27"/>
      <c r="S50" s="27"/>
    </row>
    <row r="51" spans="1:19" s="1" customFormat="1" ht="15.75" customHeight="1">
      <c r="A51" s="3"/>
      <c r="B51" s="3"/>
      <c r="C51" s="1099"/>
      <c r="D51" s="1099"/>
      <c r="E51" s="1099"/>
      <c r="F51" s="1099"/>
      <c r="G51" s="1099"/>
      <c r="H51" s="1099"/>
      <c r="I51" s="1099"/>
      <c r="J51" s="1099"/>
      <c r="K51" s="1099"/>
      <c r="L51" s="1099"/>
      <c r="M51" s="190"/>
      <c r="N51" s="248"/>
      <c r="O51" s="248"/>
      <c r="P51" s="16"/>
      <c r="Q51" s="26"/>
      <c r="R51" s="27"/>
      <c r="S51" s="27"/>
    </row>
    <row r="52" spans="1:19" s="1" customFormat="1" ht="15.75" customHeight="1">
      <c r="A52" s="3"/>
      <c r="B52" s="3"/>
      <c r="C52" s="1099"/>
      <c r="D52" s="1099"/>
      <c r="E52" s="1099"/>
      <c r="F52" s="1099"/>
      <c r="G52" s="1099"/>
      <c r="H52" s="1099"/>
      <c r="I52" s="1099"/>
      <c r="J52" s="1099"/>
      <c r="K52" s="1099"/>
      <c r="L52" s="1099"/>
      <c r="M52" s="190"/>
      <c r="N52" s="248"/>
      <c r="O52" s="248"/>
      <c r="P52" s="16"/>
      <c r="Q52" s="26"/>
      <c r="R52" s="27"/>
      <c r="S52" s="27"/>
    </row>
    <row r="53" spans="1:19" s="1" customFormat="1" ht="15.75" customHeight="1">
      <c r="A53" s="3"/>
      <c r="B53" s="3"/>
      <c r="C53" s="1099"/>
      <c r="D53" s="1099"/>
      <c r="E53" s="1099"/>
      <c r="F53" s="1099"/>
      <c r="G53" s="1099"/>
      <c r="H53" s="1099"/>
      <c r="I53" s="1099"/>
      <c r="J53" s="1099"/>
      <c r="K53" s="1099"/>
      <c r="L53" s="1099"/>
      <c r="M53" s="190"/>
      <c r="N53" s="248"/>
      <c r="O53" s="248"/>
      <c r="P53" s="16"/>
      <c r="Q53" s="26"/>
      <c r="R53" s="27"/>
      <c r="S53" s="27"/>
    </row>
    <row r="54" spans="1:19" s="1" customFormat="1" ht="15.75" customHeight="1">
      <c r="A54" s="3"/>
      <c r="B54" s="3"/>
      <c r="C54" s="1099"/>
      <c r="D54" s="1099"/>
      <c r="E54" s="1099"/>
      <c r="F54" s="1099"/>
      <c r="G54" s="1099"/>
      <c r="H54" s="1099"/>
      <c r="I54" s="1099"/>
      <c r="J54" s="1099"/>
      <c r="K54" s="1099"/>
      <c r="L54" s="1099"/>
      <c r="M54" s="190"/>
      <c r="N54" s="248"/>
      <c r="O54" s="248"/>
      <c r="P54" s="16"/>
      <c r="Q54" s="26"/>
      <c r="R54" s="27"/>
      <c r="S54" s="27"/>
    </row>
    <row r="55" spans="1:19" s="1" customFormat="1" ht="9.75" customHeight="1">
      <c r="A55" s="3"/>
      <c r="B55" s="3"/>
      <c r="C55" s="1099"/>
      <c r="D55" s="1099"/>
      <c r="E55" s="1099"/>
      <c r="F55" s="1099"/>
      <c r="G55" s="1099"/>
      <c r="H55" s="1099"/>
      <c r="I55" s="1099"/>
      <c r="J55" s="1099"/>
      <c r="K55" s="1099"/>
      <c r="L55" s="1099"/>
      <c r="M55" s="190"/>
      <c r="N55" s="248"/>
      <c r="O55" s="248"/>
      <c r="P55" s="16"/>
      <c r="Q55" s="26"/>
      <c r="R55" s="27"/>
      <c r="S55" s="27"/>
    </row>
    <row r="56" spans="1:19" s="1" customFormat="1" ht="15.75" customHeight="1">
      <c r="A56" s="3"/>
      <c r="B56" s="1167" t="str">
        <f>'Lembar Penyelia'!$B$50:$C$50</f>
        <v>b. Kalibrasi Akurasi Suhu</v>
      </c>
      <c r="C56" s="1167"/>
      <c r="D56" s="1167"/>
      <c r="E56" s="3"/>
      <c r="F56" s="3"/>
      <c r="G56" s="3"/>
      <c r="H56" s="190"/>
      <c r="I56" s="3"/>
      <c r="J56" s="3"/>
      <c r="K56" s="3"/>
      <c r="L56" s="3"/>
      <c r="M56" s="190"/>
      <c r="N56" s="248"/>
      <c r="O56" s="248"/>
      <c r="P56" s="16"/>
      <c r="Q56" s="26"/>
      <c r="R56" s="27"/>
      <c r="S56" s="27"/>
    </row>
    <row r="57" spans="1:19" s="1" customFormat="1" ht="25" customHeight="1">
      <c r="A57" s="3"/>
      <c r="B57" s="1177" t="s">
        <v>576</v>
      </c>
      <c r="C57" s="1155" t="s">
        <v>310</v>
      </c>
      <c r="D57" s="1155" t="s">
        <v>311</v>
      </c>
      <c r="E57" s="1155"/>
      <c r="F57" s="1157" t="s">
        <v>269</v>
      </c>
      <c r="G57" s="1158"/>
      <c r="H57" s="1158"/>
      <c r="I57" s="1159" t="s">
        <v>312</v>
      </c>
      <c r="J57" s="1162" t="s">
        <v>44</v>
      </c>
      <c r="K57" s="1162"/>
      <c r="L57" s="1155" t="s">
        <v>313</v>
      </c>
      <c r="M57" s="1155"/>
      <c r="N57" s="289"/>
      <c r="O57" s="248"/>
    </row>
    <row r="58" spans="1:19" s="1" customFormat="1" ht="15.75" customHeight="1">
      <c r="A58" s="3"/>
      <c r="B58" s="1177"/>
      <c r="C58" s="1155"/>
      <c r="D58" s="1155"/>
      <c r="E58" s="1155"/>
      <c r="F58" s="1152" t="s">
        <v>273</v>
      </c>
      <c r="G58" s="1152" t="s">
        <v>274</v>
      </c>
      <c r="H58" s="1153" t="s">
        <v>186</v>
      </c>
      <c r="I58" s="1160"/>
      <c r="J58" s="1178" t="s">
        <v>314</v>
      </c>
      <c r="K58" s="1179"/>
      <c r="L58" s="1155"/>
      <c r="M58" s="1155"/>
      <c r="N58" s="289"/>
      <c r="O58" s="3"/>
      <c r="P58" s="17"/>
      <c r="Q58" s="1003"/>
    </row>
    <row r="59" spans="1:19" s="1" customFormat="1" ht="30" customHeight="1">
      <c r="A59" s="3"/>
      <c r="B59" s="1177"/>
      <c r="C59" s="1155"/>
      <c r="D59" s="1155"/>
      <c r="E59" s="1155"/>
      <c r="F59" s="1152"/>
      <c r="G59" s="1152"/>
      <c r="H59" s="1154"/>
      <c r="I59" s="1161"/>
      <c r="J59" s="1180"/>
      <c r="K59" s="1181"/>
      <c r="L59" s="1155"/>
      <c r="M59" s="1155"/>
      <c r="N59" s="289"/>
      <c r="O59" s="3"/>
      <c r="P59" s="17"/>
      <c r="Q59" s="1003"/>
    </row>
    <row r="60" spans="1:19" s="1" customFormat="1" ht="31.4" customHeight="1">
      <c r="A60" s="3"/>
      <c r="B60" s="932">
        <f>ID!A63</f>
        <v>-33</v>
      </c>
      <c r="C60" s="932" t="str">
        <f>ID!J9</f>
        <v>-25</v>
      </c>
      <c r="D60" s="1175">
        <f ca="1">'Lembar Penyelia'!C54</f>
        <v>-26.693000000000005</v>
      </c>
      <c r="E60" s="1176"/>
      <c r="F60" s="933">
        <f ca="1">'Lembar Penyelia'!D54</f>
        <v>6.9999999999993179E-2</v>
      </c>
      <c r="G60" s="933">
        <f ca="1">'Lembar Penyelia'!E54</f>
        <v>0</v>
      </c>
      <c r="H60" s="933">
        <f ca="1">'Lembar Penyelia'!F54</f>
        <v>7.0000000000000284E-2</v>
      </c>
      <c r="I60" s="933" t="str">
        <f ca="1">'Lembar Penyelia'!P61</f>
        <v>-1.69</v>
      </c>
      <c r="J60" s="1182"/>
      <c r="K60" s="1183"/>
      <c r="L60" s="843" t="s">
        <v>327</v>
      </c>
      <c r="M60" s="1342" t="str">
        <f ca="1">'Uncertainty Budget'!Q20</f>
        <v>0.59</v>
      </c>
      <c r="N60" s="267"/>
      <c r="O60" s="3"/>
      <c r="P60" s="18"/>
      <c r="Q60" s="1003"/>
    </row>
    <row r="61" spans="1:19" s="1" customFormat="1" ht="1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9"/>
      <c r="Q61" s="28"/>
    </row>
    <row r="62" spans="1:19" s="1" customFormat="1" ht="15.75" customHeight="1">
      <c r="A62" s="12" t="s">
        <v>278</v>
      </c>
      <c r="B62" s="12" t="s">
        <v>279</v>
      </c>
      <c r="C62" s="7"/>
      <c r="D62" s="7"/>
      <c r="E62" s="8"/>
      <c r="F62" s="249"/>
      <c r="G62" s="249"/>
      <c r="H62" s="9"/>
      <c r="I62" s="7"/>
      <c r="J62" s="7"/>
      <c r="K62" s="7"/>
      <c r="L62" s="7"/>
      <c r="M62" s="7"/>
      <c r="N62" s="7"/>
      <c r="O62" s="3"/>
      <c r="P62" s="20"/>
      <c r="Q62" s="26"/>
      <c r="R62" s="29"/>
      <c r="S62" s="29"/>
    </row>
    <row r="63" spans="1:19" s="1" customFormat="1" ht="15.75" customHeight="1">
      <c r="A63" s="5"/>
      <c r="B63" s="6" t="str">
        <f>'Lembar Penyelia'!B57</f>
        <v>Ketidakpastian pengukuran dilaporkan pada tingkat kepercayaan 95% dengan faktor cakupan k=2</v>
      </c>
      <c r="C63" s="7"/>
      <c r="D63" s="7"/>
      <c r="E63" s="7"/>
      <c r="F63" s="8"/>
      <c r="G63" s="8"/>
      <c r="H63" s="9"/>
      <c r="I63" s="7"/>
      <c r="J63" s="7"/>
      <c r="K63" s="7"/>
      <c r="L63" s="7"/>
      <c r="M63" s="7"/>
      <c r="N63" s="7"/>
      <c r="O63" s="3"/>
      <c r="P63" s="20"/>
      <c r="Q63" s="26"/>
      <c r="R63" s="29"/>
      <c r="S63" s="29"/>
    </row>
    <row r="64" spans="1:19" s="1" customFormat="1" ht="15.75" customHeight="1">
      <c r="A64" s="5"/>
      <c r="B64" s="6" t="str">
        <f>'Lembar Penyelia'!B58</f>
        <v>Hasil pengukuran keselamatan listrik tertelusur ke Satuan SI melalui PT. Kaliman ( LK-032-IDN )</v>
      </c>
      <c r="C64" s="7"/>
      <c r="D64" s="7"/>
      <c r="E64" s="7"/>
      <c r="F64" s="8"/>
      <c r="G64" s="8"/>
      <c r="H64" s="9"/>
      <c r="I64" s="7"/>
      <c r="J64" s="7"/>
      <c r="K64" s="7"/>
      <c r="L64" s="7"/>
      <c r="M64" s="7"/>
      <c r="N64" s="7"/>
      <c r="O64" s="3"/>
      <c r="P64" s="20"/>
      <c r="Q64" s="26"/>
      <c r="R64" s="29"/>
      <c r="S64" s="29"/>
    </row>
    <row r="65" spans="1:19" s="1" customFormat="1" ht="15.75" customHeight="1">
      <c r="A65" s="5"/>
      <c r="B65" s="6" t="str">
        <f>'Lembar Penyelia'!B59</f>
        <v>Hasil pengujian kinerja suhu tertelusur ke Satuan SI melalui Laboratorium SNSU-BSN</v>
      </c>
      <c r="C65" s="7"/>
      <c r="D65" s="7"/>
      <c r="E65" s="7"/>
      <c r="F65" s="8"/>
      <c r="G65" s="8"/>
      <c r="H65" s="9"/>
      <c r="I65" s="7"/>
      <c r="J65" s="7"/>
      <c r="K65" s="7"/>
      <c r="L65" s="7"/>
      <c r="M65" s="7"/>
      <c r="N65" s="7"/>
      <c r="O65" s="3"/>
      <c r="P65" s="20"/>
      <c r="Q65" s="26"/>
      <c r="R65" s="29"/>
      <c r="S65" s="29"/>
    </row>
    <row r="66" spans="1:19" s="1" customFormat="1" ht="15.75" customHeight="1">
      <c r="A66" s="5"/>
      <c r="B66" s="6" t="str">
        <f>ID!A110</f>
        <v>Tidak dilakukan pengujian keselamatan listrik karena alat tidak boleh dalam kondisi off</v>
      </c>
      <c r="C66" s="7"/>
      <c r="D66" s="7"/>
      <c r="E66" s="7"/>
      <c r="F66" s="8"/>
      <c r="G66" s="8"/>
      <c r="H66" s="9"/>
      <c r="I66" s="7"/>
      <c r="J66" s="7"/>
      <c r="K66" s="7"/>
      <c r="L66" s="7"/>
      <c r="M66" s="7"/>
      <c r="N66" s="7"/>
      <c r="O66" s="3"/>
      <c r="P66" s="20"/>
      <c r="Q66" s="26"/>
      <c r="R66" s="29"/>
      <c r="S66" s="29"/>
    </row>
    <row r="67" spans="1:19" s="1" customFormat="1" ht="15.5">
      <c r="A67" s="5"/>
      <c r="B67" s="7" t="str">
        <f ca="1">'Lembar Penyelia'!B61</f>
        <v/>
      </c>
      <c r="C67" s="7"/>
      <c r="D67" s="6"/>
      <c r="E67" s="7"/>
      <c r="F67" s="10"/>
      <c r="G67" s="10"/>
      <c r="H67" s="11"/>
      <c r="I67" s="7"/>
      <c r="J67" s="7"/>
      <c r="K67" s="7"/>
      <c r="L67" s="7"/>
      <c r="M67" s="7"/>
      <c r="N67" s="7"/>
      <c r="O67" s="3"/>
      <c r="P67" s="21"/>
      <c r="Q67" s="22"/>
      <c r="R67" s="30"/>
      <c r="S67" s="30"/>
    </row>
    <row r="68" spans="1:19" s="1" customFormat="1" ht="15.75" hidden="1" customHeight="1">
      <c r="A68" s="5"/>
      <c r="B68" s="7"/>
      <c r="C68" s="7"/>
      <c r="D68" s="6"/>
      <c r="E68" s="7"/>
      <c r="F68" s="10"/>
      <c r="G68" s="10"/>
      <c r="H68" s="11"/>
      <c r="I68" s="7"/>
      <c r="J68" s="7"/>
      <c r="K68" s="7"/>
      <c r="L68" s="7"/>
      <c r="M68" s="7"/>
      <c r="N68" s="7"/>
      <c r="O68" s="3"/>
      <c r="P68" s="21"/>
      <c r="Q68" s="22"/>
      <c r="R68" s="30"/>
      <c r="S68" s="30"/>
    </row>
    <row r="69" spans="1:19" s="1" customFormat="1" ht="15.75" customHeight="1">
      <c r="A69" s="12" t="s">
        <v>315</v>
      </c>
      <c r="B69" s="13" t="s">
        <v>593</v>
      </c>
      <c r="C69" s="7"/>
      <c r="D69" s="6"/>
      <c r="E69" s="7"/>
      <c r="F69" s="10"/>
      <c r="G69" s="10"/>
      <c r="H69" s="11"/>
      <c r="I69" s="7"/>
      <c r="J69" s="7"/>
      <c r="K69" s="7"/>
      <c r="L69" s="7"/>
      <c r="M69" s="7"/>
      <c r="N69" s="7"/>
      <c r="O69" s="3"/>
      <c r="P69" s="21"/>
      <c r="Q69" s="22"/>
      <c r="R69" s="30"/>
      <c r="S69" s="30"/>
    </row>
    <row r="70" spans="1:19" s="1" customFormat="1" ht="15.75" customHeight="1">
      <c r="A70" s="5"/>
      <c r="B70" s="928" t="str">
        <f>'Lembar Penyelia'!B66</f>
        <v>Wireless Temperature Recorder, Merek : HIOKI, Model : LR 8510, SN : 210411984</v>
      </c>
      <c r="C70" s="7"/>
      <c r="D70" s="6"/>
      <c r="E70" s="7"/>
      <c r="F70" s="10"/>
      <c r="G70" s="10"/>
      <c r="H70" s="11"/>
      <c r="I70" s="7"/>
      <c r="J70" s="7"/>
      <c r="K70" s="7"/>
      <c r="L70" s="7"/>
      <c r="M70" s="7"/>
      <c r="N70" s="7"/>
      <c r="O70" s="3"/>
      <c r="P70" s="21"/>
      <c r="Q70" s="22"/>
      <c r="R70" s="30"/>
      <c r="S70" s="30"/>
    </row>
    <row r="71" spans="1:19" s="1" customFormat="1" ht="15.75" customHeight="1">
      <c r="A71" s="5"/>
      <c r="B71" s="928" t="str">
        <f>IF('Lembar Penyelia'!B67="",'Lembar Penyelia'!B68,'Lembar Penyelia'!B67)</f>
        <v>Temperature Recorder, Merek : HIOKI, Model : LR 8410, SN : 210368322</v>
      </c>
      <c r="C71" s="10"/>
      <c r="D71" s="10"/>
      <c r="E71" s="10"/>
      <c r="F71" s="10"/>
      <c r="G71" s="10"/>
      <c r="H71" s="10"/>
      <c r="I71" s="10"/>
      <c r="J71" s="7"/>
      <c r="K71" s="7"/>
      <c r="L71" s="7"/>
      <c r="M71" s="7"/>
      <c r="N71" s="7"/>
      <c r="O71" s="3"/>
      <c r="P71" s="21"/>
      <c r="Q71" s="22"/>
      <c r="R71" s="30"/>
      <c r="S71" s="30"/>
    </row>
    <row r="72" spans="1:19" s="1" customFormat="1" ht="15.75" customHeight="1">
      <c r="A72" s="5"/>
      <c r="B72" s="928" t="str">
        <f>IF('Lembar Penyelia'!B67="","",'Lembar Penyelia'!B68)</f>
        <v>Electrical Safety Analyzer, Merek : Fluke, Model : ESA 615, SN : 3148908</v>
      </c>
      <c r="C72" s="7"/>
      <c r="D72" s="6"/>
      <c r="E72" s="7"/>
      <c r="F72" s="10"/>
      <c r="G72" s="10"/>
      <c r="H72" s="11"/>
      <c r="I72" s="7"/>
      <c r="J72" s="7"/>
      <c r="K72" s="7"/>
      <c r="L72" s="7"/>
      <c r="M72" s="7"/>
      <c r="N72" s="7"/>
      <c r="O72" s="3"/>
      <c r="P72" s="21"/>
      <c r="Q72" s="22"/>
      <c r="R72" s="30"/>
      <c r="S72" s="30"/>
    </row>
    <row r="73" spans="1:19" s="1" customFormat="1" ht="11.25" customHeight="1">
      <c r="C73" s="7"/>
      <c r="D73" s="7"/>
      <c r="E73" s="7"/>
      <c r="F73" s="10"/>
      <c r="G73" s="10"/>
      <c r="H73" s="7"/>
      <c r="I73" s="7"/>
      <c r="J73" s="7"/>
      <c r="K73" s="7"/>
      <c r="L73" s="7"/>
      <c r="M73" s="7"/>
      <c r="N73" s="7"/>
      <c r="O73" s="3"/>
      <c r="P73" s="22"/>
      <c r="Q73" s="22"/>
      <c r="R73" s="20"/>
      <c r="S73" s="30"/>
    </row>
    <row r="74" spans="1:19" s="1" customFormat="1" ht="15.75" customHeight="1">
      <c r="A74" s="12" t="s">
        <v>316</v>
      </c>
      <c r="B74" s="255" t="s">
        <v>286</v>
      </c>
      <c r="C74" s="7"/>
      <c r="D74" s="7"/>
      <c r="E74" s="7"/>
      <c r="F74" s="250"/>
      <c r="G74" s="250"/>
      <c r="H74" s="7"/>
      <c r="I74" s="7"/>
      <c r="J74" s="7"/>
      <c r="K74" s="7"/>
      <c r="L74" s="7"/>
      <c r="M74" s="251"/>
      <c r="N74" s="7"/>
      <c r="O74" s="3"/>
    </row>
    <row r="75" spans="1:19" s="1" customFormat="1" ht="40.5" customHeight="1">
      <c r="A75" s="5"/>
      <c r="B75" s="1185" t="str">
        <f ca="1">'Lembar Penyelia'!B72</f>
        <v>Alat yang dikalibrasi dalam batas toleransi dan dinyatakan LAIK PAKAI, dimana hasil atau skor akhir sama dengan atau melampaui 70% berdasarkan Keputusan Direktur Jenderal Pelayanan Kesehatan No : HK.02.02/V/0412/2020</v>
      </c>
      <c r="C75" s="1185"/>
      <c r="D75" s="1185"/>
      <c r="E75" s="1185"/>
      <c r="F75" s="1185"/>
      <c r="G75" s="1185"/>
      <c r="H75" s="1185"/>
      <c r="I75" s="1185"/>
      <c r="J75" s="1185"/>
      <c r="K75" s="1185"/>
      <c r="L75" s="1185"/>
      <c r="M75" s="1185"/>
      <c r="N75" s="1185"/>
      <c r="O75" s="3"/>
    </row>
    <row r="76" spans="1:19" s="1" customFormat="1" ht="15.75" customHeight="1">
      <c r="A76" s="12" t="s">
        <v>287</v>
      </c>
      <c r="B76" s="259" t="str">
        <f>'Lembar Penyelia'!B76</f>
        <v>Petugas kalibrasi</v>
      </c>
      <c r="C76" s="7"/>
      <c r="D76" s="7"/>
      <c r="E76" s="8"/>
      <c r="F76" s="9"/>
      <c r="G76" s="9"/>
      <c r="H76" s="7"/>
      <c r="I76" s="7"/>
      <c r="J76" s="7"/>
      <c r="K76" s="7"/>
      <c r="L76" s="7"/>
      <c r="M76" s="251"/>
      <c r="N76" s="7"/>
      <c r="O76" s="3"/>
    </row>
    <row r="77" spans="1:19" s="2" customFormat="1" ht="15.5">
      <c r="A77" s="256"/>
      <c r="B77" s="929" t="str">
        <f>'Lembar Penyelia'!B77</f>
        <v>Choirul Huda</v>
      </c>
      <c r="N77" s="257"/>
      <c r="O77" s="23"/>
    </row>
    <row r="78" spans="1:19" s="1" customFormat="1" ht="10.5" hidden="1" customHeight="1">
      <c r="A78" s="5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7"/>
      <c r="M78" s="251"/>
      <c r="N78" s="7"/>
      <c r="O78" s="3"/>
    </row>
    <row r="79" spans="1:19" s="1" customFormat="1" ht="15.75" hidden="1" customHeight="1">
      <c r="C79" s="7"/>
      <c r="D79" s="7"/>
      <c r="E79" s="8"/>
      <c r="F79" s="9"/>
      <c r="G79" s="9"/>
      <c r="H79" s="7"/>
      <c r="I79" s="7"/>
      <c r="J79" s="7"/>
      <c r="K79" s="7"/>
      <c r="L79" s="7"/>
      <c r="M79" s="251"/>
      <c r="N79" s="7"/>
      <c r="O79" s="3"/>
    </row>
    <row r="80" spans="1:19" s="1" customFormat="1" ht="15.75" hidden="1" customHeight="1">
      <c r="A80" s="7"/>
      <c r="C80" s="7"/>
      <c r="D80" s="7"/>
      <c r="E80" s="252"/>
      <c r="F80" s="11"/>
      <c r="G80" s="11"/>
      <c r="H80" s="7"/>
      <c r="I80" s="7"/>
      <c r="J80" s="7"/>
      <c r="K80" s="7"/>
      <c r="L80" s="7"/>
      <c r="M80" s="7"/>
      <c r="N80" s="7"/>
      <c r="O80" s="3"/>
    </row>
    <row r="81" spans="1:16" s="1" customFormat="1" ht="14.15" hidden="1" customHeight="1">
      <c r="A81" s="7"/>
      <c r="B81" s="7"/>
      <c r="C81" s="7"/>
      <c r="D81" s="252"/>
      <c r="E81" s="252"/>
      <c r="F81" s="11"/>
      <c r="G81" s="11"/>
      <c r="H81" s="7"/>
      <c r="I81" s="7"/>
      <c r="J81" s="7"/>
      <c r="K81" s="7"/>
      <c r="L81" s="7"/>
      <c r="M81" s="7"/>
      <c r="N81" s="7"/>
      <c r="O81" s="3"/>
    </row>
    <row r="82" spans="1:16" s="1" customFormat="1" ht="14.15" hidden="1" customHeight="1">
      <c r="A82" s="7"/>
      <c r="B82" s="7"/>
      <c r="C82" s="7"/>
      <c r="D82" s="252"/>
      <c r="E82" s="252"/>
      <c r="F82" s="11"/>
      <c r="G82" s="11"/>
      <c r="H82" s="7"/>
      <c r="I82" s="7"/>
      <c r="J82" s="7"/>
      <c r="K82" s="7"/>
      <c r="L82" s="7"/>
      <c r="M82" s="7"/>
      <c r="N82" s="7"/>
      <c r="O82" s="3"/>
    </row>
    <row r="83" spans="1:16" s="1" customFormat="1" ht="15.5">
      <c r="A83" s="7"/>
      <c r="B83" s="7"/>
      <c r="C83" s="7"/>
      <c r="D83" s="252"/>
      <c r="E83" s="252"/>
      <c r="F83" s="11"/>
      <c r="G83" s="11"/>
      <c r="H83" s="7"/>
      <c r="I83" s="7"/>
      <c r="J83" s="7"/>
      <c r="K83" s="7"/>
      <c r="L83" s="7"/>
      <c r="M83" s="7"/>
      <c r="N83" s="7"/>
      <c r="O83" s="3"/>
    </row>
    <row r="84" spans="1:16" s="1" customFormat="1" ht="15.5">
      <c r="A84" s="7"/>
      <c r="B84" s="7"/>
      <c r="C84" s="7"/>
      <c r="D84" s="252"/>
      <c r="E84" s="252"/>
      <c r="F84" s="11"/>
      <c r="G84" s="11"/>
      <c r="H84" s="7"/>
      <c r="I84" s="7"/>
      <c r="J84" s="7"/>
      <c r="K84" s="7"/>
      <c r="L84" s="7"/>
      <c r="M84" s="7"/>
      <c r="N84" s="7"/>
      <c r="O84" s="3"/>
    </row>
    <row r="85" spans="1:16" s="1" customFormat="1" ht="14.15" customHeight="1">
      <c r="A85" s="7"/>
      <c r="B85" s="7"/>
      <c r="C85" s="7"/>
      <c r="D85" s="252"/>
      <c r="E85" s="252"/>
      <c r="F85" s="11"/>
      <c r="G85" s="11"/>
      <c r="H85" s="7"/>
      <c r="I85" s="7"/>
      <c r="J85" s="7" t="s">
        <v>317</v>
      </c>
      <c r="K85" s="7"/>
      <c r="L85" s="7"/>
      <c r="M85" s="7"/>
      <c r="N85" s="7"/>
      <c r="O85" s="3"/>
    </row>
    <row r="86" spans="1:16" s="1" customFormat="1" ht="14.15" customHeight="1">
      <c r="A86" s="7"/>
      <c r="B86" s="7"/>
      <c r="C86" s="7"/>
      <c r="D86" s="252"/>
      <c r="E86" s="252"/>
      <c r="F86" s="11"/>
      <c r="G86" s="11"/>
      <c r="H86" s="7"/>
      <c r="I86" s="930" t="str">
        <f>IF(J95=O95,"a.n","")</f>
        <v>a.n</v>
      </c>
      <c r="J86" s="7" t="s">
        <v>318</v>
      </c>
      <c r="K86" s="7"/>
      <c r="L86" s="7"/>
      <c r="M86" s="7"/>
      <c r="N86" s="7"/>
      <c r="O86" s="3"/>
    </row>
    <row r="87" spans="1:16" s="1" customFormat="1" ht="14.15" customHeight="1">
      <c r="A87" s="7"/>
      <c r="B87" s="7"/>
      <c r="C87" s="7"/>
      <c r="D87" s="252"/>
      <c r="E87" s="252"/>
      <c r="F87" s="11"/>
      <c r="G87" s="11"/>
      <c r="H87" s="7"/>
      <c r="J87" s="7" t="s">
        <v>319</v>
      </c>
      <c r="K87" s="7"/>
      <c r="L87" s="7"/>
      <c r="M87" s="7"/>
      <c r="N87" s="7"/>
      <c r="O87" s="3"/>
    </row>
    <row r="88" spans="1:16" s="1" customFormat="1" ht="15.75" customHeight="1">
      <c r="A88" s="7"/>
      <c r="B88" s="7"/>
      <c r="C88" s="7"/>
      <c r="D88" s="7"/>
      <c r="E88" s="7"/>
      <c r="F88" s="7"/>
      <c r="G88" s="7"/>
      <c r="H88" s="7"/>
      <c r="K88" s="7"/>
      <c r="L88" s="260"/>
      <c r="M88" s="7"/>
      <c r="N88" s="7"/>
      <c r="O88" s="3"/>
    </row>
    <row r="89" spans="1:16" s="1" customFormat="1" ht="9" customHeight="1">
      <c r="A89" s="7"/>
      <c r="B89" s="7"/>
      <c r="C89" s="7"/>
      <c r="D89" s="7"/>
      <c r="E89" s="7"/>
      <c r="F89" s="7"/>
      <c r="G89" s="7"/>
      <c r="H89" s="7"/>
      <c r="K89" s="7"/>
      <c r="L89" s="260"/>
      <c r="M89" s="7"/>
      <c r="N89" s="7"/>
      <c r="O89" s="3"/>
    </row>
    <row r="90" spans="1:16" s="1" customFormat="1" ht="15.75" hidden="1" customHeight="1">
      <c r="A90" s="7"/>
      <c r="B90" s="7"/>
      <c r="C90" s="7"/>
      <c r="D90" s="7"/>
      <c r="E90" s="7"/>
      <c r="F90" s="7"/>
      <c r="G90" s="7"/>
      <c r="H90" s="7"/>
      <c r="K90" s="7"/>
      <c r="L90" s="260"/>
      <c r="M90" s="7"/>
      <c r="N90" s="7"/>
      <c r="O90" s="3"/>
    </row>
    <row r="91" spans="1:16" s="1" customFormat="1" ht="15.75" customHeight="1">
      <c r="A91" s="7"/>
      <c r="B91" s="7"/>
      <c r="C91" s="7"/>
      <c r="D91" s="7"/>
      <c r="E91" s="7"/>
      <c r="F91" s="7"/>
      <c r="G91" s="7"/>
      <c r="H91" s="7"/>
      <c r="K91" s="7"/>
      <c r="L91" s="260"/>
      <c r="M91" s="7"/>
      <c r="N91" s="7"/>
      <c r="O91" s="3"/>
    </row>
    <row r="92" spans="1:16" s="1" customFormat="1" ht="15.75" hidden="1" customHeight="1">
      <c r="A92" s="7"/>
      <c r="B92" s="7"/>
      <c r="C92" s="7"/>
      <c r="D92" s="7"/>
      <c r="E92" s="7"/>
      <c r="F92" s="7"/>
      <c r="G92" s="7"/>
      <c r="H92" s="7"/>
      <c r="K92" s="7"/>
      <c r="L92" s="260"/>
      <c r="M92" s="7"/>
      <c r="N92" s="7"/>
      <c r="O92" s="3"/>
    </row>
    <row r="93" spans="1:16" s="1" customFormat="1" ht="15.75" customHeight="1">
      <c r="A93" s="7"/>
      <c r="B93" s="7"/>
      <c r="C93" s="7"/>
      <c r="D93" s="261"/>
      <c r="E93" s="261"/>
      <c r="F93" s="249"/>
      <c r="G93" s="249"/>
      <c r="H93" s="249"/>
      <c r="J93" s="7"/>
      <c r="K93" s="249"/>
      <c r="L93" s="262"/>
      <c r="M93" s="7"/>
      <c r="N93" s="7"/>
      <c r="O93" s="3"/>
    </row>
    <row r="94" spans="1:16" s="1" customFormat="1" ht="15.75" customHeight="1">
      <c r="A94" s="7"/>
      <c r="B94" s="7"/>
      <c r="C94" s="7"/>
      <c r="D94" s="263"/>
      <c r="E94" s="263"/>
      <c r="F94" s="260"/>
      <c r="G94" s="260"/>
      <c r="H94" s="260"/>
      <c r="J94" s="7"/>
      <c r="K94" s="260"/>
      <c r="L94" s="262"/>
      <c r="M94" s="7"/>
      <c r="N94" s="7"/>
      <c r="O94" s="3"/>
    </row>
    <row r="95" spans="1:16" s="1" customFormat="1" ht="15.75" customHeight="1">
      <c r="A95" s="7"/>
      <c r="B95" s="7"/>
      <c r="C95" s="7"/>
      <c r="D95" s="263"/>
      <c r="E95" s="263"/>
      <c r="F95" s="260"/>
      <c r="G95" s="260"/>
      <c r="H95" s="260"/>
      <c r="J95" s="931" t="str">
        <f>IF(ID!A122="Choirul Huda",O95,O96)</f>
        <v>Farid Wajidi, SKM</v>
      </c>
      <c r="K95" s="774"/>
      <c r="L95" s="774"/>
      <c r="M95" s="5"/>
      <c r="N95" s="7"/>
      <c r="O95" s="1" t="s">
        <v>321</v>
      </c>
      <c r="P95" s="3" t="s">
        <v>322</v>
      </c>
    </row>
    <row r="96" spans="1:16" s="1" customFormat="1" ht="15.75" customHeight="1">
      <c r="A96" s="7"/>
      <c r="B96" s="7"/>
      <c r="C96" s="7"/>
      <c r="D96" s="7"/>
      <c r="E96" s="7"/>
      <c r="F96" s="7"/>
      <c r="G96" s="7"/>
      <c r="H96" s="7"/>
      <c r="J96" s="853" t="str">
        <f>VLOOKUP(J95,O95:P96,2,0)</f>
        <v>NIP 196712101990031012</v>
      </c>
      <c r="K96" s="7"/>
      <c r="L96" s="7"/>
      <c r="M96" s="7"/>
      <c r="N96" s="7"/>
      <c r="O96" s="1" t="s">
        <v>320</v>
      </c>
      <c r="P96" s="3" t="s">
        <v>323</v>
      </c>
    </row>
    <row r="97" spans="1:15" s="1" customFormat="1" ht="15.5" hidden="1">
      <c r="A97" s="7"/>
      <c r="B97" s="7"/>
      <c r="C97" s="7"/>
      <c r="D97" s="7"/>
      <c r="E97" s="7"/>
      <c r="F97" s="7"/>
      <c r="G97" s="7"/>
      <c r="H97" s="7"/>
      <c r="K97" s="7"/>
      <c r="L97" s="7"/>
      <c r="M97" s="7"/>
      <c r="N97" s="7"/>
      <c r="O97" s="3"/>
    </row>
    <row r="98" spans="1:15" s="1" customFormat="1" ht="15.5" hidden="1">
      <c r="A98" s="7"/>
      <c r="B98" s="7"/>
      <c r="C98" s="7"/>
      <c r="D98" s="7"/>
      <c r="E98" s="7"/>
      <c r="F98" s="7"/>
      <c r="G98" s="7"/>
      <c r="H98" s="7"/>
      <c r="K98" s="7"/>
      <c r="L98" s="7"/>
      <c r="M98" s="7"/>
      <c r="N98" s="7"/>
      <c r="O98" s="3"/>
    </row>
    <row r="99" spans="1:15" s="1" customFormat="1" ht="15.5" hidden="1">
      <c r="A99" s="7"/>
      <c r="B99" s="7"/>
      <c r="C99" s="7"/>
      <c r="D99" s="7"/>
      <c r="E99" s="7"/>
      <c r="F99" s="7"/>
      <c r="G99" s="7"/>
      <c r="H99" s="7"/>
      <c r="K99" s="7"/>
      <c r="L99" s="7"/>
      <c r="M99" s="7"/>
      <c r="N99" s="7"/>
      <c r="O99" s="3"/>
    </row>
    <row r="100" spans="1:15" hidden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5" ht="6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5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92"/>
      <c r="N103" s="31" t="s">
        <v>324</v>
      </c>
    </row>
    <row r="104" spans="1:15" ht="2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</sheetData>
  <sheetProtection formatCells="0" formatColumns="0" formatRows="0" insertColumns="0" insertRows="0" deleteColumns="0" deleteRows="0"/>
  <mergeCells count="29">
    <mergeCell ref="B56:D56"/>
    <mergeCell ref="L28:M28"/>
    <mergeCell ref="L29:M29"/>
    <mergeCell ref="L30:M30"/>
    <mergeCell ref="A1:N1"/>
    <mergeCell ref="A2:N2"/>
    <mergeCell ref="E13:L13"/>
    <mergeCell ref="C24:I24"/>
    <mergeCell ref="J24:K24"/>
    <mergeCell ref="L24:M24"/>
    <mergeCell ref="H33:J33"/>
    <mergeCell ref="M33:M34"/>
    <mergeCell ref="N33:O33"/>
    <mergeCell ref="B41:D41"/>
    <mergeCell ref="C42:L55"/>
    <mergeCell ref="Q58:Q60"/>
    <mergeCell ref="D60:E60"/>
    <mergeCell ref="B75:N75"/>
    <mergeCell ref="B57:B59"/>
    <mergeCell ref="C57:C59"/>
    <mergeCell ref="D57:E59"/>
    <mergeCell ref="F57:H57"/>
    <mergeCell ref="I57:I59"/>
    <mergeCell ref="J57:K57"/>
    <mergeCell ref="L57:M59"/>
    <mergeCell ref="F58:F59"/>
    <mergeCell ref="G58:G59"/>
    <mergeCell ref="H58:H59"/>
    <mergeCell ref="J58:K60"/>
  </mergeCells>
  <printOptions horizontalCentered="1"/>
  <pageMargins left="0.511811023622047" right="0.23622047244094499" top="0.62992125984252001" bottom="0.39370078740157499" header="0.23622047244094499" footer="0.23622047244094499"/>
  <pageSetup paperSize="9" scale="60" orientation="portrait" r:id="rId1"/>
  <headerFooter>
    <oddHeader xml:space="preserve">&amp;R&amp;"-,Regular"&amp;8SH.LHK.031-18/REV : 1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6A57-BE82-414A-9F17-FE73323AC805}">
  <sheetPr codeName="Sheet7">
    <tabColor rgb="FF7030A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852-9F07-4135-9A81-9CADEBA202DB}">
  <sheetPr codeName="Sheet8">
    <tabColor rgb="FF7030A0"/>
  </sheetPr>
  <dimension ref="A1:T93"/>
  <sheetViews>
    <sheetView showGridLines="0" view="pageBreakPreview" topLeftCell="A18" zoomScaleNormal="100" zoomScaleSheetLayoutView="100" workbookViewId="0">
      <selection activeCell="I59" sqref="I59"/>
    </sheetView>
  </sheetViews>
  <sheetFormatPr defaultColWidth="9" defaultRowHeight="14"/>
  <cols>
    <col min="1" max="1" width="4.453125" style="3" customWidth="1"/>
    <col min="2" max="2" width="5.54296875" style="3" customWidth="1"/>
    <col min="3" max="3" width="14.54296875" style="3" customWidth="1"/>
    <col min="4" max="4" width="5.453125" style="3" customWidth="1"/>
    <col min="5" max="5" width="9.453125" style="3" customWidth="1"/>
    <col min="6" max="6" width="11.453125" style="3" customWidth="1"/>
    <col min="7" max="7" width="10" style="3" customWidth="1"/>
    <col min="8" max="8" width="11.54296875" style="3" customWidth="1"/>
    <col min="9" max="9" width="10.453125" style="3" customWidth="1"/>
    <col min="10" max="10" width="8.1796875" style="3" customWidth="1"/>
    <col min="11" max="11" width="7.453125" style="3" customWidth="1"/>
    <col min="12" max="12" width="8.453125" style="3" customWidth="1"/>
    <col min="13" max="14" width="8" style="3" customWidth="1"/>
    <col min="15" max="15" width="7.81640625" style="3" customWidth="1"/>
    <col min="16" max="16" width="9.1796875" style="3" customWidth="1"/>
    <col min="17" max="18" width="9.453125" style="3" customWidth="1"/>
    <col min="19" max="258" width="9.1796875" style="3" customWidth="1"/>
    <col min="259" max="16384" width="9" style="3"/>
  </cols>
  <sheetData>
    <row r="1" spans="1:15" ht="19.5" customHeight="1">
      <c r="A1" s="946" t="str">
        <f>'Lembar Penyelia'!A1:K1</f>
        <v>Hasil Kalibrasi Medical Freezer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</row>
    <row r="2" spans="1:15" ht="18.75" customHeight="1">
      <c r="A2" s="1135" t="str">
        <f ca="1">'Lembar Penyelia'!A2:M2</f>
        <v>Nomor Sertifikat : 67 / 1 / VI - 23 / E - 123 DL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135"/>
      <c r="N2" s="1135"/>
    </row>
    <row r="3" spans="1:15" ht="14.15" customHeight="1">
      <c r="D3" s="208"/>
      <c r="E3" s="208"/>
      <c r="F3" s="208"/>
      <c r="G3" s="208"/>
      <c r="H3" s="208"/>
      <c r="I3" s="208"/>
      <c r="J3" s="208"/>
      <c r="K3" s="208"/>
      <c r="L3" s="208"/>
      <c r="M3" s="208"/>
    </row>
    <row r="4" spans="1:15" s="1" customFormat="1" ht="15.75" customHeight="1">
      <c r="A4" s="206" t="s">
        <v>292</v>
      </c>
      <c r="B4" s="206"/>
      <c r="C4" s="3"/>
      <c r="D4" s="209" t="s">
        <v>2</v>
      </c>
      <c r="E4" s="205" t="str">
        <f>'Lembar Penyelia'!E4</f>
        <v>GEA</v>
      </c>
      <c r="F4" s="205"/>
      <c r="G4" s="3"/>
      <c r="H4" s="3"/>
      <c r="I4" s="3"/>
      <c r="J4" s="3"/>
      <c r="K4" s="3"/>
      <c r="L4" s="206"/>
      <c r="M4" s="209"/>
      <c r="N4" s="3"/>
      <c r="O4" s="3"/>
    </row>
    <row r="5" spans="1:15" s="1" customFormat="1" ht="15.75" customHeight="1">
      <c r="A5" s="206" t="s">
        <v>3</v>
      </c>
      <c r="B5" s="206"/>
      <c r="C5" s="3"/>
      <c r="D5" s="209" t="s">
        <v>2</v>
      </c>
      <c r="E5" s="205" t="str">
        <f>'Lembar Penyelia'!E5</f>
        <v>AB - 375 LT</v>
      </c>
      <c r="F5" s="205"/>
      <c r="G5" s="3"/>
      <c r="H5" s="3"/>
      <c r="I5" s="3"/>
      <c r="J5" s="3"/>
      <c r="K5" s="3"/>
      <c r="L5" s="206"/>
      <c r="M5" s="209"/>
      <c r="N5" s="3"/>
      <c r="O5" s="3"/>
    </row>
    <row r="6" spans="1:15" s="1" customFormat="1" ht="15.75" customHeight="1">
      <c r="A6" s="206" t="s">
        <v>293</v>
      </c>
      <c r="B6" s="206"/>
      <c r="C6" s="3"/>
      <c r="D6" s="209" t="s">
        <v>2</v>
      </c>
      <c r="E6" s="205" t="str">
        <f>'Lembar Penyelia'!E6</f>
        <v>110663750217</v>
      </c>
      <c r="F6" s="205"/>
      <c r="G6" s="3"/>
      <c r="H6" s="3"/>
      <c r="I6" s="3"/>
      <c r="J6" s="3"/>
      <c r="K6" s="3"/>
      <c r="L6" s="206"/>
      <c r="M6" s="209"/>
      <c r="N6" s="3"/>
      <c r="O6" s="3"/>
    </row>
    <row r="7" spans="1:15" s="1" customFormat="1" ht="15.75" customHeight="1">
      <c r="A7" s="206" t="s">
        <v>5</v>
      </c>
      <c r="B7" s="206"/>
      <c r="C7" s="3"/>
      <c r="D7" s="209" t="s">
        <v>2</v>
      </c>
      <c r="E7" s="689" t="str">
        <f>'Lembar Penyelia'!E7</f>
        <v>1</v>
      </c>
      <c r="F7" s="206" t="str">
        <f>IF(E7="-","","°C")</f>
        <v>°C</v>
      </c>
      <c r="G7" s="3"/>
      <c r="H7" s="3"/>
      <c r="I7" s="206"/>
      <c r="J7" s="206"/>
      <c r="K7" s="209"/>
      <c r="L7" s="3"/>
      <c r="M7" s="3"/>
      <c r="N7" s="3"/>
      <c r="O7" s="3"/>
    </row>
    <row r="8" spans="1:15" s="1" customFormat="1" ht="13.4" customHeight="1">
      <c r="A8" s="206" t="str">
        <f>'Lembar Penyelia'!A8</f>
        <v>Tanggal penerimaan alat</v>
      </c>
      <c r="B8" s="206"/>
      <c r="C8" s="3"/>
      <c r="D8" s="209" t="s">
        <v>2</v>
      </c>
      <c r="E8" s="1190" t="str">
        <f>'Lembar Penyelia'!E8</f>
        <v>21 Desember 2022</v>
      </c>
      <c r="F8" s="1190"/>
      <c r="G8" s="3"/>
      <c r="H8" s="3"/>
      <c r="I8" s="206"/>
      <c r="J8" s="206"/>
      <c r="K8" s="209"/>
      <c r="L8" s="3"/>
      <c r="M8" s="3"/>
      <c r="N8" s="3"/>
      <c r="O8" s="3"/>
    </row>
    <row r="9" spans="1:15" s="1" customFormat="1" ht="15.75" customHeight="1">
      <c r="A9" s="206" t="s">
        <v>325</v>
      </c>
      <c r="B9" s="206"/>
      <c r="C9" s="3"/>
      <c r="D9" s="209" t="s">
        <v>2</v>
      </c>
      <c r="E9" s="1190" t="str">
        <f>'Lembar Penyelia'!E9</f>
        <v>21 Desember 2022</v>
      </c>
      <c r="F9" s="1190"/>
      <c r="G9" s="3"/>
      <c r="H9" s="3"/>
      <c r="I9" s="206"/>
      <c r="J9" s="206"/>
      <c r="K9" s="209"/>
      <c r="L9" s="3"/>
      <c r="M9" s="3"/>
      <c r="N9" s="3"/>
      <c r="O9" s="3"/>
    </row>
    <row r="10" spans="1:15" s="1" customFormat="1" ht="15.75" customHeight="1">
      <c r="A10" s="206" t="s">
        <v>326</v>
      </c>
      <c r="B10" s="206"/>
      <c r="C10" s="3"/>
      <c r="D10" s="209" t="s">
        <v>2</v>
      </c>
      <c r="E10" s="205" t="str">
        <f>'Lembar Penyelia'!E10</f>
        <v>Laboratorium Mikrobiologi</v>
      </c>
      <c r="F10" s="205"/>
      <c r="G10" s="3"/>
      <c r="H10" s="3"/>
      <c r="I10" s="206"/>
      <c r="J10" s="206"/>
      <c r="K10" s="209"/>
      <c r="L10" s="3"/>
      <c r="M10" s="3"/>
      <c r="N10" s="3"/>
      <c r="O10" s="3"/>
    </row>
    <row r="11" spans="1:15" s="1" customFormat="1" ht="15.75" customHeight="1">
      <c r="A11" s="206" t="s">
        <v>127</v>
      </c>
      <c r="B11" s="206"/>
      <c r="C11" s="3"/>
      <c r="D11" s="209" t="s">
        <v>2</v>
      </c>
      <c r="E11" s="205" t="str">
        <f>'Lembar Penyelia'!E11</f>
        <v>Laboratorium Mikrobiologi</v>
      </c>
      <c r="F11" s="205"/>
      <c r="G11" s="3"/>
      <c r="H11" s="3"/>
      <c r="I11" s="206"/>
      <c r="J11" s="206"/>
      <c r="K11" s="209"/>
      <c r="L11" s="3"/>
      <c r="M11" s="3"/>
      <c r="N11" s="3"/>
      <c r="O11" s="3"/>
    </row>
    <row r="12" spans="1:15" s="1" customFormat="1" ht="15.75" customHeight="1">
      <c r="A12" s="206" t="s">
        <v>295</v>
      </c>
      <c r="B12" s="206"/>
      <c r="C12" s="3"/>
      <c r="D12" s="209" t="s">
        <v>2</v>
      </c>
      <c r="E12" s="3" t="str">
        <f>'Lembar Penyelia'!E12</f>
        <v>MK.031-18</v>
      </c>
      <c r="F12" s="3"/>
      <c r="G12" s="3"/>
      <c r="H12" s="3"/>
      <c r="I12" s="206"/>
      <c r="J12" s="206"/>
      <c r="K12" s="209"/>
      <c r="L12" s="3"/>
      <c r="M12" s="3"/>
      <c r="N12" s="3"/>
      <c r="O12" s="3"/>
    </row>
    <row r="13" spans="1:15" s="1" customFormat="1" ht="14.15" customHeight="1">
      <c r="A13" s="3"/>
      <c r="B13" s="3"/>
      <c r="C13" s="3"/>
      <c r="D13" s="206"/>
      <c r="E13" s="1168"/>
      <c r="F13" s="1168"/>
      <c r="G13" s="1168"/>
      <c r="H13" s="1168"/>
      <c r="I13" s="1168"/>
      <c r="J13" s="1168"/>
      <c r="K13" s="1168"/>
      <c r="L13" s="1168"/>
      <c r="M13" s="205"/>
      <c r="N13" s="3"/>
      <c r="O13" s="3"/>
    </row>
    <row r="14" spans="1:15" s="1" customFormat="1" ht="15.75" customHeight="1">
      <c r="A14" s="210" t="s">
        <v>296</v>
      </c>
      <c r="B14" s="207" t="s">
        <v>256</v>
      </c>
      <c r="C14" s="211"/>
      <c r="D14" s="3"/>
      <c r="E14" s="207"/>
      <c r="F14" s="3"/>
      <c r="G14" s="3"/>
      <c r="H14" s="190"/>
      <c r="I14" s="208"/>
      <c r="J14" s="346"/>
      <c r="K14" s="206"/>
      <c r="L14" s="206"/>
      <c r="M14" s="206"/>
      <c r="N14" s="3"/>
      <c r="O14" s="3"/>
    </row>
    <row r="15" spans="1:15" s="1" customFormat="1" ht="15.75" customHeight="1">
      <c r="A15" s="3"/>
      <c r="B15" s="206" t="s">
        <v>12</v>
      </c>
      <c r="C15" s="3"/>
      <c r="D15" s="209" t="s">
        <v>2</v>
      </c>
      <c r="E15" s="688" t="str">
        <f>'DB Thermohygro'!N390</f>
        <v>26.7</v>
      </c>
      <c r="F15" s="294" t="s">
        <v>327</v>
      </c>
      <c r="G15" s="247" t="str">
        <f>'DB Thermohygro'!O390</f>
        <v>0.5</v>
      </c>
      <c r="H15" s="3" t="str">
        <f>'DB Thermohygro'!P390</f>
        <v xml:space="preserve"> °C</v>
      </c>
      <c r="I15" s="213"/>
      <c r="J15" s="3"/>
      <c r="K15" s="3"/>
      <c r="L15" s="3"/>
      <c r="M15" s="3"/>
      <c r="N15" s="3"/>
      <c r="O15" s="3" t="s">
        <v>31</v>
      </c>
    </row>
    <row r="16" spans="1:15" s="1" customFormat="1" ht="15.75" customHeight="1">
      <c r="A16" s="3"/>
      <c r="B16" s="346" t="s">
        <v>297</v>
      </c>
      <c r="C16" s="3"/>
      <c r="D16" s="209" t="s">
        <v>2</v>
      </c>
      <c r="E16" s="688" t="str">
        <f>'DB Thermohygro'!N391</f>
        <v>58.5</v>
      </c>
      <c r="F16" s="294" t="s">
        <v>327</v>
      </c>
      <c r="G16" s="247" t="str">
        <f>'DB Thermohygro'!O391</f>
        <v>2.3</v>
      </c>
      <c r="H16" s="3" t="s">
        <v>15</v>
      </c>
      <c r="I16" s="206"/>
      <c r="J16" s="3"/>
      <c r="K16" s="3"/>
      <c r="L16" s="3"/>
      <c r="M16" s="3"/>
      <c r="N16" s="3"/>
      <c r="O16" s="3" t="s">
        <v>298</v>
      </c>
    </row>
    <row r="17" spans="1:20" s="1" customFormat="1" ht="15.75" customHeight="1">
      <c r="A17" s="3"/>
      <c r="B17" s="346" t="s">
        <v>16</v>
      </c>
      <c r="C17" s="3"/>
      <c r="D17" s="209" t="s">
        <v>2</v>
      </c>
      <c r="E17" s="688" t="str">
        <f>'DB Kelistrikan'!H272</f>
        <v>233.2</v>
      </c>
      <c r="F17" s="294" t="s">
        <v>327</v>
      </c>
      <c r="G17" s="247" t="str">
        <f>'DB Kelistrikan'!I272</f>
        <v>1.7</v>
      </c>
      <c r="H17" s="206" t="s">
        <v>328</v>
      </c>
      <c r="I17" s="3"/>
      <c r="J17" s="206"/>
      <c r="K17" s="3"/>
      <c r="L17" s="3"/>
      <c r="M17" s="3"/>
      <c r="N17" s="3"/>
      <c r="O17" s="3"/>
    </row>
    <row r="18" spans="1:20" s="1" customFormat="1" ht="10" customHeight="1">
      <c r="A18" s="3"/>
      <c r="B18" s="3"/>
      <c r="C18" s="3"/>
      <c r="D18" s="210"/>
      <c r="E18" s="210"/>
      <c r="F18" s="210"/>
      <c r="G18" s="210"/>
      <c r="H18" s="206"/>
      <c r="I18" s="3"/>
      <c r="J18" s="3"/>
      <c r="K18" s="3"/>
      <c r="L18" s="3"/>
      <c r="M18" s="217"/>
      <c r="N18" s="3"/>
      <c r="O18" s="3"/>
    </row>
    <row r="19" spans="1:20" s="1" customFormat="1" ht="15.75" customHeight="1">
      <c r="A19" s="210" t="s">
        <v>259</v>
      </c>
      <c r="B19" s="210" t="s">
        <v>299</v>
      </c>
      <c r="C19" s="211"/>
      <c r="D19" s="3"/>
      <c r="E19" s="3"/>
      <c r="F19" s="3"/>
      <c r="G19" s="3"/>
      <c r="H19" s="3"/>
      <c r="I19" s="3"/>
      <c r="J19" s="217"/>
      <c r="K19" s="3"/>
      <c r="L19" s="205"/>
      <c r="M19" s="3"/>
      <c r="N19" s="3"/>
      <c r="O19" s="3"/>
    </row>
    <row r="20" spans="1:20" s="1" customFormat="1" ht="15.75" customHeight="1">
      <c r="A20" s="3"/>
      <c r="B20" s="3" t="s">
        <v>300</v>
      </c>
      <c r="C20" s="3"/>
      <c r="D20" s="218" t="s">
        <v>2</v>
      </c>
      <c r="E20" s="3" t="str">
        <f>'Lembar Penyelia'!E20</f>
        <v>Baik</v>
      </c>
      <c r="F20" s="3"/>
      <c r="G20" s="3"/>
      <c r="H20" s="3"/>
      <c r="I20" s="3"/>
      <c r="J20" s="219"/>
      <c r="K20" s="219"/>
      <c r="L20" s="219"/>
      <c r="M20" s="219"/>
      <c r="N20" s="219"/>
      <c r="O20" s="219"/>
    </row>
    <row r="21" spans="1:20" s="1" customFormat="1" ht="15.75" customHeight="1">
      <c r="A21" s="3"/>
      <c r="B21" s="3" t="s">
        <v>261</v>
      </c>
      <c r="C21" s="3"/>
      <c r="D21" s="218" t="s">
        <v>2</v>
      </c>
      <c r="E21" s="3" t="str">
        <f>'Lembar Penyelia'!E21</f>
        <v>Baik</v>
      </c>
      <c r="F21" s="3"/>
      <c r="G21" s="3"/>
      <c r="H21" s="3"/>
      <c r="I21" s="219"/>
      <c r="J21" s="219"/>
      <c r="K21" s="219"/>
      <c r="L21" s="219"/>
      <c r="M21" s="219"/>
      <c r="N21" s="219"/>
      <c r="O21" s="219"/>
    </row>
    <row r="22" spans="1:20" s="1" customFormat="1" ht="10" customHeight="1">
      <c r="A22" s="3"/>
      <c r="B22" s="3"/>
      <c r="C22" s="3"/>
      <c r="D22" s="3"/>
      <c r="E22" s="3"/>
      <c r="F22" s="190"/>
      <c r="G22" s="190"/>
      <c r="H22" s="3"/>
      <c r="I22" s="219"/>
      <c r="J22" s="220"/>
      <c r="K22" s="220"/>
      <c r="L22" s="220"/>
      <c r="M22" s="220"/>
      <c r="N22" s="220"/>
      <c r="O22" s="220"/>
    </row>
    <row r="23" spans="1:20" s="1" customFormat="1" ht="15.75" customHeight="1">
      <c r="A23" s="210" t="s">
        <v>263</v>
      </c>
      <c r="B23" s="210" t="str">
        <f>'Lembar Penyelia'!B23</f>
        <v>Pengujian keselamatan listrik</v>
      </c>
      <c r="C23" s="211"/>
      <c r="D23" s="3"/>
      <c r="E23" s="3"/>
      <c r="F23" s="3"/>
      <c r="G23" s="3"/>
      <c r="H23" s="206"/>
      <c r="I23" s="3"/>
      <c r="J23" s="3"/>
      <c r="K23" s="3"/>
      <c r="L23" s="3"/>
      <c r="M23" s="217"/>
      <c r="N23" s="3"/>
      <c r="O23" s="3"/>
    </row>
    <row r="24" spans="1:20" s="1" customFormat="1" ht="30" customHeight="1">
      <c r="A24" s="3"/>
      <c r="B24" s="345" t="s">
        <v>23</v>
      </c>
      <c r="C24" s="1155" t="s">
        <v>24</v>
      </c>
      <c r="D24" s="1155"/>
      <c r="E24" s="1155"/>
      <c r="F24" s="1155"/>
      <c r="G24" s="1155"/>
      <c r="H24" s="1155"/>
      <c r="I24" s="1155"/>
      <c r="J24" s="1155" t="s">
        <v>25</v>
      </c>
      <c r="K24" s="1155"/>
      <c r="L24" s="1155" t="s">
        <v>26</v>
      </c>
      <c r="M24" s="1155"/>
      <c r="N24" s="3"/>
      <c r="O24" s="3"/>
    </row>
    <row r="25" spans="1:20" s="1" customFormat="1" ht="15" customHeight="1">
      <c r="A25" s="3"/>
      <c r="B25" s="344">
        <v>1</v>
      </c>
      <c r="C25" s="221" t="s">
        <v>27</v>
      </c>
      <c r="D25" s="222"/>
      <c r="E25" s="222"/>
      <c r="F25" s="222"/>
      <c r="G25" s="222"/>
      <c r="H25" s="222"/>
      <c r="I25" s="223"/>
      <c r="J25" s="658" t="str">
        <f>'Lembar Penyelia'!H25</f>
        <v>-</v>
      </c>
      <c r="K25" s="691" t="str">
        <f>IF(OR(J25="-",J25="OL")," ","MΩ")</f>
        <v xml:space="preserve"> </v>
      </c>
      <c r="L25" s="1043" t="str">
        <f>'Lembar Penyelia'!J25</f>
        <v>&gt; 2 MΩ</v>
      </c>
      <c r="M25" s="1043"/>
      <c r="N25" s="3"/>
      <c r="O25" s="3"/>
    </row>
    <row r="26" spans="1:20" s="1" customFormat="1" ht="15" customHeight="1">
      <c r="A26" s="3"/>
      <c r="B26" s="344">
        <v>2</v>
      </c>
      <c r="C26" s="221" t="s">
        <v>329</v>
      </c>
      <c r="D26" s="222"/>
      <c r="E26" s="222"/>
      <c r="F26" s="222"/>
      <c r="G26" s="222"/>
      <c r="H26" s="222"/>
      <c r="I26" s="223"/>
      <c r="J26" s="659" t="str">
        <f>'Lembar Penyelia'!H26</f>
        <v>-</v>
      </c>
      <c r="K26" s="691" t="str">
        <f>IF(J26="-"," ","Ω")</f>
        <v xml:space="preserve"> </v>
      </c>
      <c r="L26" s="1043" t="s">
        <v>32</v>
      </c>
      <c r="M26" s="1043"/>
      <c r="N26" s="3"/>
      <c r="O26" s="3"/>
    </row>
    <row r="27" spans="1:20" s="1" customFormat="1" ht="15" customHeight="1">
      <c r="A27" s="3"/>
      <c r="B27" s="344">
        <v>3</v>
      </c>
      <c r="C27" s="221" t="s">
        <v>36</v>
      </c>
      <c r="D27" s="222"/>
      <c r="E27" s="222"/>
      <c r="F27" s="222"/>
      <c r="G27" s="222"/>
      <c r="H27" s="222"/>
      <c r="I27" s="223"/>
      <c r="J27" s="287" t="str">
        <f>'Lembar Penyelia'!H27</f>
        <v>-</v>
      </c>
      <c r="K27" s="691" t="str">
        <f>IF(J27="-"," ","µA")</f>
        <v xml:space="preserve"> </v>
      </c>
      <c r="L27" s="1043" t="s">
        <v>38</v>
      </c>
      <c r="M27" s="1043"/>
      <c r="N27" s="3"/>
      <c r="O27" s="3"/>
    </row>
    <row r="28" spans="1:20" s="1" customFormat="1" ht="15" hidden="1" customHeight="1">
      <c r="A28" s="3"/>
      <c r="B28" s="224"/>
      <c r="C28" s="225"/>
      <c r="D28" s="226"/>
      <c r="E28" s="226"/>
      <c r="F28" s="226"/>
      <c r="G28" s="227"/>
      <c r="H28" s="227"/>
      <c r="I28" s="228"/>
      <c r="J28" s="229"/>
      <c r="K28" s="228"/>
      <c r="L28" s="1172"/>
      <c r="M28" s="1172"/>
      <c r="N28" s="3"/>
      <c r="O28" s="3"/>
    </row>
    <row r="29" spans="1:20" s="1" customFormat="1" ht="15" hidden="1" customHeight="1">
      <c r="A29" s="3"/>
      <c r="B29" s="230"/>
      <c r="C29" s="231"/>
      <c r="D29" s="232"/>
      <c r="E29" s="232"/>
      <c r="F29" s="232"/>
      <c r="G29" s="233"/>
      <c r="H29" s="233"/>
      <c r="I29" s="234"/>
      <c r="J29" s="235"/>
      <c r="K29" s="234"/>
      <c r="L29" s="1173"/>
      <c r="M29" s="1173"/>
      <c r="N29" s="3"/>
      <c r="O29" s="3"/>
    </row>
    <row r="30" spans="1:20" s="1" customFormat="1" ht="15" hidden="1" customHeight="1">
      <c r="A30" s="3"/>
      <c r="B30" s="236"/>
      <c r="C30" s="237"/>
      <c r="D30" s="238"/>
      <c r="E30" s="238"/>
      <c r="F30" s="238"/>
      <c r="G30" s="239"/>
      <c r="H30" s="239"/>
      <c r="I30" s="240"/>
      <c r="J30" s="241"/>
      <c r="K30" s="240"/>
      <c r="L30" s="1174"/>
      <c r="M30" s="1174"/>
      <c r="N30" s="3"/>
      <c r="O30" s="3"/>
    </row>
    <row r="31" spans="1:20" s="1" customFormat="1" ht="10" customHeight="1">
      <c r="A31" s="3"/>
      <c r="B31" s="3"/>
      <c r="C31" s="3"/>
      <c r="D31" s="242"/>
      <c r="E31" s="3"/>
      <c r="F31" s="3"/>
      <c r="G31" s="3"/>
      <c r="H31" s="3"/>
      <c r="I31" s="3"/>
      <c r="J31" s="190"/>
      <c r="K31" s="3"/>
      <c r="L31" s="218"/>
      <c r="M31" s="205"/>
      <c r="N31" s="243"/>
      <c r="O31" s="3"/>
      <c r="P31" s="14"/>
    </row>
    <row r="32" spans="1:20" s="1" customFormat="1" ht="15.75" customHeight="1">
      <c r="A32" s="203" t="s">
        <v>266</v>
      </c>
      <c r="B32" s="210" t="str">
        <f>'Lembar Penyelia'!B29</f>
        <v>Pengujian kinerja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04"/>
      <c r="O32" s="204"/>
      <c r="P32" s="14"/>
      <c r="R32" s="24"/>
      <c r="S32" s="24"/>
      <c r="T32" s="25"/>
    </row>
    <row r="33" spans="1:19" s="1" customFormat="1" ht="15.75" customHeight="1">
      <c r="A33" s="3"/>
      <c r="B33" s="3"/>
      <c r="C33" s="3"/>
      <c r="D33" s="3"/>
      <c r="E33" s="3"/>
      <c r="F33" s="3"/>
      <c r="G33" s="244"/>
      <c r="H33" s="1043" t="s">
        <v>301</v>
      </c>
      <c r="I33" s="1043"/>
      <c r="J33" s="1043"/>
      <c r="K33" s="3"/>
      <c r="L33" s="3"/>
      <c r="M33" s="1099"/>
      <c r="N33" s="1099"/>
      <c r="O33" s="1099"/>
      <c r="P33" s="15"/>
    </row>
    <row r="34" spans="1:19" s="1" customFormat="1" ht="15.75" customHeight="1">
      <c r="A34" s="3"/>
      <c r="B34" s="3"/>
      <c r="C34" s="3"/>
      <c r="D34" s="3"/>
      <c r="E34" s="3"/>
      <c r="F34" s="3"/>
      <c r="G34" s="244"/>
      <c r="H34" s="344" t="s">
        <v>302</v>
      </c>
      <c r="I34" s="245">
        <f>'Lembar Penyelia'!H31</f>
        <v>0</v>
      </c>
      <c r="J34" s="246" t="s">
        <v>303</v>
      </c>
      <c r="K34" s="3"/>
      <c r="L34" s="3"/>
      <c r="M34" s="1099"/>
      <c r="N34" s="247"/>
      <c r="O34" s="247"/>
      <c r="P34" s="15"/>
    </row>
    <row r="35" spans="1:19" s="1" customFormat="1" ht="15.75" customHeight="1">
      <c r="A35" s="3"/>
      <c r="B35" s="3"/>
      <c r="C35" s="3"/>
      <c r="D35" s="3"/>
      <c r="E35" s="3"/>
      <c r="F35" s="3"/>
      <c r="G35" s="244"/>
      <c r="H35" s="344" t="s">
        <v>304</v>
      </c>
      <c r="I35" s="245">
        <f>'Lembar Penyelia'!H32</f>
        <v>0</v>
      </c>
      <c r="J35" s="223" t="s">
        <v>303</v>
      </c>
      <c r="K35" s="3"/>
      <c r="L35" s="3"/>
      <c r="M35" s="190"/>
      <c r="N35" s="248"/>
      <c r="O35" s="248"/>
      <c r="P35" s="15"/>
    </row>
    <row r="36" spans="1:19" s="1" customFormat="1" ht="15.75" customHeight="1">
      <c r="A36" s="3"/>
      <c r="B36" s="3"/>
      <c r="C36" s="3"/>
      <c r="D36" s="3"/>
      <c r="E36" s="3"/>
      <c r="F36" s="3"/>
      <c r="G36" s="244"/>
      <c r="H36" s="344" t="s">
        <v>305</v>
      </c>
      <c r="I36" s="245">
        <f>'Lembar Penyelia'!H33</f>
        <v>0</v>
      </c>
      <c r="J36" s="223" t="s">
        <v>303</v>
      </c>
      <c r="K36" s="3"/>
      <c r="L36" s="3"/>
      <c r="M36" s="190"/>
      <c r="N36" s="248"/>
      <c r="O36" s="248"/>
    </row>
    <row r="37" spans="1:19" s="1" customFormat="1" ht="15.75" customHeight="1">
      <c r="A37" s="3"/>
      <c r="B37" s="3"/>
      <c r="C37" s="3"/>
      <c r="D37" s="3"/>
      <c r="E37" s="3"/>
      <c r="F37" s="3"/>
      <c r="G37" s="244"/>
      <c r="H37" s="344" t="s">
        <v>306</v>
      </c>
      <c r="I37" s="245">
        <f>'Lembar Penyelia'!H34</f>
        <v>0</v>
      </c>
      <c r="J37" s="223" t="s">
        <v>307</v>
      </c>
      <c r="K37" s="3"/>
      <c r="L37" s="3"/>
      <c r="M37" s="190"/>
      <c r="N37" s="248"/>
      <c r="O37" s="248"/>
    </row>
    <row r="38" spans="1:19" s="1" customFormat="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90"/>
      <c r="N38" s="248"/>
      <c r="O38" s="248"/>
    </row>
    <row r="39" spans="1:19" s="1" customFormat="1" ht="15.75" customHeight="1">
      <c r="A39" s="3"/>
      <c r="B39" s="3"/>
      <c r="C39" s="3"/>
      <c r="D39" s="3"/>
      <c r="E39" s="3"/>
      <c r="F39" s="3"/>
      <c r="G39" s="3"/>
      <c r="H39" s="344" t="s">
        <v>308</v>
      </c>
      <c r="I39" s="660">
        <f>'Lembar Penyelia'!H45</f>
        <v>0</v>
      </c>
      <c r="J39" s="223" t="s">
        <v>134</v>
      </c>
      <c r="K39" s="3"/>
      <c r="L39" s="3"/>
      <c r="M39" s="190"/>
      <c r="N39" s="248"/>
      <c r="O39" s="248"/>
    </row>
    <row r="40" spans="1:19" s="1" customFormat="1" ht="15.75" customHeight="1">
      <c r="A40" s="3"/>
      <c r="B40" s="3"/>
      <c r="C40" s="3"/>
      <c r="D40" s="3"/>
      <c r="E40" s="3"/>
      <c r="F40" s="3"/>
      <c r="G40" s="3"/>
      <c r="H40" s="344" t="s">
        <v>309</v>
      </c>
      <c r="I40" s="660">
        <f>'Lembar Penyelia'!H49</f>
        <v>0</v>
      </c>
      <c r="J40" s="223" t="s">
        <v>134</v>
      </c>
      <c r="K40" s="3"/>
      <c r="L40" s="3"/>
      <c r="M40" s="190"/>
      <c r="N40" s="248"/>
      <c r="O40" s="248"/>
      <c r="P40" s="16"/>
      <c r="Q40" s="26"/>
      <c r="R40" s="27"/>
      <c r="S40" s="27"/>
    </row>
    <row r="41" spans="1:19" s="1" customFormat="1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90"/>
      <c r="N41" s="248"/>
      <c r="O41" s="248"/>
      <c r="P41" s="17"/>
      <c r="R41" s="26"/>
      <c r="S41" s="26"/>
    </row>
    <row r="42" spans="1:19" s="1" customFormat="1" ht="25" customHeight="1">
      <c r="A42" s="3"/>
      <c r="B42" s="1155" t="s">
        <v>267</v>
      </c>
      <c r="C42" s="1155"/>
      <c r="D42" s="1155" t="s">
        <v>330</v>
      </c>
      <c r="E42" s="1155"/>
      <c r="F42" s="1157" t="s">
        <v>269</v>
      </c>
      <c r="G42" s="1158"/>
      <c r="H42" s="1158"/>
      <c r="I42" s="1155" t="s">
        <v>331</v>
      </c>
      <c r="J42" s="1162" t="s">
        <v>44</v>
      </c>
      <c r="K42" s="1162"/>
      <c r="L42" s="1155" t="s">
        <v>313</v>
      </c>
      <c r="M42" s="1155"/>
      <c r="N42" s="289"/>
      <c r="O42" s="248"/>
    </row>
    <row r="43" spans="1:19" s="1" customFormat="1" ht="15.75" customHeight="1">
      <c r="A43" s="3"/>
      <c r="B43" s="1155"/>
      <c r="C43" s="1155"/>
      <c r="D43" s="1155"/>
      <c r="E43" s="1155"/>
      <c r="F43" s="1152" t="s">
        <v>273</v>
      </c>
      <c r="G43" s="1152" t="s">
        <v>274</v>
      </c>
      <c r="H43" s="1153" t="s">
        <v>186</v>
      </c>
      <c r="I43" s="1155"/>
      <c r="J43" s="1121" t="s">
        <v>86</v>
      </c>
      <c r="K43" s="1122"/>
      <c r="L43" s="1155"/>
      <c r="M43" s="1155"/>
      <c r="N43" s="289"/>
      <c r="O43" s="3"/>
      <c r="P43" s="17"/>
      <c r="Q43" s="1003"/>
    </row>
    <row r="44" spans="1:19" s="1" customFormat="1" ht="30" customHeight="1">
      <c r="A44" s="3"/>
      <c r="B44" s="1155"/>
      <c r="C44" s="1155"/>
      <c r="D44" s="1155"/>
      <c r="E44" s="1155"/>
      <c r="F44" s="1152"/>
      <c r="G44" s="1152"/>
      <c r="H44" s="1154"/>
      <c r="I44" s="1155"/>
      <c r="J44" s="1123"/>
      <c r="K44" s="1124"/>
      <c r="L44" s="1159"/>
      <c r="M44" s="1159"/>
      <c r="N44" s="289"/>
      <c r="O44" s="3"/>
      <c r="P44" s="17"/>
      <c r="Q44" s="1003"/>
    </row>
    <row r="45" spans="1:19" s="1" customFormat="1" ht="31.4" customHeight="1">
      <c r="A45" s="3"/>
      <c r="B45" s="1187">
        <f>'Lembar Penyelia'!B54</f>
        <v>-25</v>
      </c>
      <c r="C45" s="1187"/>
      <c r="D45" s="1156">
        <f ca="1">Laporan!D60</f>
        <v>-26.693000000000005</v>
      </c>
      <c r="E45" s="1156"/>
      <c r="F45" s="4">
        <f ca="1">'Lembar Penyelia'!D54</f>
        <v>6.9999999999993179E-2</v>
      </c>
      <c r="G45" s="4">
        <f ca="1">'Lembar Penyelia'!E54</f>
        <v>0</v>
      </c>
      <c r="H45" s="4">
        <f ca="1">'Lembar Penyelia'!F54</f>
        <v>7.0000000000000284E-2</v>
      </c>
      <c r="I45" s="4">
        <f ca="1">'Lembar Penyelia'!G54</f>
        <v>-1.6930000000000049</v>
      </c>
      <c r="J45" s="1125"/>
      <c r="K45" s="1126"/>
      <c r="L45" s="1188" t="str">
        <f ca="1">Laporan!L60</f>
        <v>0.59</v>
      </c>
      <c r="M45" s="1189"/>
      <c r="N45" s="267"/>
      <c r="O45" s="3"/>
      <c r="P45" s="18"/>
      <c r="Q45" s="1003"/>
    </row>
    <row r="46" spans="1:19" s="1" customFormat="1" ht="1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9"/>
      <c r="Q46" s="28"/>
    </row>
    <row r="47" spans="1:19" s="1" customFormat="1" ht="15.75" customHeight="1">
      <c r="A47" s="12" t="s">
        <v>278</v>
      </c>
      <c r="B47" s="12" t="s">
        <v>279</v>
      </c>
      <c r="C47" s="7"/>
      <c r="D47" s="7"/>
      <c r="E47" s="8"/>
      <c r="F47" s="249"/>
      <c r="G47" s="249"/>
      <c r="H47" s="9"/>
      <c r="I47" s="7"/>
      <c r="J47" s="7"/>
      <c r="K47" s="7"/>
      <c r="L47" s="7"/>
      <c r="M47" s="7"/>
      <c r="N47" s="1186"/>
      <c r="O47" s="1186"/>
      <c r="P47" s="20"/>
      <c r="Q47" s="26"/>
      <c r="R47" s="29"/>
      <c r="S47" s="29"/>
    </row>
    <row r="48" spans="1:19" s="1" customFormat="1" ht="15.75" customHeight="1">
      <c r="A48" s="5"/>
      <c r="B48" s="6" t="str">
        <f>'Lembar Penyelia'!B57</f>
        <v>Ketidakpastian pengukuran dilaporkan pada tingkat kepercayaan 95% dengan faktor cakupan k=2</v>
      </c>
      <c r="C48" s="7"/>
      <c r="D48" s="7"/>
      <c r="E48" s="7"/>
      <c r="F48" s="8"/>
      <c r="G48" s="8"/>
      <c r="H48" s="9"/>
      <c r="I48" s="7"/>
      <c r="J48" s="7"/>
      <c r="K48" s="7"/>
      <c r="L48" s="7"/>
      <c r="M48" s="7"/>
      <c r="N48" s="7"/>
      <c r="O48" s="3"/>
      <c r="P48" s="20"/>
      <c r="Q48" s="26"/>
      <c r="R48" s="29"/>
      <c r="S48" s="29"/>
    </row>
    <row r="49" spans="1:19" s="1" customFormat="1" ht="15.75" customHeight="1">
      <c r="A49" s="5"/>
      <c r="B49" s="6" t="str">
        <f>'Lembar Penyelia'!B58</f>
        <v>Hasil pengukuran keselamatan listrik tertelusur ke Satuan SI melalui PT. Kaliman ( LK-032-IDN )</v>
      </c>
      <c r="C49" s="7"/>
      <c r="D49" s="7"/>
      <c r="E49" s="7"/>
      <c r="F49" s="8"/>
      <c r="G49" s="8"/>
      <c r="H49" s="9"/>
      <c r="I49" s="7"/>
      <c r="J49" s="7"/>
      <c r="K49" s="7"/>
      <c r="L49" s="7"/>
      <c r="M49" s="7"/>
      <c r="N49" s="7"/>
      <c r="O49" s="3"/>
      <c r="P49" s="20"/>
      <c r="Q49" s="26"/>
      <c r="R49" s="29"/>
      <c r="S49" s="29"/>
    </row>
    <row r="50" spans="1:19" s="1" customFormat="1" ht="15.75" customHeight="1">
      <c r="A50" s="5"/>
      <c r="B50" s="6" t="str">
        <f>'Lembar Penyelia'!B59</f>
        <v>Hasil pengujian kinerja suhu tertelusur ke Satuan SI melalui Laboratorium SNSU-BSN</v>
      </c>
      <c r="C50" s="7"/>
      <c r="D50" s="7"/>
      <c r="E50" s="7"/>
      <c r="F50" s="8"/>
      <c r="G50" s="8"/>
      <c r="H50" s="9"/>
      <c r="I50" s="7"/>
      <c r="J50" s="7"/>
      <c r="K50" s="7"/>
      <c r="L50" s="7"/>
      <c r="M50" s="7"/>
      <c r="N50" s="7"/>
      <c r="O50" s="3"/>
      <c r="P50" s="20"/>
      <c r="Q50" s="26"/>
      <c r="R50" s="29"/>
      <c r="S50" s="29"/>
    </row>
    <row r="51" spans="1:19" s="1" customFormat="1" ht="14.25" customHeight="1">
      <c r="A51" s="5"/>
      <c r="B51" s="6" t="str">
        <f>Laporan!B66</f>
        <v>Tidak dilakukan pengujian keselamatan listrik karena alat tidak boleh dalam kondisi off</v>
      </c>
      <c r="C51" s="7"/>
      <c r="D51" s="7"/>
      <c r="E51" s="7"/>
      <c r="F51" s="8"/>
      <c r="G51" s="8"/>
      <c r="H51" s="9"/>
      <c r="I51" s="7"/>
      <c r="J51" s="7"/>
      <c r="K51" s="7"/>
      <c r="L51" s="7"/>
      <c r="M51" s="7"/>
      <c r="N51" s="7"/>
      <c r="O51" s="3"/>
      <c r="P51" s="20"/>
      <c r="Q51" s="26"/>
      <c r="R51" s="29"/>
      <c r="S51" s="29"/>
    </row>
    <row r="52" spans="1:19" s="1" customFormat="1" ht="10" hidden="1" customHeight="1">
      <c r="A52" s="5"/>
      <c r="B52" s="7"/>
      <c r="C52" s="7"/>
      <c r="D52" s="6"/>
      <c r="E52" s="7"/>
      <c r="F52" s="10"/>
      <c r="G52" s="10"/>
      <c r="H52" s="11"/>
      <c r="I52" s="7"/>
      <c r="J52" s="7"/>
      <c r="K52" s="7"/>
      <c r="L52" s="7"/>
      <c r="M52" s="7"/>
      <c r="N52" s="7"/>
      <c r="O52" s="3"/>
      <c r="P52" s="21"/>
      <c r="Q52" s="22"/>
      <c r="R52" s="30"/>
      <c r="S52" s="30"/>
    </row>
    <row r="53" spans="1:19" s="1" customFormat="1" ht="15.75" customHeight="1">
      <c r="A53" s="5"/>
      <c r="B53" s="7"/>
      <c r="C53" s="7"/>
      <c r="D53" s="6"/>
      <c r="E53" s="7"/>
      <c r="F53" s="10"/>
      <c r="G53" s="10"/>
      <c r="H53" s="11"/>
      <c r="I53" s="7"/>
      <c r="J53" s="7"/>
      <c r="K53" s="7"/>
      <c r="L53" s="7"/>
      <c r="M53" s="7"/>
      <c r="N53" s="7"/>
      <c r="O53" s="3"/>
      <c r="P53" s="21"/>
      <c r="Q53" s="22"/>
      <c r="R53" s="30"/>
      <c r="S53" s="30"/>
    </row>
    <row r="54" spans="1:19" s="1" customFormat="1" ht="15.75" customHeight="1">
      <c r="A54" s="12" t="s">
        <v>315</v>
      </c>
      <c r="B54" s="13" t="s">
        <v>284</v>
      </c>
      <c r="C54" s="7"/>
      <c r="D54" s="6"/>
      <c r="E54" s="7"/>
      <c r="F54" s="10"/>
      <c r="G54" s="10"/>
      <c r="H54" s="11"/>
      <c r="I54" s="7"/>
      <c r="J54" s="7"/>
      <c r="K54" s="7"/>
      <c r="L54" s="7"/>
      <c r="M54" s="7"/>
      <c r="N54" s="7"/>
      <c r="O54" s="3"/>
      <c r="P54" s="21"/>
      <c r="Q54" s="22"/>
      <c r="R54" s="30"/>
      <c r="S54" s="30"/>
    </row>
    <row r="55" spans="1:19" s="1" customFormat="1" ht="15.75" customHeight="1">
      <c r="A55" s="5"/>
      <c r="B55" s="10" t="str">
        <f>Laporan!B70</f>
        <v>Wireless Temperature Recorder, Merek : HIOKI, Model : LR 8510, SN : 210411984</v>
      </c>
      <c r="C55" s="7"/>
      <c r="D55" s="6"/>
      <c r="E55" s="7"/>
      <c r="F55" s="10"/>
      <c r="G55" s="10"/>
      <c r="H55" s="11"/>
      <c r="I55" s="7"/>
      <c r="J55" s="7"/>
      <c r="K55" s="7"/>
      <c r="L55" s="7"/>
      <c r="M55" s="7"/>
      <c r="N55" s="7"/>
      <c r="O55" s="3"/>
      <c r="P55" s="21"/>
      <c r="Q55" s="22"/>
      <c r="R55" s="30"/>
      <c r="S55" s="30"/>
    </row>
    <row r="56" spans="1:19" s="1" customFormat="1" ht="15.75" customHeight="1">
      <c r="A56" s="5"/>
      <c r="B56" s="10" t="str">
        <f>Laporan!B71</f>
        <v>Temperature Recorder, Merek : HIOKI, Model : LR 8410, SN : 210368322</v>
      </c>
      <c r="C56" s="7"/>
      <c r="D56" s="6"/>
      <c r="E56" s="7"/>
      <c r="F56" s="10"/>
      <c r="G56" s="10"/>
      <c r="H56" s="11"/>
      <c r="I56" s="7"/>
      <c r="J56" s="7"/>
      <c r="K56" s="7"/>
      <c r="L56" s="7"/>
      <c r="M56" s="7"/>
      <c r="N56" s="7"/>
      <c r="O56" s="3"/>
      <c r="P56" s="21"/>
      <c r="Q56" s="22"/>
      <c r="R56" s="30"/>
      <c r="S56" s="30"/>
    </row>
    <row r="57" spans="1:19" s="1" customFormat="1" ht="15" customHeight="1">
      <c r="A57" s="5"/>
      <c r="B57" s="10" t="str">
        <f>Laporan!B72</f>
        <v>Electrical Safety Analyzer, Merek : Fluke, Model : ESA 615, SN : 3148908</v>
      </c>
      <c r="C57" s="7"/>
      <c r="D57" s="6"/>
      <c r="E57" s="7"/>
      <c r="F57" s="10"/>
      <c r="G57" s="10"/>
      <c r="H57" s="11"/>
      <c r="I57" s="7"/>
      <c r="J57" s="7"/>
      <c r="K57" s="7"/>
      <c r="L57" s="7"/>
      <c r="M57" s="7"/>
      <c r="N57" s="7"/>
      <c r="O57" s="3"/>
      <c r="P57" s="21"/>
      <c r="Q57" s="22"/>
      <c r="R57" s="30"/>
      <c r="S57" s="30"/>
    </row>
    <row r="58" spans="1:19" s="1" customFormat="1" ht="15.75" customHeight="1">
      <c r="C58" s="7"/>
      <c r="D58" s="7"/>
      <c r="E58" s="7"/>
      <c r="F58" s="10"/>
      <c r="G58" s="10"/>
      <c r="H58" s="7"/>
      <c r="I58" s="7"/>
      <c r="J58" s="7"/>
      <c r="K58" s="7"/>
      <c r="L58" s="7"/>
      <c r="M58" s="7"/>
      <c r="N58" s="7"/>
      <c r="O58" s="3"/>
      <c r="P58" s="22"/>
      <c r="Q58" s="22"/>
      <c r="R58" s="20"/>
      <c r="S58" s="30"/>
    </row>
    <row r="59" spans="1:19" s="1" customFormat="1" ht="15.75" customHeight="1">
      <c r="A59" s="12" t="s">
        <v>316</v>
      </c>
      <c r="B59" s="255" t="s">
        <v>286</v>
      </c>
      <c r="C59" s="7"/>
      <c r="D59" s="7"/>
      <c r="E59" s="7"/>
      <c r="F59" s="250"/>
      <c r="G59" s="250"/>
      <c r="H59" s="7"/>
      <c r="I59" s="7"/>
      <c r="J59" s="7"/>
      <c r="K59" s="7"/>
      <c r="L59" s="7"/>
      <c r="M59" s="251"/>
      <c r="N59" s="7"/>
      <c r="O59" s="3"/>
    </row>
    <row r="60" spans="1:19" s="1" customFormat="1" ht="45" customHeight="1">
      <c r="A60" s="5"/>
      <c r="B60" s="1185" t="str">
        <f ca="1">'Lembar Penyelia'!B72</f>
        <v>Alat yang dikalibrasi dalam batas toleransi dan dinyatakan LAIK PAKAI, dimana hasil atau skor akhir sama dengan atau melampaui 70% berdasarkan Keputusan Direktur Jenderal Pelayanan Kesehatan No : HK.02.02/V/0412/2020</v>
      </c>
      <c r="C60" s="1185"/>
      <c r="D60" s="1185"/>
      <c r="E60" s="1185"/>
      <c r="F60" s="1185"/>
      <c r="G60" s="1185"/>
      <c r="H60" s="1185"/>
      <c r="I60" s="1185"/>
      <c r="J60" s="1185"/>
      <c r="K60" s="1185"/>
      <c r="L60" s="1185"/>
      <c r="M60" s="1185"/>
      <c r="N60" s="1185"/>
      <c r="O60" s="3"/>
    </row>
    <row r="61" spans="1:19" s="1" customFormat="1" ht="8.15" customHeight="1">
      <c r="A61" s="5"/>
      <c r="B61" s="7"/>
      <c r="C61" s="7"/>
      <c r="D61" s="254"/>
      <c r="E61" s="8"/>
      <c r="F61" s="253"/>
      <c r="G61" s="253"/>
      <c r="H61" s="7"/>
      <c r="I61" s="7"/>
      <c r="J61" s="7"/>
      <c r="K61" s="7"/>
      <c r="L61" s="7"/>
      <c r="M61" s="251"/>
      <c r="N61" s="7"/>
      <c r="O61" s="3"/>
    </row>
    <row r="62" spans="1:19" s="1" customFormat="1" ht="15.75" customHeight="1">
      <c r="A62" s="12" t="s">
        <v>287</v>
      </c>
      <c r="B62" s="259" t="str">
        <f>'Lembar Penyelia'!B76</f>
        <v>Petugas kalibrasi</v>
      </c>
      <c r="C62" s="7"/>
      <c r="D62" s="7"/>
      <c r="E62" s="8"/>
      <c r="F62" s="9"/>
      <c r="G62" s="9"/>
      <c r="H62" s="7"/>
      <c r="I62" s="7"/>
      <c r="J62" s="7"/>
      <c r="K62" s="7"/>
      <c r="L62" s="7"/>
      <c r="M62" s="251"/>
      <c r="N62" s="7"/>
      <c r="O62" s="3"/>
    </row>
    <row r="63" spans="1:19" s="2" customFormat="1" ht="21.65" customHeight="1">
      <c r="A63" s="256"/>
      <c r="B63" s="252" t="str">
        <f>'Lembar Penyelia'!B77</f>
        <v>Choirul Huda</v>
      </c>
      <c r="N63" s="257"/>
      <c r="O63" s="23"/>
    </row>
    <row r="64" spans="1:19" s="1" customFormat="1" ht="10.5" customHeight="1">
      <c r="A64" s="5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7"/>
      <c r="M64" s="251"/>
      <c r="N64" s="7"/>
      <c r="O64" s="3"/>
    </row>
    <row r="65" spans="1:15" s="1" customFormat="1" ht="15.75" customHeight="1">
      <c r="C65" s="7"/>
      <c r="D65" s="7"/>
      <c r="E65" s="8"/>
      <c r="F65" s="9"/>
      <c r="G65" s="9"/>
      <c r="H65" s="7"/>
      <c r="I65" s="7"/>
      <c r="J65" s="7"/>
      <c r="K65" s="7"/>
      <c r="L65" s="7"/>
      <c r="M65" s="251"/>
      <c r="N65" s="7"/>
      <c r="O65" s="3"/>
    </row>
    <row r="66" spans="1:15" s="1" customFormat="1" ht="15.75" customHeight="1">
      <c r="A66" s="7"/>
      <c r="C66" s="7"/>
      <c r="D66" s="7"/>
      <c r="E66" s="252"/>
      <c r="F66" s="11"/>
      <c r="G66" s="11"/>
      <c r="H66" s="7"/>
      <c r="I66" s="7"/>
      <c r="J66" s="7"/>
      <c r="K66" s="7"/>
      <c r="L66" s="7"/>
      <c r="M66" s="7"/>
      <c r="N66" s="7"/>
      <c r="O66" s="3"/>
    </row>
    <row r="67" spans="1:15" s="1" customFormat="1" ht="14.15" hidden="1" customHeight="1">
      <c r="A67" s="7"/>
      <c r="B67" s="7"/>
      <c r="C67" s="7"/>
      <c r="D67" s="252"/>
      <c r="E67" s="252"/>
      <c r="F67" s="11"/>
      <c r="G67" s="11"/>
      <c r="H67" s="7"/>
      <c r="I67" s="7"/>
      <c r="J67" s="7"/>
      <c r="K67" s="7"/>
      <c r="L67" s="7"/>
      <c r="M67" s="7"/>
      <c r="N67" s="7"/>
      <c r="O67" s="3"/>
    </row>
    <row r="68" spans="1:15" s="1" customFormat="1" ht="14.15" customHeight="1">
      <c r="A68" s="7"/>
      <c r="B68" s="7"/>
      <c r="C68" s="7"/>
      <c r="D68" s="252"/>
      <c r="E68" s="252"/>
      <c r="F68" s="11"/>
      <c r="G68" s="11"/>
      <c r="H68" s="7"/>
      <c r="I68" s="7"/>
      <c r="J68" s="7"/>
      <c r="K68" s="7"/>
      <c r="L68" s="7"/>
      <c r="M68" s="7"/>
      <c r="N68" s="7"/>
      <c r="O68" s="3"/>
    </row>
    <row r="69" spans="1:15" s="1" customFormat="1" ht="14.15" customHeight="1">
      <c r="A69" s="7"/>
      <c r="B69" s="7"/>
      <c r="C69" s="7"/>
      <c r="D69" s="252"/>
      <c r="E69" s="252"/>
      <c r="F69" s="11"/>
      <c r="G69" s="11"/>
      <c r="H69" s="7"/>
      <c r="I69" s="7"/>
      <c r="J69" s="7"/>
      <c r="K69" s="7"/>
      <c r="L69" s="7"/>
      <c r="M69" s="7"/>
      <c r="N69" s="7"/>
      <c r="O69" s="3"/>
    </row>
    <row r="70" spans="1:15" s="1" customFormat="1" ht="14.15" customHeight="1">
      <c r="A70" s="7"/>
      <c r="B70" s="7"/>
      <c r="C70" s="7"/>
      <c r="D70" s="252"/>
      <c r="E70" s="252"/>
      <c r="F70" s="11"/>
      <c r="G70" s="11"/>
      <c r="H70" s="7"/>
      <c r="I70" s="7"/>
      <c r="J70" s="7"/>
      <c r="K70" s="7"/>
      <c r="L70" s="7"/>
      <c r="M70" s="7"/>
      <c r="N70" s="7"/>
      <c r="O70" s="3"/>
    </row>
    <row r="71" spans="1:15" s="1" customFormat="1" ht="14.15" customHeight="1">
      <c r="A71" s="7"/>
      <c r="B71" s="7"/>
      <c r="C71" s="7"/>
      <c r="D71" s="252"/>
      <c r="E71" s="252"/>
      <c r="F71" s="11"/>
      <c r="G71" s="11"/>
      <c r="H71" s="7"/>
      <c r="I71" s="7"/>
      <c r="J71" s="7" t="s">
        <v>317</v>
      </c>
      <c r="K71" s="7"/>
      <c r="L71" s="7"/>
      <c r="M71" s="7"/>
      <c r="N71" s="7"/>
      <c r="O71" s="3"/>
    </row>
    <row r="72" spans="1:15" s="1" customFormat="1" ht="14.15" customHeight="1">
      <c r="A72" s="7"/>
      <c r="B72" s="7"/>
      <c r="C72" s="7"/>
      <c r="D72" s="252"/>
      <c r="E72" s="252"/>
      <c r="F72" s="11"/>
      <c r="G72" s="11"/>
      <c r="H72" s="7"/>
      <c r="J72" s="7" t="s">
        <v>318</v>
      </c>
      <c r="K72" s="7"/>
      <c r="L72" s="7"/>
      <c r="M72" s="7"/>
      <c r="N72" s="7"/>
      <c r="O72" s="3"/>
    </row>
    <row r="73" spans="1:15" s="1" customFormat="1" ht="14.15" customHeight="1">
      <c r="A73" s="7"/>
      <c r="B73" s="7"/>
      <c r="C73" s="7"/>
      <c r="D73" s="252"/>
      <c r="E73" s="252"/>
      <c r="F73" s="11"/>
      <c r="G73" s="11"/>
      <c r="H73" s="7"/>
      <c r="J73" s="7" t="s">
        <v>319</v>
      </c>
      <c r="K73" s="7"/>
      <c r="L73" s="7"/>
      <c r="M73" s="7"/>
      <c r="N73" s="7"/>
      <c r="O73" s="3"/>
    </row>
    <row r="74" spans="1:15" s="1" customFormat="1" ht="15.75" customHeight="1">
      <c r="A74" s="7"/>
      <c r="B74" s="7"/>
      <c r="C74" s="7"/>
      <c r="D74" s="7"/>
      <c r="E74" s="7"/>
      <c r="F74" s="7"/>
      <c r="G74" s="7"/>
      <c r="H74" s="7"/>
      <c r="K74" s="7"/>
      <c r="L74" s="260"/>
      <c r="M74" s="7"/>
      <c r="N74" s="7"/>
      <c r="O74" s="3"/>
    </row>
    <row r="75" spans="1:15" s="1" customFormat="1" ht="15.75" customHeight="1">
      <c r="A75" s="7"/>
      <c r="B75" s="7"/>
      <c r="C75" s="7"/>
      <c r="D75" s="7"/>
      <c r="E75" s="7"/>
      <c r="F75" s="7"/>
      <c r="G75" s="7"/>
      <c r="H75" s="7"/>
      <c r="K75" s="7"/>
      <c r="L75" s="260"/>
      <c r="M75" s="7"/>
      <c r="N75" s="7"/>
      <c r="O75" s="3"/>
    </row>
    <row r="76" spans="1:15" s="1" customFormat="1" ht="15.75" customHeight="1">
      <c r="A76" s="7"/>
      <c r="B76" s="7"/>
      <c r="C76" s="7"/>
      <c r="D76" s="7"/>
      <c r="E76" s="7"/>
      <c r="F76" s="7"/>
      <c r="G76" s="7"/>
      <c r="H76" s="7"/>
      <c r="K76" s="7"/>
      <c r="L76" s="260"/>
      <c r="M76" s="7"/>
      <c r="N76" s="7"/>
      <c r="O76" s="3"/>
    </row>
    <row r="77" spans="1:15" s="1" customFormat="1" ht="15.75" customHeight="1">
      <c r="A77" s="7"/>
      <c r="B77" s="7"/>
      <c r="C77" s="7"/>
      <c r="D77" s="7"/>
      <c r="E77" s="7"/>
      <c r="F77" s="7"/>
      <c r="G77" s="7"/>
      <c r="H77" s="7"/>
      <c r="K77" s="7"/>
      <c r="L77" s="260"/>
      <c r="M77" s="7"/>
      <c r="N77" s="7"/>
      <c r="O77" s="3"/>
    </row>
    <row r="78" spans="1:15" s="1" customFormat="1" ht="15.75" customHeight="1">
      <c r="A78" s="7"/>
      <c r="B78" s="7"/>
      <c r="C78" s="7"/>
      <c r="D78" s="7"/>
      <c r="E78" s="7"/>
      <c r="F78" s="7"/>
      <c r="G78" s="7"/>
      <c r="H78" s="7"/>
      <c r="K78" s="7"/>
      <c r="L78" s="260"/>
      <c r="M78" s="7"/>
      <c r="N78" s="7"/>
      <c r="O78" s="3"/>
    </row>
    <row r="79" spans="1:15" s="1" customFormat="1" ht="15.75" customHeight="1">
      <c r="A79" s="7"/>
      <c r="B79" s="7"/>
      <c r="C79" s="7"/>
      <c r="D79" s="261"/>
      <c r="E79" s="261"/>
      <c r="F79" s="249"/>
      <c r="G79" s="249"/>
      <c r="H79" s="249"/>
      <c r="J79" s="7"/>
      <c r="K79" s="249"/>
      <c r="L79" s="262"/>
      <c r="M79" s="7"/>
      <c r="N79" s="7"/>
      <c r="O79" s="3"/>
    </row>
    <row r="80" spans="1:15" s="1" customFormat="1" ht="15.75" customHeight="1">
      <c r="A80" s="7"/>
      <c r="B80" s="7"/>
      <c r="C80" s="7"/>
      <c r="D80" s="263"/>
      <c r="E80" s="263"/>
      <c r="F80" s="260"/>
      <c r="G80" s="260"/>
      <c r="H80" s="260"/>
      <c r="J80" s="7"/>
      <c r="K80" s="260"/>
      <c r="L80" s="262"/>
      <c r="M80" s="7"/>
      <c r="N80" s="7"/>
      <c r="O80" s="3"/>
    </row>
    <row r="81" spans="1:15" s="1" customFormat="1" ht="15.75" customHeight="1">
      <c r="A81" s="7"/>
      <c r="B81" s="7"/>
      <c r="C81" s="7"/>
      <c r="D81" s="263"/>
      <c r="E81" s="263"/>
      <c r="F81" s="260"/>
      <c r="G81" s="260"/>
      <c r="H81" s="260"/>
      <c r="J81" s="293" t="s">
        <v>320</v>
      </c>
      <c r="K81" s="260"/>
      <c r="L81" s="262"/>
      <c r="M81" s="7"/>
      <c r="N81" s="7"/>
      <c r="O81" s="3"/>
    </row>
    <row r="82" spans="1:15" s="1" customFormat="1" ht="15.75" hidden="1" customHeight="1">
      <c r="A82" s="7"/>
      <c r="B82" s="7"/>
      <c r="C82" s="7"/>
      <c r="D82" s="261"/>
      <c r="E82" s="261"/>
      <c r="F82" s="261"/>
      <c r="G82" s="261"/>
      <c r="H82" s="261"/>
      <c r="J82" s="7"/>
      <c r="K82" s="264"/>
      <c r="L82" s="7"/>
      <c r="M82" s="7"/>
      <c r="N82" s="7"/>
      <c r="O82" s="3"/>
    </row>
    <row r="83" spans="1:15" s="1" customFormat="1" ht="15.75" customHeight="1">
      <c r="A83" s="7"/>
      <c r="B83" s="7"/>
      <c r="C83" s="7"/>
      <c r="D83" s="7"/>
      <c r="E83" s="7"/>
      <c r="F83" s="7"/>
      <c r="G83" s="7"/>
      <c r="H83" s="7"/>
      <c r="J83" s="265" t="s">
        <v>323</v>
      </c>
      <c r="K83" s="7"/>
      <c r="L83" s="7"/>
      <c r="M83" s="7"/>
      <c r="N83" s="7"/>
      <c r="O83" s="3"/>
    </row>
    <row r="84" spans="1:15" s="1" customFormat="1" ht="15.75" customHeight="1">
      <c r="A84" s="7"/>
      <c r="B84" s="7"/>
      <c r="C84" s="7"/>
      <c r="D84" s="7"/>
      <c r="E84" s="7"/>
      <c r="F84" s="7"/>
      <c r="G84" s="7"/>
      <c r="H84" s="7"/>
      <c r="K84" s="7"/>
      <c r="L84" s="7"/>
      <c r="M84" s="7"/>
      <c r="N84" s="31" t="s">
        <v>324</v>
      </c>
      <c r="O84" s="3"/>
    </row>
    <row r="85" spans="1:15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5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5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5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292"/>
    </row>
    <row r="89" spans="1:15" ht="2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sheetProtection formatCells="0" formatColumns="0" formatRows="0" insertColumns="0" insertRows="0" deleteColumns="0" deleteRows="0"/>
  <mergeCells count="33">
    <mergeCell ref="L30:M30"/>
    <mergeCell ref="A1:N1"/>
    <mergeCell ref="A2:N2"/>
    <mergeCell ref="E13:L13"/>
    <mergeCell ref="C24:I24"/>
    <mergeCell ref="J24:K24"/>
    <mergeCell ref="L24:M24"/>
    <mergeCell ref="L25:M25"/>
    <mergeCell ref="L26:M26"/>
    <mergeCell ref="L27:M27"/>
    <mergeCell ref="L28:M28"/>
    <mergeCell ref="L29:M29"/>
    <mergeCell ref="E8:F8"/>
    <mergeCell ref="E9:F9"/>
    <mergeCell ref="H33:J33"/>
    <mergeCell ref="M33:M34"/>
    <mergeCell ref="N33:O33"/>
    <mergeCell ref="B42:C44"/>
    <mergeCell ref="D42:E44"/>
    <mergeCell ref="F42:H42"/>
    <mergeCell ref="I42:I44"/>
    <mergeCell ref="J42:K42"/>
    <mergeCell ref="L42:M44"/>
    <mergeCell ref="F43:F44"/>
    <mergeCell ref="G43:G44"/>
    <mergeCell ref="H43:H44"/>
    <mergeCell ref="J43:K45"/>
    <mergeCell ref="L45:M45"/>
    <mergeCell ref="B60:N60"/>
    <mergeCell ref="N47:O47"/>
    <mergeCell ref="Q43:Q45"/>
    <mergeCell ref="B45:C45"/>
    <mergeCell ref="D45:E45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4" orientation="portrait" r:id="rId1"/>
  <headerFooter>
    <oddHeader xml:space="preserve">&amp;R&amp;"-,Regular"&amp;8SH.031-18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D2C84EA-4B7A-4E2C-A298-CBF4FE31E813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Lembar Kerja</vt:lpstr>
      <vt:lpstr>Riwayat Revisi</vt:lpstr>
      <vt:lpstr>ID</vt:lpstr>
      <vt:lpstr>Uncertainty Budget</vt:lpstr>
      <vt:lpstr>Lembar Penyelia</vt:lpstr>
      <vt:lpstr>Laporan</vt:lpstr>
      <vt:lpstr>LH</vt:lpstr>
      <vt:lpstr>Sheet2</vt:lpstr>
      <vt:lpstr>LH2</vt:lpstr>
      <vt:lpstr>Data Standar</vt:lpstr>
      <vt:lpstr>SERTIFIKAT</vt:lpstr>
      <vt:lpstr>Data Alat</vt:lpstr>
      <vt:lpstr>DB Thermohygro</vt:lpstr>
      <vt:lpstr>DB Kelistrikan</vt:lpstr>
      <vt:lpstr>Sheet1</vt:lpstr>
      <vt:lpstr>ID!Print_Area</vt:lpstr>
      <vt:lpstr>Laporan!Print_Area</vt:lpstr>
      <vt:lpstr>'Lembar Kerja'!Print_Area</vt:lpstr>
      <vt:lpstr>'Lembar Penyelia'!Print_Area</vt:lpstr>
      <vt:lpstr>LH!Print_Area</vt:lpstr>
      <vt:lpstr>'LH2'!Print_Area</vt:lpstr>
      <vt:lpstr>SERTIFIKAT!Print_Area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User 1 lenovo</cp:lastModifiedBy>
  <cp:revision/>
  <cp:lastPrinted>2023-09-30T15:14:29Z</cp:lastPrinted>
  <dcterms:created xsi:type="dcterms:W3CDTF">2002-06-28T14:09:00Z</dcterms:created>
  <dcterms:modified xsi:type="dcterms:W3CDTF">2023-10-01T09:20:50Z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